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 codeName="{8C4F1C90-05EB-6A55-5F09-09C24B55AC0B}"/>
  <workbookPr codeName="ThisWorkbook" defaultThemeVersion="124226"/>
  <bookViews>
    <workbookView xWindow="240" yWindow="135" windowWidth="15120" windowHeight="6885"/>
  </bookViews>
  <sheets>
    <sheet name="Voorblad" sheetId="39" r:id="rId1"/>
    <sheet name="EDC minus lijst ULL" sheetId="26" r:id="rId2"/>
    <sheet name="Parameters ULL" sheetId="27" r:id="rId3"/>
    <sheet name="collocatie" sheetId="28" r:id="rId4"/>
    <sheet name="Inkoop tarief elementen" sheetId="29" r:id="rId5"/>
    <sheet name="Annex 4 VULA" sheetId="30" r:id="rId6"/>
    <sheet name="inkoop VULA" sheetId="32" r:id="rId7"/>
    <sheet name="inkoop MDF SDSL" sheetId="33" r:id="rId8"/>
    <sheet name="inkoop MDF VDSL" sheetId="34" r:id="rId9"/>
    <sheet name="inkoop ODF FTTH" sheetId="35" r:id="rId10"/>
    <sheet name="inkoop ULL tbv Epacity" sheetId="25" r:id="rId11"/>
    <sheet name="Parameters" sheetId="2" r:id="rId12"/>
    <sheet name="Distributievergoedingen" sheetId="37" r:id="rId13"/>
    <sheet name="Mapping" sheetId="3" r:id="rId14"/>
    <sheet name="EDC Minus" sheetId="8" r:id="rId15"/>
    <sheet name="Tarieven ZM" sheetId="4" r:id="rId16"/>
    <sheet name="Tarieven W&amp;O" sheetId="5" r:id="rId17"/>
    <sheet name="Rekenblad access" sheetId="6" r:id="rId18"/>
    <sheet name="Rekenblad transport" sheetId="7" r:id="rId19"/>
    <sheet name="Rekenblad Service level lijn" sheetId="14" r:id="rId20"/>
    <sheet name="Rekenblad 2e PVC" sheetId="13" r:id="rId21"/>
    <sheet name="KWTtransfersheetOudSAIPVPN" sheetId="22" state="hidden" r:id="rId22"/>
    <sheet name="KWTtransfersheetOudVDSL" sheetId="23" state="hidden" r:id="rId23"/>
    <sheet name="KWTtransfersheetOudADSLSDSL" sheetId="24" state="hidden" r:id="rId24"/>
  </sheets>
  <externalReferences>
    <externalReference r:id="rId25"/>
  </externalReferences>
  <definedNames>
    <definedName name="_b1" localSheetId="0" hidden="1">{#N/A,"Hoge Q Lage P",FALSE,"Tarieven"}</definedName>
    <definedName name="_b1" hidden="1">{#N/A,"Hoge Q Lage P",FALSE,"Tarieven"}</definedName>
    <definedName name="_b11" localSheetId="0" hidden="1">{#N/A,"Hoge Q Lage P",FALSE,"Tarieven"}</definedName>
    <definedName name="_b11" hidden="1">{#N/A,"Hoge Q Lage P",FALSE,"Tarieven"}</definedName>
    <definedName name="_b111" localSheetId="0" hidden="1">{#N/A,"Hoge Q Lage P",FALSE,"Tarieven"}</definedName>
    <definedName name="_b111" hidden="1">{#N/A,"Hoge Q Lage P",FALSE,"Tarieven"}</definedName>
    <definedName name="_bbb1" localSheetId="0" hidden="1">{#N/A,"Hoge Q Lage P",FALSE,"Tarieven"}</definedName>
    <definedName name="_bbb1" hidden="1">{#N/A,"Hoge Q Lage P",FALSE,"Tarieven"}</definedName>
    <definedName name="_xlnm._FilterDatabase" localSheetId="7" hidden="1">'inkoop MDF SDSL'!$C$10:$T$18</definedName>
    <definedName name="_xlnm._FilterDatabase" localSheetId="8" hidden="1">'inkoop MDF VDSL'!$C$10:$T$22</definedName>
    <definedName name="_xlnm._FilterDatabase" localSheetId="9" hidden="1">'inkoop ODF FTTH'!$C$10:$P$14</definedName>
    <definedName name="_xlnm._FilterDatabase" localSheetId="6" hidden="1">'inkoop VULA'!$C$12:$X$52</definedName>
    <definedName name="_xlnm._FilterDatabase" localSheetId="23" hidden="1">KWTtransfersheetOudADSLSDSL!$A$3:$M$306</definedName>
    <definedName name="_xlnm._FilterDatabase" localSheetId="13" hidden="1">Mapping!$B$5:$K$109</definedName>
    <definedName name="_xlnm._FilterDatabase" localSheetId="20" hidden="1">'Rekenblad 2e PVC'!$A$3:$BJ$93</definedName>
    <definedName name="_xlnm._FilterDatabase" localSheetId="17" hidden="1">'Rekenblad access'!$A$3:$CA$3</definedName>
    <definedName name="_xlnm._FilterDatabase" localSheetId="19" hidden="1">'Rekenblad Service level lijn'!$A$3:$BL$70</definedName>
    <definedName name="_xlnm._FilterDatabase" localSheetId="18" hidden="1">'Rekenblad transport'!$A$3:$BJ$159</definedName>
    <definedName name="_xlnm._FilterDatabase" localSheetId="15" hidden="1">'Tarieven ZM'!$B$7:$I$146</definedName>
    <definedName name="_xlnm._FilterDatabase" localSheetId="0" hidden="1">#REF!</definedName>
    <definedName name="_xlnm._FilterDatabase" hidden="1">#REF!</definedName>
    <definedName name="_FilterDatabase1" localSheetId="20" hidden="1">#REF!</definedName>
    <definedName name="_FilterDatabase1" localSheetId="19" hidden="1">#REF!</definedName>
    <definedName name="_FilterDatabase1" localSheetId="0" hidden="1">#REF!</definedName>
    <definedName name="_FilterDatabase1" hidden="1">#REF!</definedName>
    <definedName name="_K2__CVPARAMS__" hidden="1">"Any by Any!$C$14:$D$35;"</definedName>
    <definedName name="_K2__LOCKEDCVW__" hidden="1">#VALUE!</definedName>
    <definedName name="_K2__LOCKSTATUS__" hidden="1">1</definedName>
    <definedName name="_K2__MAXEXPCOLS__" hidden="1">100</definedName>
    <definedName name="_K2__MAXEXPROWS__" hidden="1">1000</definedName>
    <definedName name="_K2__WBEVMODE__" hidden="1">1</definedName>
    <definedName name="_K2__WBREFOPTIONS__" hidden="1">134217772</definedName>
    <definedName name="_K2__WSINFO__" hidden="1">"osoft"</definedName>
    <definedName name="_K2_WBEVMODE" hidden="1">0</definedName>
    <definedName name="_xx1" localSheetId="0" hidden="1">{#N/A,"Hoge Q Lage P",FALSE,"Tarieven"}</definedName>
    <definedName name="_xx1" hidden="1">{#N/A,"Hoge Q Lage P",FALSE,"Tarieven"}</definedName>
    <definedName name="_z1" localSheetId="0" hidden="1">{#N/A,"Hoge Q Gelijke P",FALSE,"Tarieven"}</definedName>
    <definedName name="_z1" hidden="1">{#N/A,"Hoge Q Gelijke P",FALSE,"Tarieven"}</definedName>
    <definedName name="_z11" localSheetId="0" hidden="1">{#N/A,"Hoge Q Gelijke P",FALSE,"Tarieven"}</definedName>
    <definedName name="_z11" hidden="1">{#N/A,"Hoge Q Gelijke P",FALSE,"Tarieven"}</definedName>
    <definedName name="AccessDatabase" hidden="1">"D:\AA\Klanten\Wanadoo\zelfbouw vs WADSL 2.5.mdb"</definedName>
    <definedName name="b" localSheetId="0" hidden="1">{#N/A,"Hoge Q Lage P",FALSE,"Tarieven"}</definedName>
    <definedName name="b" hidden="1">{#N/A,"Hoge Q Lage P",FALSE,"Tarieven"}</definedName>
    <definedName name="bbb" localSheetId="0" hidden="1">{#N/A,"Hoge Q Lage P",FALSE,"Tarieven"}</definedName>
    <definedName name="bbb" hidden="1">{#N/A,"Hoge Q Lage P",FALSE,"Tarieven"}</definedName>
    <definedName name="CellWatch01Descn" hidden="1">""</definedName>
    <definedName name="CellWatch01Name" hidden="1">"FA OROS"</definedName>
    <definedName name="een" localSheetId="0" hidden="1">{#N/A,"Hoge Q Gelijke P",FALSE,"Tarieven"}</definedName>
    <definedName name="een" hidden="1">{#N/A,"Hoge Q Gelijke P",FALSE,"Tarieven"}</definedName>
    <definedName name="EV__LASTREFTIME__" localSheetId="9" hidden="1">38389.8228240741</definedName>
    <definedName name="EV__LASTREFTIME__" hidden="1">39456.4930671296</definedName>
    <definedName name="EV__LOCKEDCVW__" hidden="1">#VALUE!</definedName>
    <definedName name="EV__MAXEXPCOLS__" hidden="1">100</definedName>
    <definedName name="EV__MAXEXPROWS__" hidden="1">1000</definedName>
    <definedName name="EV__WBEVMODE__" hidden="1">0</definedName>
    <definedName name="EV__WBREFOPTIONS__" hidden="1">134217783</definedName>
    <definedName name="EV__WBVERSION__" hidden="1">0</definedName>
    <definedName name="EV__WSINFO__" hidden="1">"osoft"</definedName>
    <definedName name="f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iii" localSheetId="0" hidden="1">{#N/A,"Hoge Q Lage P",FALSE,"Tarieven"}</definedName>
    <definedName name="iii" hidden="1">{#N/A,"Hoge Q Lage P",FALSE,"Tarieven"}</definedName>
    <definedName name="inter" localSheetId="0" hidden="1">{#N/A,"Hoge Q Gelijke P",FALSE,"Tarieven"}</definedName>
    <definedName name="inter" hidden="1">{#N/A,"Hoge Q Gelijke P",FALSE,"Tarieven"}</definedName>
    <definedName name="internatio" localSheetId="0" hidden="1">{#N/A,"Hoge Q Lage P",FALSE,"Tarieven"}</definedName>
    <definedName name="internatio" hidden="1">{#N/A,"Hoge Q Lage P",FALSE,"Tarieven"}</definedName>
    <definedName name="Kabels1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d" localSheetId="0" hidden="1">{#N/A,"Hoge Q Lage P",FALSE,"Tarieven"}</definedName>
    <definedName name="ld" hidden="1">{#N/A,"Hoge Q Lage P",FALSE,"Tarieven"}</definedName>
    <definedName name="lk" localSheetId="0" hidden="1">{#N/A,"Hoge Q Gelijke P",FALSE,"Tarieven"}</definedName>
    <definedName name="lk" hidden="1">{#N/A,"Hoge Q Gelijke P",FALSE,"Tarieven"}</definedName>
    <definedName name="ll" localSheetId="0" hidden="1">{#N/A,"Hoge Q Lage P",FALSE,"Tarieven"}</definedName>
    <definedName name="ll" hidden="1">{#N/A,"Hoge Q Lage P",FALSE,"Tarieven"}</definedName>
    <definedName name="lls" localSheetId="0" hidden="1">{#N/A,"Hoge Q Gelijke P",FALSE,"Tarieven"}</definedName>
    <definedName name="lls" hidden="1">{#N/A,"Hoge Q Gelijke P",FALSE,"Tarieven"}</definedName>
    <definedName name="lsdkfj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naamconflict" localSheetId="9" hidden="1">#REF!</definedName>
    <definedName name="naamconflict" localSheetId="20" hidden="1">#REF!</definedName>
    <definedName name="naamconflict" localSheetId="19" hidden="1">#REF!</definedName>
    <definedName name="naamconflict" localSheetId="0" hidden="1">#REF!</definedName>
    <definedName name="naamconflict" hidden="1">#REF!</definedName>
    <definedName name="nationaal" localSheetId="0" hidden="1">{#N/A,"Hoge Q Gelijke P",FALSE,"Tarieven"}</definedName>
    <definedName name="nationaal" hidden="1">{#N/A,"Hoge Q Gelijke P",FALSE,"Tarieven"}</definedName>
    <definedName name="nieuw" localSheetId="0" hidden="1">{#N/A,"Hoge Q Lage P",FALSE,"Tarieven"}</definedName>
    <definedName name="nieuw" hidden="1">{#N/A,"Hoge Q Lage P",FALSE,"Tarieven"}</definedName>
    <definedName name="OffnetToetsen">[1]Parameters!$B$6</definedName>
    <definedName name="Onzin" localSheetId="0" hidden="1">{#N/A,"Hoge Q Lage P",FALSE,"Tarieven"}</definedName>
    <definedName name="Onzin" hidden="1">{#N/A,"Hoge Q Lage P",FALSE,"Tarieven"}</definedName>
    <definedName name="oooo" localSheetId="0" hidden="1">{#N/A,"Hoge Q Lage P",FALSE,"Tarieven"}</definedName>
    <definedName name="oooo" hidden="1">{#N/A,"Hoge Q Lage P",FALSE,"Tarieven"}</definedName>
    <definedName name="oooo1" localSheetId="0" hidden="1">{#N/A,"Hoge Q Lage P",FALSE,"Tarieven"}</definedName>
    <definedName name="oooo1" hidden="1">{#N/A,"Hoge Q Lage P",FALSE,"Tarieven"}</definedName>
    <definedName name="qwe" localSheetId="0" hidden="1">{#N/A,"Hoge Q Lage P",FALSE,"Tarieven"}</definedName>
    <definedName name="qwe" hidden="1">{#N/A,"Hoge Q Lage P",FALSE,"Tarieven"}</definedName>
    <definedName name="Retailopslag">[1]Parameters!$B$2</definedName>
    <definedName name="RichtingscoefficientWOformule">[1]Parameters!$B$69</definedName>
    <definedName name="s" localSheetId="0" hidden="1">{#N/A,"Hoge Q Gelijke P",FALSE,"Tarieven"}</definedName>
    <definedName name="s" hidden="1">{#N/A,"Hoge Q Gelijke P",FALSE,"Tarieven"}</definedName>
    <definedName name="SalesMandaatAccessVVA">[1]Parameters!$B$23</definedName>
    <definedName name="SalesmandaatAccessVVE">[1]Parameters!$B$24</definedName>
    <definedName name="SalesmandaatVPNVVA">[1]Parameters!$B$25</definedName>
    <definedName name="SalesmandaatVPNVVE">[1]Parameters!$B$26</definedName>
    <definedName name="test" localSheetId="0" hidden="1">{#N/A,"Hoge Q Lage P",FALSE,"Tarieven"}</definedName>
    <definedName name="test" hidden="1">{#N/A,"Hoge Q Lage P",FALSE,"Tarieven"}</definedName>
    <definedName name="test2" localSheetId="0" hidden="1">{#N/A,"Hoge Q Lage P",FALSE,"Tarieven"}</definedName>
    <definedName name="test2" hidden="1">{#N/A,"Hoge Q Lage P",FALSE,"Tarieven"}</definedName>
    <definedName name="ts" localSheetId="0" hidden="1">{#N/A,"Hoge Q Gelijke P",FALSE,"Tarieven"}</definedName>
    <definedName name="ts" hidden="1">{#N/A,"Hoge Q Gelijke P",FALSE,"Tarieven"}</definedName>
    <definedName name="uiteo1" localSheetId="0" hidden="1">{#N/A,"Hoge Q Lage P",FALSE,"Tarieven"}</definedName>
    <definedName name="uiteo1" hidden="1">{#N/A,"Hoge Q Lage P",FALSE,"Tarieven"}</definedName>
    <definedName name="uitheo" localSheetId="0" hidden="1">{#N/A,"Hoge Q Lage P",FALSE,"Tarieven"}</definedName>
    <definedName name="uitheo" hidden="1">{#N/A,"Hoge Q Lage P",FALSE,"Tarieven"}</definedName>
    <definedName name="VPNBackboneCitymetro_regionaal">[1]Parameters!$B$61</definedName>
    <definedName name="VPNBackboneCityregionaal_nationaal">[1]Parameters!$B$64</definedName>
    <definedName name="VPNBackboneNationaalmetro_regionaal">[1]Parameters!$B$63</definedName>
    <definedName name="VPNBackboneNationaalregionaal_nationaal">[1]Parameters!$B$66</definedName>
    <definedName name="VPNBackboneRegionaalmetro_regionaal">[1]Parameters!$B$62</definedName>
    <definedName name="VPNBackboneRegionaalregionaal_nationaal">[1]Parameters!$B$65</definedName>
    <definedName name="WOkortingVPNVVA">[1]Parameters!$B$38</definedName>
    <definedName name="WOkortingVPNVVE">[1]Parameters!$B$37</definedName>
    <definedName name="WOtermijnkorting1jaar">[1]Parameters!$B$41</definedName>
    <definedName name="WOtermijnkorting3jaar">[1]Parameters!$B$42</definedName>
    <definedName name="WOtermijnkorting5jaar">[1]Parameters!$B$43</definedName>
    <definedName name="wrn.Q._.met._.dalend._.P." localSheetId="0" hidden="1">{#N/A,"Hoge Q Lage P",FALSE,"Tarieven"}</definedName>
    <definedName name="wrn.Q._.met._.dalend._.P." hidden="1">{#N/A,"Hoge Q Lage P",FALSE,"Tarieven"}</definedName>
    <definedName name="wrn.Q._.met._.gelijke._.P." localSheetId="0" hidden="1">{#N/A,"Hoge Q Gelijke P",FALSE,"Tarieven"}</definedName>
    <definedName name="wrn.Q._.met._.gelijke._.P." hidden="1">{#N/A,"Hoge Q Gelijke P",FALSE,"Tarieven"}</definedName>
    <definedName name="wrn.q._.met.dalen.p1" localSheetId="0" hidden="1">{#N/A,"Hoge Q Lage P",FALSE,"Tarieven"}</definedName>
    <definedName name="wrn.q._.met.dalen.p1" hidden="1">{#N/A,"Hoge Q Lage P",FALSE,"Tarieven"}</definedName>
    <definedName name="wrn.q.met.gelijke.p1" localSheetId="0" hidden="1">{#N/A,"Hoge Q Gelijke P",FALSE,"Tarieven"}</definedName>
    <definedName name="wrn.q.met.gelijke.p1" hidden="1">{#N/A,"Hoge Q Gelijke P",FALSE,"Tarieven"}</definedName>
    <definedName name="wrn.Week._.rapportage.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xx" localSheetId="0" hidden="1">{#N/A,"Hoge Q Lage P",FALSE,"Tarieven"}</definedName>
    <definedName name="xx" hidden="1">{#N/A,"Hoge Q Lage P",FALSE,"Tarieven"}</definedName>
  </definedNames>
  <calcPr calcId="145621" calcMode="manual"/>
</workbook>
</file>

<file path=xl/calcChain.xml><?xml version="1.0" encoding="utf-8"?>
<calcChain xmlns="http://schemas.openxmlformats.org/spreadsheetml/2006/main">
  <c r="E76" i="29" l="1"/>
  <c r="E75" i="29"/>
  <c r="E31" i="27" l="1"/>
  <c r="E30" i="27"/>
  <c r="B214" i="5"/>
  <c r="B209" i="5"/>
  <c r="B203" i="5"/>
  <c r="B198" i="5"/>
  <c r="B193" i="5"/>
  <c r="B188" i="5" l="1"/>
  <c r="B179" i="5"/>
  <c r="B108" i="5" l="1"/>
  <c r="B75" i="5"/>
  <c r="G9" i="5"/>
  <c r="E29" i="27"/>
  <c r="E28" i="27"/>
  <c r="AT93" i="13" l="1"/>
  <c r="AT92" i="13"/>
  <c r="AT91" i="13"/>
  <c r="AT90" i="13"/>
  <c r="AT89" i="13"/>
  <c r="AT88" i="13"/>
  <c r="AT87" i="13"/>
  <c r="AT86" i="13"/>
  <c r="AT85" i="13"/>
  <c r="AT84" i="13"/>
  <c r="AT83" i="13"/>
  <c r="AT82" i="13"/>
  <c r="AT81" i="13"/>
  <c r="AT80" i="13"/>
  <c r="AT79" i="13"/>
  <c r="AT78" i="13"/>
  <c r="AT77" i="13"/>
  <c r="AT76" i="13"/>
  <c r="AT75" i="13"/>
  <c r="AT74" i="13"/>
  <c r="AT73" i="13"/>
  <c r="AT72" i="13"/>
  <c r="AT71" i="13"/>
  <c r="AT70" i="13"/>
  <c r="AT69" i="13"/>
  <c r="AT68" i="13"/>
  <c r="AT67" i="13"/>
  <c r="AT66" i="13"/>
  <c r="AT65" i="13"/>
  <c r="AT64" i="13"/>
  <c r="AT63" i="13"/>
  <c r="AT62" i="13"/>
  <c r="AT61" i="13"/>
  <c r="AT60" i="13"/>
  <c r="AT59" i="13"/>
  <c r="AT58" i="13"/>
  <c r="AT57" i="13"/>
  <c r="AT56" i="13"/>
  <c r="AT55" i="13"/>
  <c r="AT54" i="13"/>
  <c r="AT53" i="13"/>
  <c r="AT52" i="13"/>
  <c r="AT51" i="13"/>
  <c r="AT50" i="13"/>
  <c r="AT49" i="13"/>
  <c r="AT48" i="13"/>
  <c r="AT47" i="13"/>
  <c r="AT46" i="13"/>
  <c r="AT45" i="13"/>
  <c r="AT44" i="13"/>
  <c r="AT43" i="13"/>
  <c r="AT42" i="13"/>
  <c r="AT41" i="13"/>
  <c r="AT40" i="13"/>
  <c r="AT39" i="13"/>
  <c r="AT38" i="13"/>
  <c r="AT37" i="13"/>
  <c r="AT36" i="13"/>
  <c r="AT35" i="13"/>
  <c r="AT34" i="13"/>
  <c r="AT33" i="13"/>
  <c r="AT32" i="13"/>
  <c r="AT31" i="13"/>
  <c r="AT30" i="13"/>
  <c r="AT29" i="13"/>
  <c r="AT28" i="13"/>
  <c r="AT27" i="13"/>
  <c r="AT26" i="13"/>
  <c r="AT25" i="13"/>
  <c r="AT24" i="13"/>
  <c r="AT23" i="13"/>
  <c r="AT22" i="13"/>
  <c r="AT21" i="13"/>
  <c r="AT20" i="13"/>
  <c r="AT19" i="13"/>
  <c r="AT18" i="13"/>
  <c r="AT17" i="13"/>
  <c r="AT16" i="13"/>
  <c r="AT15" i="13"/>
  <c r="AT14" i="13"/>
  <c r="AT13" i="13"/>
  <c r="AT12" i="13"/>
  <c r="AT11" i="13"/>
  <c r="AT10" i="13"/>
  <c r="AT9" i="13"/>
  <c r="AT8" i="13"/>
  <c r="AT7" i="13"/>
  <c r="AT6" i="13"/>
  <c r="AT5" i="13"/>
  <c r="AT4" i="13"/>
  <c r="AT159" i="7"/>
  <c r="AT158" i="7"/>
  <c r="AT157" i="7"/>
  <c r="AT156" i="7"/>
  <c r="AT155" i="7"/>
  <c r="AT154" i="7"/>
  <c r="AT153" i="7"/>
  <c r="AT152" i="7"/>
  <c r="AT151" i="7"/>
  <c r="AT150" i="7"/>
  <c r="AT149" i="7"/>
  <c r="AT148" i="7"/>
  <c r="AT147" i="7"/>
  <c r="AT146" i="7"/>
  <c r="AT145" i="7"/>
  <c r="AT144" i="7"/>
  <c r="AT143" i="7"/>
  <c r="AT142" i="7"/>
  <c r="AT141" i="7"/>
  <c r="AT140" i="7"/>
  <c r="AT139" i="7"/>
  <c r="AT138" i="7"/>
  <c r="AT137" i="7"/>
  <c r="AT136" i="7"/>
  <c r="AT135" i="7"/>
  <c r="AT134" i="7"/>
  <c r="AT133" i="7"/>
  <c r="AT132" i="7"/>
  <c r="AT131" i="7"/>
  <c r="AT130" i="7"/>
  <c r="AT129" i="7"/>
  <c r="AT128" i="7"/>
  <c r="AT127" i="7"/>
  <c r="AT126" i="7"/>
  <c r="AT125" i="7"/>
  <c r="AT124" i="7"/>
  <c r="AT123" i="7"/>
  <c r="AT122" i="7"/>
  <c r="AT121" i="7"/>
  <c r="AT120" i="7"/>
  <c r="AT119" i="7"/>
  <c r="AT118" i="7"/>
  <c r="AT117" i="7"/>
  <c r="AT116" i="7"/>
  <c r="AT115" i="7"/>
  <c r="AT114" i="7"/>
  <c r="AT113" i="7"/>
  <c r="AT112" i="7"/>
  <c r="AT111" i="7"/>
  <c r="AT110" i="7"/>
  <c r="AT109" i="7"/>
  <c r="AT108" i="7"/>
  <c r="AT107" i="7"/>
  <c r="AT106" i="7"/>
  <c r="AT105" i="7"/>
  <c r="AT104" i="7"/>
  <c r="AT103" i="7"/>
  <c r="AT102" i="7"/>
  <c r="AT101" i="7"/>
  <c r="AT100" i="7"/>
  <c r="AT99" i="7"/>
  <c r="AT98" i="7"/>
  <c r="AT97" i="7"/>
  <c r="AT96" i="7"/>
  <c r="AT95" i="7"/>
  <c r="AT94" i="7"/>
  <c r="AT93" i="7"/>
  <c r="AT92" i="7"/>
  <c r="AT91" i="7"/>
  <c r="AT90" i="7"/>
  <c r="AT89" i="7"/>
  <c r="AT88" i="7"/>
  <c r="AT87" i="7"/>
  <c r="AT86" i="7"/>
  <c r="AT85" i="7"/>
  <c r="AT84" i="7"/>
  <c r="AT83" i="7"/>
  <c r="AT82" i="7"/>
  <c r="AT81" i="7"/>
  <c r="AT80" i="7"/>
  <c r="AT79" i="7"/>
  <c r="AT78" i="7"/>
  <c r="AT77" i="7"/>
  <c r="AT76" i="7"/>
  <c r="AT75" i="7"/>
  <c r="AT74" i="7"/>
  <c r="AT73" i="7"/>
  <c r="AT72" i="7"/>
  <c r="AT71" i="7"/>
  <c r="AT70" i="7"/>
  <c r="AT69" i="7"/>
  <c r="AT68" i="7"/>
  <c r="AT67" i="7"/>
  <c r="AT66" i="7"/>
  <c r="AT65" i="7"/>
  <c r="AT64" i="7"/>
  <c r="AT63" i="7"/>
  <c r="AT62" i="7"/>
  <c r="AT61" i="7"/>
  <c r="AT60" i="7"/>
  <c r="AT59" i="7"/>
  <c r="AT58" i="7"/>
  <c r="AT57" i="7"/>
  <c r="AT56" i="7"/>
  <c r="AT55" i="7"/>
  <c r="AT54" i="7"/>
  <c r="AT53" i="7"/>
  <c r="AT52" i="7"/>
  <c r="AT51" i="7"/>
  <c r="AT50" i="7"/>
  <c r="AT49" i="7"/>
  <c r="AT48" i="7"/>
  <c r="AT47" i="7"/>
  <c r="AT46" i="7"/>
  <c r="AT45" i="7"/>
  <c r="AT44" i="7"/>
  <c r="AT43" i="7"/>
  <c r="AT42" i="7"/>
  <c r="AT41" i="7"/>
  <c r="AT40" i="7"/>
  <c r="AT39" i="7"/>
  <c r="AT38" i="7"/>
  <c r="AT37" i="7"/>
  <c r="AT36" i="7"/>
  <c r="AT35" i="7"/>
  <c r="AT34" i="7"/>
  <c r="AT33" i="7"/>
  <c r="AT32" i="7"/>
  <c r="AT31" i="7"/>
  <c r="AT30" i="7"/>
  <c r="AT29" i="7"/>
  <c r="AT28" i="7"/>
  <c r="AT27" i="7"/>
  <c r="AT26" i="7"/>
  <c r="AT25" i="7"/>
  <c r="AT24" i="7"/>
  <c r="AT23" i="7"/>
  <c r="AT22" i="7"/>
  <c r="AT21" i="7"/>
  <c r="AT20" i="7"/>
  <c r="AT19" i="7"/>
  <c r="AT18" i="7"/>
  <c r="AT17" i="7"/>
  <c r="AT16" i="7"/>
  <c r="AT15" i="7"/>
  <c r="AT14" i="7"/>
  <c r="AT13" i="7"/>
  <c r="AT12" i="7"/>
  <c r="AT11" i="7"/>
  <c r="AT10" i="7"/>
  <c r="AT9" i="7"/>
  <c r="AT8" i="7"/>
  <c r="AT7" i="7"/>
  <c r="AT6" i="7"/>
  <c r="AT5" i="7"/>
  <c r="AT4" i="7"/>
  <c r="E34" i="28" l="1"/>
  <c r="E35" i="28"/>
  <c r="E36" i="28"/>
  <c r="E38" i="28"/>
  <c r="E39" i="28"/>
  <c r="E49" i="28"/>
  <c r="E58" i="27"/>
  <c r="E3" i="27"/>
  <c r="E2" i="27"/>
  <c r="C3" i="39" l="1"/>
  <c r="C2" i="39"/>
  <c r="B213" i="5" l="1"/>
  <c r="B212" i="5"/>
  <c r="B211" i="5"/>
  <c r="B210" i="5"/>
  <c r="B208" i="5"/>
  <c r="B207" i="5"/>
  <c r="B206" i="5"/>
  <c r="B205" i="5"/>
  <c r="B202" i="5"/>
  <c r="B201" i="5"/>
  <c r="G200" i="5"/>
  <c r="G201" i="5" s="1"/>
  <c r="B200" i="5"/>
  <c r="B199" i="5"/>
  <c r="B197" i="5"/>
  <c r="B196" i="5"/>
  <c r="G195" i="5"/>
  <c r="G196" i="5" s="1"/>
  <c r="B195" i="5"/>
  <c r="B194" i="5"/>
  <c r="B192" i="5"/>
  <c r="B191" i="5"/>
  <c r="G190" i="5"/>
  <c r="G191" i="5" s="1"/>
  <c r="B190" i="5"/>
  <c r="B189" i="5"/>
  <c r="B187" i="5"/>
  <c r="B186" i="5"/>
  <c r="B185" i="5"/>
  <c r="B184" i="5"/>
  <c r="B178" i="5"/>
  <c r="B177" i="5"/>
  <c r="B172" i="5"/>
  <c r="B171" i="5"/>
  <c r="B170" i="5"/>
  <c r="B169" i="5"/>
  <c r="B164" i="5"/>
  <c r="B163" i="5"/>
  <c r="B162" i="5"/>
  <c r="B161" i="5"/>
  <c r="B160" i="5"/>
  <c r="B159" i="5"/>
  <c r="B158" i="5"/>
  <c r="B157" i="5"/>
  <c r="B156" i="5"/>
  <c r="B155" i="5"/>
  <c r="B154" i="5"/>
  <c r="B153" i="5"/>
  <c r="B152" i="5"/>
  <c r="B151" i="5"/>
  <c r="I150" i="5"/>
  <c r="I151" i="5" s="1"/>
  <c r="I152" i="5" s="1"/>
  <c r="I153" i="5" s="1"/>
  <c r="I154" i="5" s="1"/>
  <c r="H150" i="5"/>
  <c r="H151" i="5" s="1"/>
  <c r="H152" i="5" s="1"/>
  <c r="H153" i="5" s="1"/>
  <c r="H154" i="5" s="1"/>
  <c r="B150" i="5"/>
  <c r="B149" i="5"/>
  <c r="B148" i="5"/>
  <c r="B147" i="5"/>
  <c r="B146" i="5"/>
  <c r="B145" i="5"/>
  <c r="B144" i="5"/>
  <c r="B143" i="5"/>
  <c r="B142" i="5"/>
  <c r="B141" i="5"/>
  <c r="B140" i="5"/>
  <c r="B139" i="5"/>
  <c r="B138" i="5"/>
  <c r="B137" i="5"/>
  <c r="B136" i="5"/>
  <c r="B135" i="5"/>
  <c r="B134" i="5"/>
  <c r="B129" i="5"/>
  <c r="B128" i="5"/>
  <c r="B127" i="5"/>
  <c r="B126" i="5"/>
  <c r="B125" i="5"/>
  <c r="B124" i="5"/>
  <c r="B123" i="5"/>
  <c r="B122" i="5"/>
  <c r="B121" i="5"/>
  <c r="B120" i="5"/>
  <c r="B119" i="5"/>
  <c r="B118" i="5"/>
  <c r="B117" i="5"/>
  <c r="I116" i="5"/>
  <c r="I117" i="5" s="1"/>
  <c r="I118" i="5" s="1"/>
  <c r="I119" i="5" s="1"/>
  <c r="I120" i="5" s="1"/>
  <c r="I121" i="5" s="1"/>
  <c r="I122" i="5" s="1"/>
  <c r="I123" i="5" s="1"/>
  <c r="I124" i="5" s="1"/>
  <c r="I125" i="5" s="1"/>
  <c r="I126" i="5" s="1"/>
  <c r="I127" i="5" s="1"/>
  <c r="I128" i="5" s="1"/>
  <c r="I129" i="5" s="1"/>
  <c r="H116" i="5"/>
  <c r="H117" i="5" s="1"/>
  <c r="H118" i="5" s="1"/>
  <c r="H119" i="5" s="1"/>
  <c r="H120" i="5" s="1"/>
  <c r="H121" i="5" s="1"/>
  <c r="H122" i="5" s="1"/>
  <c r="H123" i="5" s="1"/>
  <c r="H124" i="5" s="1"/>
  <c r="H125" i="5" s="1"/>
  <c r="H126" i="5" s="1"/>
  <c r="H127" i="5" s="1"/>
  <c r="H128" i="5" s="1"/>
  <c r="H129" i="5" s="1"/>
  <c r="H134" i="5" s="1"/>
  <c r="H135" i="5" s="1"/>
  <c r="B116" i="5"/>
  <c r="B115" i="5"/>
  <c r="B107" i="5"/>
  <c r="B109" i="5"/>
  <c r="B106" i="5"/>
  <c r="B105" i="5"/>
  <c r="B104" i="5"/>
  <c r="B100" i="5"/>
  <c r="B99" i="5"/>
  <c r="B98" i="5"/>
  <c r="B97" i="5"/>
  <c r="B93" i="5"/>
  <c r="B92" i="5"/>
  <c r="B91" i="5"/>
  <c r="B90" i="5"/>
  <c r="B89" i="5"/>
  <c r="B88" i="5"/>
  <c r="B87" i="5"/>
  <c r="B86" i="5"/>
  <c r="B85" i="5"/>
  <c r="B84" i="5"/>
  <c r="B83" i="5"/>
  <c r="B82" i="5"/>
  <c r="B81" i="5"/>
  <c r="B80" i="5"/>
  <c r="B76" i="5"/>
  <c r="B77" i="5"/>
  <c r="B74" i="5"/>
  <c r="B73" i="5"/>
  <c r="B72" i="5"/>
  <c r="B68" i="5"/>
  <c r="B67" i="5"/>
  <c r="B66" i="5"/>
  <c r="B65" i="5"/>
  <c r="B61" i="5"/>
  <c r="B60" i="5"/>
  <c r="B59" i="5"/>
  <c r="B58" i="5"/>
  <c r="B57" i="5"/>
  <c r="B56" i="5"/>
  <c r="B55" i="5"/>
  <c r="B54" i="5"/>
  <c r="B53" i="5"/>
  <c r="B52" i="5"/>
  <c r="B51" i="5"/>
  <c r="B50" i="5"/>
  <c r="B49" i="5"/>
  <c r="B48" i="5"/>
  <c r="B45" i="5"/>
  <c r="B44" i="5"/>
  <c r="B43" i="5"/>
  <c r="B42" i="5"/>
  <c r="I41" i="5"/>
  <c r="I42" i="5" s="1"/>
  <c r="H41" i="5"/>
  <c r="H42" i="5" s="1"/>
  <c r="B41" i="5"/>
  <c r="B40" i="5"/>
  <c r="B39" i="5"/>
  <c r="B38" i="5"/>
  <c r="H37" i="5"/>
  <c r="H43" i="5" s="1"/>
  <c r="B37" i="5"/>
  <c r="I36" i="5"/>
  <c r="I37" i="5" s="1"/>
  <c r="I38" i="5" s="1"/>
  <c r="I39" i="5" s="1"/>
  <c r="B36" i="5"/>
  <c r="G35" i="5"/>
  <c r="B35" i="5"/>
  <c r="B34" i="5"/>
  <c r="B33" i="5"/>
  <c r="B32" i="5"/>
  <c r="B31" i="5"/>
  <c r="B30" i="5"/>
  <c r="G29" i="5"/>
  <c r="B29" i="5"/>
  <c r="B28" i="5"/>
  <c r="B26" i="5"/>
  <c r="B25" i="5"/>
  <c r="B24" i="5"/>
  <c r="I23" i="5"/>
  <c r="B23" i="5"/>
  <c r="I22" i="5"/>
  <c r="B22" i="5"/>
  <c r="B21" i="5"/>
  <c r="I20" i="5"/>
  <c r="I21" i="5" s="1"/>
  <c r="H20" i="5"/>
  <c r="H21" i="5" s="1"/>
  <c r="B20" i="5"/>
  <c r="B19" i="5"/>
  <c r="B18" i="5"/>
  <c r="H17" i="5"/>
  <c r="H25" i="5" s="1"/>
  <c r="B17" i="5"/>
  <c r="I16" i="5"/>
  <c r="I17" i="5" s="1"/>
  <c r="B16" i="5"/>
  <c r="G15" i="5"/>
  <c r="B15" i="5"/>
  <c r="B14" i="5"/>
  <c r="B13" i="5"/>
  <c r="B12" i="5"/>
  <c r="B11" i="5"/>
  <c r="B10" i="5"/>
  <c r="B9" i="5"/>
  <c r="B8" i="5"/>
  <c r="C161" i="2"/>
  <c r="C160" i="2"/>
  <c r="C147" i="2"/>
  <c r="C146" i="2"/>
  <c r="C145" i="2"/>
  <c r="H18" i="5" l="1"/>
  <c r="H38" i="5"/>
  <c r="H39" i="5" s="1"/>
  <c r="I25" i="5"/>
  <c r="I18" i="5"/>
  <c r="I156" i="5"/>
  <c r="I157" i="5" s="1"/>
  <c r="I158" i="5" s="1"/>
  <c r="I159" i="5" s="1"/>
  <c r="I160" i="5" s="1"/>
  <c r="I155" i="5"/>
  <c r="H156" i="5"/>
  <c r="H157" i="5" s="1"/>
  <c r="H158" i="5" s="1"/>
  <c r="H159" i="5" s="1"/>
  <c r="H160" i="5" s="1"/>
  <c r="H155" i="5"/>
  <c r="I43" i="5"/>
  <c r="B59" i="2"/>
  <c r="I163" i="5" l="1"/>
  <c r="I161" i="5"/>
  <c r="H163" i="5"/>
  <c r="H161" i="5"/>
  <c r="D59" i="2" l="1"/>
  <c r="B58" i="2"/>
  <c r="D58" i="2" s="1"/>
  <c r="E117" i="28"/>
  <c r="V13" i="34" l="1"/>
  <c r="B12" i="2" l="1"/>
  <c r="U13" i="32" l="1"/>
  <c r="N16" i="35"/>
  <c r="M16" i="35"/>
  <c r="K16" i="35"/>
  <c r="J16" i="35"/>
  <c r="I16" i="35"/>
  <c r="G16" i="35"/>
  <c r="H16" i="35" s="1"/>
  <c r="T16" i="35" s="1"/>
  <c r="F16" i="35"/>
  <c r="N15" i="35"/>
  <c r="M15" i="35"/>
  <c r="K15" i="35"/>
  <c r="V15" i="35" s="1"/>
  <c r="I56" i="25" s="1"/>
  <c r="J15" i="35"/>
  <c r="I15" i="35"/>
  <c r="G15" i="35"/>
  <c r="F15" i="35"/>
  <c r="N14" i="35"/>
  <c r="M14" i="35"/>
  <c r="K14" i="35"/>
  <c r="J14" i="35"/>
  <c r="I14" i="35"/>
  <c r="G14" i="35"/>
  <c r="F14" i="35"/>
  <c r="N13" i="35"/>
  <c r="M13" i="35"/>
  <c r="K13" i="35"/>
  <c r="J13" i="35"/>
  <c r="I13" i="35"/>
  <c r="G13" i="35"/>
  <c r="F13" i="35"/>
  <c r="V16" i="35"/>
  <c r="U16" i="35"/>
  <c r="R16" i="35"/>
  <c r="U15" i="35"/>
  <c r="R15" i="35"/>
  <c r="U14" i="35"/>
  <c r="R14" i="35"/>
  <c r="V14" i="35"/>
  <c r="U13" i="35"/>
  <c r="R13" i="35"/>
  <c r="V13" i="35"/>
  <c r="I55" i="25" s="1"/>
  <c r="E7" i="35"/>
  <c r="C3" i="35"/>
  <c r="C2" i="35"/>
  <c r="Y22" i="34"/>
  <c r="V22" i="34"/>
  <c r="R22" i="34"/>
  <c r="Q22" i="34"/>
  <c r="O22" i="34"/>
  <c r="N22" i="34"/>
  <c r="Z22" i="34" s="1"/>
  <c r="M22" i="34"/>
  <c r="K22" i="34"/>
  <c r="J22" i="34"/>
  <c r="Y21" i="34"/>
  <c r="V21" i="34"/>
  <c r="R21" i="34"/>
  <c r="Q21" i="34"/>
  <c r="O21" i="34"/>
  <c r="N21" i="34"/>
  <c r="Z21" i="34" s="1"/>
  <c r="M21" i="34"/>
  <c r="K21" i="34"/>
  <c r="J21" i="34"/>
  <c r="Y20" i="34"/>
  <c r="V20" i="34"/>
  <c r="R20" i="34"/>
  <c r="Q20" i="34"/>
  <c r="O20" i="34"/>
  <c r="N20" i="34"/>
  <c r="Z20" i="34" s="1"/>
  <c r="M20" i="34"/>
  <c r="K20" i="34"/>
  <c r="Y19" i="34"/>
  <c r="V19" i="34"/>
  <c r="R19" i="34"/>
  <c r="Q19" i="34"/>
  <c r="O19" i="34"/>
  <c r="N19" i="34"/>
  <c r="Z19" i="34" s="1"/>
  <c r="M19" i="34"/>
  <c r="K19" i="34"/>
  <c r="Y18" i="34"/>
  <c r="V18" i="34"/>
  <c r="R18" i="34"/>
  <c r="Q18" i="34"/>
  <c r="O18" i="34"/>
  <c r="N18" i="34"/>
  <c r="Z18" i="34" s="1"/>
  <c r="M18" i="34"/>
  <c r="K18" i="34"/>
  <c r="J18" i="34"/>
  <c r="Y17" i="34"/>
  <c r="V17" i="34"/>
  <c r="R17" i="34"/>
  <c r="Q17" i="34"/>
  <c r="O17" i="34"/>
  <c r="N17" i="34"/>
  <c r="Z17" i="34" s="1"/>
  <c r="M17" i="34"/>
  <c r="K17" i="34"/>
  <c r="J17" i="34"/>
  <c r="Y16" i="34"/>
  <c r="V16" i="34"/>
  <c r="R16" i="34"/>
  <c r="Q16" i="34"/>
  <c r="O16" i="34"/>
  <c r="N16" i="34"/>
  <c r="Z16" i="34" s="1"/>
  <c r="M16" i="34"/>
  <c r="K16" i="34"/>
  <c r="J16" i="34"/>
  <c r="Y15" i="34"/>
  <c r="V15" i="34"/>
  <c r="R15" i="34"/>
  <c r="Q15" i="34"/>
  <c r="O15" i="34"/>
  <c r="N15" i="34"/>
  <c r="Z15" i="34" s="1"/>
  <c r="M15" i="34"/>
  <c r="K15" i="34"/>
  <c r="J15" i="34"/>
  <c r="Y14" i="34"/>
  <c r="V14" i="34"/>
  <c r="R14" i="34"/>
  <c r="Q14" i="34"/>
  <c r="O14" i="34"/>
  <c r="N14" i="34"/>
  <c r="Z14" i="34" s="1"/>
  <c r="M14" i="34"/>
  <c r="K14" i="34"/>
  <c r="Y13" i="34"/>
  <c r="R13" i="34"/>
  <c r="Q13" i="34"/>
  <c r="O13" i="34"/>
  <c r="N13" i="34"/>
  <c r="Z13" i="34" s="1"/>
  <c r="M13" i="34"/>
  <c r="K13" i="34"/>
  <c r="F7" i="34"/>
  <c r="C3" i="34"/>
  <c r="C2" i="34"/>
  <c r="Y18" i="33"/>
  <c r="V18" i="33"/>
  <c r="R18" i="33"/>
  <c r="Q18" i="33"/>
  <c r="O18" i="33"/>
  <c r="N18" i="33"/>
  <c r="Z18" i="33" s="1"/>
  <c r="M18" i="33"/>
  <c r="K18" i="33"/>
  <c r="J18" i="33"/>
  <c r="Y17" i="33"/>
  <c r="V17" i="33"/>
  <c r="R17" i="33"/>
  <c r="Q17" i="33"/>
  <c r="O17" i="33"/>
  <c r="N17" i="33"/>
  <c r="Z17" i="33" s="1"/>
  <c r="M17" i="33"/>
  <c r="K17" i="33"/>
  <c r="J17" i="33"/>
  <c r="Y16" i="33"/>
  <c r="V16" i="33"/>
  <c r="R16" i="33"/>
  <c r="Q16" i="33"/>
  <c r="O16" i="33"/>
  <c r="N16" i="33"/>
  <c r="Z16" i="33" s="1"/>
  <c r="M16" i="33"/>
  <c r="K16" i="33"/>
  <c r="J16" i="33"/>
  <c r="Y15" i="33"/>
  <c r="V15" i="33"/>
  <c r="R15" i="33"/>
  <c r="Q15" i="33"/>
  <c r="O15" i="33"/>
  <c r="N15" i="33"/>
  <c r="Z15" i="33" s="1"/>
  <c r="M15" i="33"/>
  <c r="K15" i="33"/>
  <c r="J15" i="33"/>
  <c r="Y14" i="33"/>
  <c r="V14" i="33"/>
  <c r="R14" i="33"/>
  <c r="Q14" i="33"/>
  <c r="O14" i="33"/>
  <c r="N14" i="33"/>
  <c r="Z14" i="33" s="1"/>
  <c r="I53" i="25" s="1"/>
  <c r="M14" i="33"/>
  <c r="K14" i="33"/>
  <c r="Y13" i="33"/>
  <c r="V13" i="33"/>
  <c r="R13" i="33"/>
  <c r="Q13" i="33"/>
  <c r="O13" i="33"/>
  <c r="N13" i="33"/>
  <c r="Z13" i="33" s="1"/>
  <c r="I52" i="25" s="1"/>
  <c r="M13" i="33"/>
  <c r="K13" i="33"/>
  <c r="F7" i="33"/>
  <c r="C3" i="33"/>
  <c r="C2" i="33"/>
  <c r="AE52" i="32"/>
  <c r="AC52" i="32"/>
  <c r="Z52" i="32"/>
  <c r="V52" i="32"/>
  <c r="U52" i="32"/>
  <c r="P52" i="32"/>
  <c r="AF52" i="32" s="1"/>
  <c r="O52" i="32"/>
  <c r="AD52" i="32" s="1"/>
  <c r="N52" i="32"/>
  <c r="L52" i="32"/>
  <c r="K52" i="32"/>
  <c r="AE51" i="32"/>
  <c r="AC51" i="32"/>
  <c r="Z51" i="32"/>
  <c r="V51" i="32"/>
  <c r="U51" i="32"/>
  <c r="P51" i="32"/>
  <c r="AF51" i="32" s="1"/>
  <c r="O51" i="32"/>
  <c r="AD51" i="32" s="1"/>
  <c r="N51" i="32"/>
  <c r="L51" i="32"/>
  <c r="K51" i="32"/>
  <c r="AE50" i="32"/>
  <c r="AC50" i="32"/>
  <c r="Z50" i="32"/>
  <c r="V50" i="32"/>
  <c r="U50" i="32"/>
  <c r="P50" i="32"/>
  <c r="AF50" i="32" s="1"/>
  <c r="O50" i="32"/>
  <c r="AD50" i="32" s="1"/>
  <c r="N50" i="32"/>
  <c r="L50" i="32"/>
  <c r="K50" i="32"/>
  <c r="AE49" i="32"/>
  <c r="AC49" i="32"/>
  <c r="Z49" i="32"/>
  <c r="V49" i="32"/>
  <c r="U49" i="32"/>
  <c r="P49" i="32"/>
  <c r="AF49" i="32" s="1"/>
  <c r="O49" i="32"/>
  <c r="N49" i="32"/>
  <c r="L49" i="32"/>
  <c r="K49" i="32"/>
  <c r="AE48" i="32"/>
  <c r="AC48" i="32"/>
  <c r="Z48" i="32"/>
  <c r="V48" i="32"/>
  <c r="U48" i="32"/>
  <c r="P48" i="32"/>
  <c r="AF48" i="32" s="1"/>
  <c r="O48" i="32"/>
  <c r="AD48" i="32" s="1"/>
  <c r="N48" i="32"/>
  <c r="L48" i="32"/>
  <c r="K48" i="32"/>
  <c r="AE47" i="32"/>
  <c r="AC47" i="32"/>
  <c r="Z47" i="32"/>
  <c r="V47" i="32"/>
  <c r="U47" i="32"/>
  <c r="P47" i="32"/>
  <c r="AF47" i="32" s="1"/>
  <c r="O47" i="32"/>
  <c r="N47" i="32"/>
  <c r="L47" i="32"/>
  <c r="K47" i="32"/>
  <c r="M47" i="32" s="1"/>
  <c r="AB47" i="32" s="1"/>
  <c r="AE46" i="32"/>
  <c r="AC46" i="32"/>
  <c r="Z46" i="32"/>
  <c r="V46" i="32"/>
  <c r="U46" i="32"/>
  <c r="P46" i="32"/>
  <c r="AF46" i="32" s="1"/>
  <c r="O46" i="32"/>
  <c r="AD46" i="32" s="1"/>
  <c r="N46" i="32"/>
  <c r="L46" i="32"/>
  <c r="K46" i="32"/>
  <c r="AE45" i="32"/>
  <c r="AC45" i="32"/>
  <c r="Z45" i="32"/>
  <c r="V45" i="32"/>
  <c r="U45" i="32"/>
  <c r="P45" i="32"/>
  <c r="AF45" i="32" s="1"/>
  <c r="O45" i="32"/>
  <c r="AD45" i="32" s="1"/>
  <c r="N45" i="32"/>
  <c r="L45" i="32"/>
  <c r="K45" i="32"/>
  <c r="M45" i="32" s="1"/>
  <c r="AB45" i="32" s="1"/>
  <c r="AE44" i="32"/>
  <c r="AC44" i="32"/>
  <c r="Z44" i="32"/>
  <c r="V44" i="32"/>
  <c r="U44" i="32"/>
  <c r="P44" i="32"/>
  <c r="AF44" i="32" s="1"/>
  <c r="O44" i="32"/>
  <c r="AD44" i="32" s="1"/>
  <c r="N44" i="32"/>
  <c r="L44" i="32"/>
  <c r="AE43" i="32"/>
  <c r="AC43" i="32"/>
  <c r="Z43" i="32"/>
  <c r="V43" i="32"/>
  <c r="U43" i="32"/>
  <c r="P43" i="32"/>
  <c r="AF43" i="32" s="1"/>
  <c r="O43" i="32"/>
  <c r="AD43" i="32" s="1"/>
  <c r="N43" i="32"/>
  <c r="L43" i="32"/>
  <c r="AE42" i="32"/>
  <c r="AC42" i="32"/>
  <c r="Z42" i="32"/>
  <c r="V42" i="32"/>
  <c r="U42" i="32"/>
  <c r="P42" i="32"/>
  <c r="AF42" i="32" s="1"/>
  <c r="O42" i="32"/>
  <c r="AD42" i="32" s="1"/>
  <c r="N42" i="32"/>
  <c r="L42" i="32"/>
  <c r="AE41" i="32"/>
  <c r="AC41" i="32"/>
  <c r="Z41" i="32"/>
  <c r="V41" i="32"/>
  <c r="U41" i="32"/>
  <c r="P41" i="32"/>
  <c r="AF41" i="32" s="1"/>
  <c r="O41" i="32"/>
  <c r="AD41" i="32" s="1"/>
  <c r="N41" i="32"/>
  <c r="L41" i="32"/>
  <c r="AE40" i="32"/>
  <c r="AC40" i="32"/>
  <c r="Z40" i="32"/>
  <c r="V40" i="32"/>
  <c r="U40" i="32"/>
  <c r="P40" i="32"/>
  <c r="AF40" i="32" s="1"/>
  <c r="O40" i="32"/>
  <c r="AD40" i="32" s="1"/>
  <c r="N40" i="32"/>
  <c r="L40" i="32"/>
  <c r="K40" i="32"/>
  <c r="AE39" i="32"/>
  <c r="AC39" i="32"/>
  <c r="Z39" i="32"/>
  <c r="V39" i="32"/>
  <c r="U39" i="32"/>
  <c r="P39" i="32"/>
  <c r="AF39" i="32" s="1"/>
  <c r="O39" i="32"/>
  <c r="N39" i="32"/>
  <c r="L39" i="32"/>
  <c r="AE38" i="32"/>
  <c r="AC38" i="32"/>
  <c r="Z38" i="32"/>
  <c r="V38" i="32"/>
  <c r="U38" i="32"/>
  <c r="P38" i="32"/>
  <c r="AF38" i="32" s="1"/>
  <c r="O38" i="32"/>
  <c r="AD38" i="32" s="1"/>
  <c r="N38" i="32"/>
  <c r="L38" i="32"/>
  <c r="AE37" i="32"/>
  <c r="AC37" i="32"/>
  <c r="Z37" i="32"/>
  <c r="V37" i="32"/>
  <c r="U37" i="32"/>
  <c r="P37" i="32"/>
  <c r="AF37" i="32" s="1"/>
  <c r="O37" i="32"/>
  <c r="N37" i="32"/>
  <c r="L37" i="32"/>
  <c r="AE36" i="32"/>
  <c r="AC36" i="32"/>
  <c r="Z36" i="32"/>
  <c r="V36" i="32"/>
  <c r="U36" i="32"/>
  <c r="P36" i="32"/>
  <c r="AF36" i="32" s="1"/>
  <c r="O36" i="32"/>
  <c r="AD36" i="32" s="1"/>
  <c r="N36" i="32"/>
  <c r="L36" i="32"/>
  <c r="K36" i="32"/>
  <c r="M36" i="32" s="1"/>
  <c r="AB36" i="32" s="1"/>
  <c r="AE35" i="32"/>
  <c r="AC35" i="32"/>
  <c r="Z35" i="32"/>
  <c r="V35" i="32"/>
  <c r="U35" i="32"/>
  <c r="P35" i="32"/>
  <c r="AF35" i="32" s="1"/>
  <c r="O35" i="32"/>
  <c r="AD35" i="32" s="1"/>
  <c r="N35" i="32"/>
  <c r="L35" i="32"/>
  <c r="K35" i="32"/>
  <c r="AE34" i="32"/>
  <c r="AC34" i="32"/>
  <c r="Z34" i="32"/>
  <c r="V34" i="32"/>
  <c r="U34" i="32"/>
  <c r="P34" i="32"/>
  <c r="AF34" i="32" s="1"/>
  <c r="O34" i="32"/>
  <c r="AD34" i="32" s="1"/>
  <c r="N34" i="32"/>
  <c r="L34" i="32"/>
  <c r="K34" i="32"/>
  <c r="M34" i="32" s="1"/>
  <c r="AB34" i="32" s="1"/>
  <c r="AE33" i="32"/>
  <c r="AC33" i="32"/>
  <c r="Z33" i="32"/>
  <c r="V33" i="32"/>
  <c r="U33" i="32"/>
  <c r="P33" i="32"/>
  <c r="AF33" i="32" s="1"/>
  <c r="O33" i="32"/>
  <c r="N33" i="32"/>
  <c r="L33" i="32"/>
  <c r="K33" i="32"/>
  <c r="AE32" i="32"/>
  <c r="AD32" i="32"/>
  <c r="AC32" i="32"/>
  <c r="Z32" i="32"/>
  <c r="V32" i="32"/>
  <c r="U32" i="32"/>
  <c r="P32" i="32"/>
  <c r="AF32" i="32" s="1"/>
  <c r="O32" i="32"/>
  <c r="N32" i="32"/>
  <c r="L32" i="32"/>
  <c r="K32" i="32"/>
  <c r="AE31" i="32"/>
  <c r="AD31" i="32"/>
  <c r="AC31" i="32"/>
  <c r="Z31" i="32"/>
  <c r="V31" i="32"/>
  <c r="U31" i="32"/>
  <c r="P31" i="32"/>
  <c r="AF31" i="32" s="1"/>
  <c r="O31" i="32"/>
  <c r="N31" i="32"/>
  <c r="L31" i="32"/>
  <c r="K31" i="32"/>
  <c r="M31" i="32" s="1"/>
  <c r="AB31" i="32" s="1"/>
  <c r="AE30" i="32"/>
  <c r="AC30" i="32"/>
  <c r="Z30" i="32"/>
  <c r="V30" i="32"/>
  <c r="U30" i="32"/>
  <c r="P30" i="32"/>
  <c r="AF30" i="32" s="1"/>
  <c r="O30" i="32"/>
  <c r="AD30" i="32" s="1"/>
  <c r="N30" i="32"/>
  <c r="L30" i="32"/>
  <c r="K30" i="32"/>
  <c r="AE29" i="32"/>
  <c r="AC29" i="32"/>
  <c r="Z29" i="32"/>
  <c r="V29" i="32"/>
  <c r="U29" i="32"/>
  <c r="P29" i="32"/>
  <c r="AF29" i="32" s="1"/>
  <c r="O29" i="32"/>
  <c r="AD29" i="32" s="1"/>
  <c r="N29" i="32"/>
  <c r="L29" i="32"/>
  <c r="K29" i="32"/>
  <c r="M29" i="32" s="1"/>
  <c r="AB29" i="32" s="1"/>
  <c r="AE28" i="32"/>
  <c r="AC28" i="32"/>
  <c r="Z28" i="32"/>
  <c r="V28" i="32"/>
  <c r="U28" i="32"/>
  <c r="P28" i="32"/>
  <c r="AF28" i="32" s="1"/>
  <c r="O28" i="32"/>
  <c r="AD28" i="32" s="1"/>
  <c r="N28" i="32"/>
  <c r="L28" i="32"/>
  <c r="K28" i="32"/>
  <c r="AE27" i="32"/>
  <c r="AC27" i="32"/>
  <c r="Z27" i="32"/>
  <c r="V27" i="32"/>
  <c r="U27" i="32"/>
  <c r="P27" i="32"/>
  <c r="AF27" i="32" s="1"/>
  <c r="O27" i="32"/>
  <c r="AD27" i="32" s="1"/>
  <c r="N27" i="32"/>
  <c r="L27" i="32"/>
  <c r="K27" i="32"/>
  <c r="M27" i="32" s="1"/>
  <c r="AB27" i="32" s="1"/>
  <c r="AE26" i="32"/>
  <c r="AC26" i="32"/>
  <c r="Z26" i="32"/>
  <c r="V26" i="32"/>
  <c r="U26" i="32"/>
  <c r="P26" i="32"/>
  <c r="AF26" i="32" s="1"/>
  <c r="O26" i="32"/>
  <c r="AD26" i="32" s="1"/>
  <c r="N26" i="32"/>
  <c r="L26" i="32"/>
  <c r="K26" i="32"/>
  <c r="AE25" i="32"/>
  <c r="AC25" i="32"/>
  <c r="Z25" i="32"/>
  <c r="V25" i="32"/>
  <c r="U25" i="32"/>
  <c r="P25" i="32"/>
  <c r="AF25" i="32" s="1"/>
  <c r="O25" i="32"/>
  <c r="AD25" i="32" s="1"/>
  <c r="N25" i="32"/>
  <c r="L25" i="32"/>
  <c r="K25" i="32"/>
  <c r="M25" i="32" s="1"/>
  <c r="AB25" i="32" s="1"/>
  <c r="AE24" i="32"/>
  <c r="AC24" i="32"/>
  <c r="Z24" i="32"/>
  <c r="V24" i="32"/>
  <c r="U24" i="32"/>
  <c r="P24" i="32"/>
  <c r="AF24" i="32" s="1"/>
  <c r="O24" i="32"/>
  <c r="AD24" i="32" s="1"/>
  <c r="N24" i="32"/>
  <c r="L24" i="32"/>
  <c r="K24" i="32"/>
  <c r="AE23" i="32"/>
  <c r="AC23" i="32"/>
  <c r="Z23" i="32"/>
  <c r="V23" i="32"/>
  <c r="U23" i="32"/>
  <c r="P23" i="32"/>
  <c r="AF23" i="32" s="1"/>
  <c r="O23" i="32"/>
  <c r="AD23" i="32" s="1"/>
  <c r="N23" i="32"/>
  <c r="L23" i="32"/>
  <c r="K23" i="32"/>
  <c r="M23" i="32" s="1"/>
  <c r="AB23" i="32" s="1"/>
  <c r="AE22" i="32"/>
  <c r="AC22" i="32"/>
  <c r="Z22" i="32"/>
  <c r="V22" i="32"/>
  <c r="U22" i="32"/>
  <c r="P22" i="32"/>
  <c r="AF22" i="32" s="1"/>
  <c r="O22" i="32"/>
  <c r="AD22" i="32" s="1"/>
  <c r="N22" i="32"/>
  <c r="L22" i="32"/>
  <c r="K22" i="32"/>
  <c r="AE21" i="32"/>
  <c r="AC21" i="32"/>
  <c r="Z21" i="32"/>
  <c r="V21" i="32"/>
  <c r="U21" i="32"/>
  <c r="P21" i="32"/>
  <c r="AF21" i="32" s="1"/>
  <c r="O21" i="32"/>
  <c r="AD21" i="32" s="1"/>
  <c r="N21" i="32"/>
  <c r="L21" i="32"/>
  <c r="K21" i="32"/>
  <c r="M21" i="32" s="1"/>
  <c r="AB21" i="32" s="1"/>
  <c r="AE20" i="32"/>
  <c r="AC20" i="32"/>
  <c r="Z20" i="32"/>
  <c r="V20" i="32"/>
  <c r="U20" i="32"/>
  <c r="P20" i="32"/>
  <c r="AF20" i="32" s="1"/>
  <c r="O20" i="32"/>
  <c r="AD20" i="32" s="1"/>
  <c r="N20" i="32"/>
  <c r="L20" i="32"/>
  <c r="AE19" i="32"/>
  <c r="AC19" i="32"/>
  <c r="Z19" i="32"/>
  <c r="V19" i="32"/>
  <c r="U19" i="32"/>
  <c r="P19" i="32"/>
  <c r="AF19" i="32" s="1"/>
  <c r="O19" i="32"/>
  <c r="AD19" i="32" s="1"/>
  <c r="N19" i="32"/>
  <c r="L19" i="32"/>
  <c r="AE18" i="32"/>
  <c r="AC18" i="32"/>
  <c r="Z18" i="32"/>
  <c r="V18" i="32"/>
  <c r="U18" i="32"/>
  <c r="P18" i="32"/>
  <c r="AF18" i="32" s="1"/>
  <c r="O18" i="32"/>
  <c r="AD18" i="32" s="1"/>
  <c r="N18" i="32"/>
  <c r="L18" i="32"/>
  <c r="AE17" i="32"/>
  <c r="AC17" i="32"/>
  <c r="Z17" i="32"/>
  <c r="V17" i="32"/>
  <c r="U17" i="32"/>
  <c r="P17" i="32"/>
  <c r="AF17" i="32" s="1"/>
  <c r="O17" i="32"/>
  <c r="AD17" i="32" s="1"/>
  <c r="N17" i="32"/>
  <c r="L17" i="32"/>
  <c r="AE16" i="32"/>
  <c r="AC16" i="32"/>
  <c r="Z16" i="32"/>
  <c r="V16" i="32"/>
  <c r="U16" i="32"/>
  <c r="P16" i="32"/>
  <c r="AF16" i="32" s="1"/>
  <c r="O16" i="32"/>
  <c r="AD16" i="32" s="1"/>
  <c r="N16" i="32"/>
  <c r="L16" i="32"/>
  <c r="AE15" i="32"/>
  <c r="AC15" i="32"/>
  <c r="Z15" i="32"/>
  <c r="V15" i="32"/>
  <c r="U15" i="32"/>
  <c r="P15" i="32"/>
  <c r="AF15" i="32" s="1"/>
  <c r="O15" i="32"/>
  <c r="AD15" i="32" s="1"/>
  <c r="I25" i="25" s="1"/>
  <c r="N15" i="32"/>
  <c r="L15" i="32"/>
  <c r="AF14" i="32"/>
  <c r="AE14" i="32"/>
  <c r="I48" i="25" s="1"/>
  <c r="AC14" i="32"/>
  <c r="Z14" i="32"/>
  <c r="V14" i="32"/>
  <c r="U14" i="32"/>
  <c r="P14" i="32"/>
  <c r="O14" i="32"/>
  <c r="AD14" i="32" s="1"/>
  <c r="N14" i="32"/>
  <c r="L14" i="32"/>
  <c r="AE13" i="32"/>
  <c r="AC13" i="32"/>
  <c r="Z13" i="32"/>
  <c r="V13" i="32"/>
  <c r="P13" i="32"/>
  <c r="AF13" i="32" s="1"/>
  <c r="I47" i="25" s="1"/>
  <c r="O13" i="32"/>
  <c r="AD13" i="32" s="1"/>
  <c r="N13" i="32"/>
  <c r="L13" i="32"/>
  <c r="F7" i="32"/>
  <c r="C3" i="32"/>
  <c r="C2" i="32"/>
  <c r="E78" i="29"/>
  <c r="E74" i="29"/>
  <c r="E77" i="29"/>
  <c r="C3" i="29"/>
  <c r="C2" i="29"/>
  <c r="I190" i="28"/>
  <c r="F190" i="28"/>
  <c r="J190" i="28" s="1"/>
  <c r="E190" i="28"/>
  <c r="I189" i="28"/>
  <c r="F189" i="28"/>
  <c r="J189" i="28" s="1"/>
  <c r="E189" i="28"/>
  <c r="I188" i="28"/>
  <c r="F188" i="28"/>
  <c r="J188" i="28" s="1"/>
  <c r="E188" i="28"/>
  <c r="I187" i="28"/>
  <c r="F187" i="28"/>
  <c r="J187" i="28" s="1"/>
  <c r="E187" i="28"/>
  <c r="I186" i="28"/>
  <c r="F186" i="28"/>
  <c r="J186" i="28" s="1"/>
  <c r="E186" i="28"/>
  <c r="G185" i="28"/>
  <c r="J185" i="28" s="1"/>
  <c r="G184" i="28"/>
  <c r="J184" i="28" s="1"/>
  <c r="I183" i="28"/>
  <c r="G183" i="28"/>
  <c r="E183" i="28"/>
  <c r="I174" i="28"/>
  <c r="F174" i="28"/>
  <c r="E174" i="28"/>
  <c r="I173" i="28"/>
  <c r="F173" i="28"/>
  <c r="E173" i="28"/>
  <c r="I172" i="28"/>
  <c r="F172" i="28"/>
  <c r="E172" i="28"/>
  <c r="I171" i="28"/>
  <c r="F171" i="28"/>
  <c r="E171" i="28"/>
  <c r="I170" i="28"/>
  <c r="F170" i="28"/>
  <c r="E170" i="28"/>
  <c r="G169" i="28"/>
  <c r="J169" i="28" s="1"/>
  <c r="G168" i="28"/>
  <c r="J168" i="28" s="1"/>
  <c r="I167" i="28"/>
  <c r="G167" i="28"/>
  <c r="E167" i="28"/>
  <c r="I159" i="28"/>
  <c r="F159" i="28"/>
  <c r="E159" i="28"/>
  <c r="I158" i="28"/>
  <c r="F158" i="28"/>
  <c r="E158" i="28"/>
  <c r="I157" i="28"/>
  <c r="F157" i="28"/>
  <c r="E157" i="28"/>
  <c r="I156" i="28"/>
  <c r="F156" i="28"/>
  <c r="J156" i="28" s="1"/>
  <c r="E156" i="28"/>
  <c r="I155" i="28"/>
  <c r="F155" i="28"/>
  <c r="E155" i="28"/>
  <c r="G154" i="28"/>
  <c r="J154" i="28" s="1"/>
  <c r="G153" i="28"/>
  <c r="J153" i="28" s="1"/>
  <c r="I152" i="28"/>
  <c r="G152" i="28"/>
  <c r="E152" i="28"/>
  <c r="I144" i="28"/>
  <c r="F144" i="28"/>
  <c r="E144" i="28"/>
  <c r="I143" i="28"/>
  <c r="F143" i="28"/>
  <c r="E143" i="28"/>
  <c r="I142" i="28"/>
  <c r="F142" i="28"/>
  <c r="E142" i="28"/>
  <c r="I141" i="28"/>
  <c r="F141" i="28"/>
  <c r="E141" i="28"/>
  <c r="I140" i="28"/>
  <c r="F140" i="28"/>
  <c r="E140" i="28"/>
  <c r="G139" i="28"/>
  <c r="J139" i="28" s="1"/>
  <c r="G138" i="28"/>
  <c r="J138" i="28" s="1"/>
  <c r="I137" i="28"/>
  <c r="G137" i="28"/>
  <c r="E137" i="28"/>
  <c r="I129" i="28"/>
  <c r="F129" i="28"/>
  <c r="E129" i="28"/>
  <c r="I128" i="28"/>
  <c r="F128" i="28"/>
  <c r="E128" i="28"/>
  <c r="I127" i="28"/>
  <c r="F127" i="28"/>
  <c r="E127" i="28"/>
  <c r="I126" i="28"/>
  <c r="F126" i="28"/>
  <c r="E126" i="28"/>
  <c r="I125" i="28"/>
  <c r="F125" i="28"/>
  <c r="E125" i="28"/>
  <c r="G124" i="28"/>
  <c r="J124" i="28" s="1"/>
  <c r="G123" i="28"/>
  <c r="J123" i="28" s="1"/>
  <c r="I117" i="28"/>
  <c r="G117" i="28"/>
  <c r="I109" i="28"/>
  <c r="H109" i="28"/>
  <c r="I108" i="28"/>
  <c r="H108" i="28"/>
  <c r="I107" i="28"/>
  <c r="F107" i="28"/>
  <c r="I106" i="28"/>
  <c r="F106" i="28"/>
  <c r="I105" i="28"/>
  <c r="F105" i="28"/>
  <c r="I104" i="28"/>
  <c r="F104" i="28"/>
  <c r="I103" i="28"/>
  <c r="F103" i="28"/>
  <c r="I95" i="28"/>
  <c r="F95" i="28"/>
  <c r="E95" i="28"/>
  <c r="I94" i="28"/>
  <c r="F94" i="28"/>
  <c r="E94" i="28"/>
  <c r="I93" i="28"/>
  <c r="F93" i="28"/>
  <c r="E93" i="28"/>
  <c r="I92" i="28"/>
  <c r="F92" i="28"/>
  <c r="E92" i="28"/>
  <c r="I91" i="28"/>
  <c r="F91" i="28"/>
  <c r="E91" i="28"/>
  <c r="G90" i="28"/>
  <c r="J90" i="28" s="1"/>
  <c r="G89" i="28"/>
  <c r="J89" i="28" s="1"/>
  <c r="I88" i="28"/>
  <c r="G88" i="28"/>
  <c r="E88" i="28"/>
  <c r="I80" i="28"/>
  <c r="F80" i="28"/>
  <c r="E80" i="28"/>
  <c r="I79" i="28"/>
  <c r="F79" i="28"/>
  <c r="E79" i="28"/>
  <c r="I78" i="28"/>
  <c r="F78" i="28"/>
  <c r="E78" i="28"/>
  <c r="I77" i="28"/>
  <c r="F77" i="28"/>
  <c r="E77" i="28"/>
  <c r="I76" i="28"/>
  <c r="F76" i="28"/>
  <c r="E76" i="28"/>
  <c r="G75" i="28"/>
  <c r="J75" i="28" s="1"/>
  <c r="G74" i="28"/>
  <c r="J74" i="28" s="1"/>
  <c r="I73" i="28"/>
  <c r="G73" i="28"/>
  <c r="E73" i="28"/>
  <c r="I65" i="28"/>
  <c r="F65" i="28"/>
  <c r="E65" i="28"/>
  <c r="I64" i="28"/>
  <c r="F64" i="28"/>
  <c r="E64" i="28"/>
  <c r="I63" i="28"/>
  <c r="F63" i="28"/>
  <c r="E63" i="28"/>
  <c r="I62" i="28"/>
  <c r="F62" i="28"/>
  <c r="E62" i="28"/>
  <c r="I61" i="28"/>
  <c r="F61" i="28"/>
  <c r="E61" i="28"/>
  <c r="G60" i="28"/>
  <c r="J60" i="28" s="1"/>
  <c r="G59" i="28"/>
  <c r="J59" i="28" s="1"/>
  <c r="I58" i="28"/>
  <c r="G58" i="28"/>
  <c r="F58" i="28"/>
  <c r="E58" i="28"/>
  <c r="E106" i="28"/>
  <c r="G107" i="28"/>
  <c r="G103" i="28"/>
  <c r="E3" i="28"/>
  <c r="E2" i="28"/>
  <c r="T13" i="32"/>
  <c r="J19" i="34"/>
  <c r="M22" i="32" l="1"/>
  <c r="AB22" i="32" s="1"/>
  <c r="M26" i="32"/>
  <c r="AB26" i="32" s="1"/>
  <c r="M30" i="32"/>
  <c r="AB30" i="32" s="1"/>
  <c r="M33" i="32"/>
  <c r="AB33" i="32" s="1"/>
  <c r="M35" i="32"/>
  <c r="AB35" i="32" s="1"/>
  <c r="M40" i="32"/>
  <c r="AB40" i="32" s="1"/>
  <c r="I49" i="25"/>
  <c r="I31" i="25"/>
  <c r="L19" i="34"/>
  <c r="X19" i="34" s="1"/>
  <c r="J12" i="25" s="1"/>
  <c r="J171" i="28"/>
  <c r="J125" i="28"/>
  <c r="J129" i="28"/>
  <c r="J142" i="28"/>
  <c r="J126" i="28"/>
  <c r="J143" i="28"/>
  <c r="J172" i="28"/>
  <c r="L21" i="34"/>
  <c r="X21" i="34" s="1"/>
  <c r="J127" i="28"/>
  <c r="J128" i="28"/>
  <c r="J155" i="28"/>
  <c r="J159" i="28"/>
  <c r="J76" i="28"/>
  <c r="J93" i="28"/>
  <c r="J141" i="28"/>
  <c r="J170" i="28"/>
  <c r="J62" i="28"/>
  <c r="J140" i="28"/>
  <c r="J144" i="28"/>
  <c r="J157" i="28"/>
  <c r="J173" i="28"/>
  <c r="J63" i="28"/>
  <c r="J158" i="28"/>
  <c r="J174" i="28"/>
  <c r="J106" i="28"/>
  <c r="J80" i="28"/>
  <c r="J77" i="28"/>
  <c r="J94" i="28"/>
  <c r="J78" i="28"/>
  <c r="M50" i="32"/>
  <c r="AB50" i="32" s="1"/>
  <c r="M52" i="32"/>
  <c r="AB52" i="32" s="1"/>
  <c r="L15" i="33"/>
  <c r="X15" i="33" s="1"/>
  <c r="L22" i="34"/>
  <c r="X22" i="34" s="1"/>
  <c r="J7" i="25"/>
  <c r="J6" i="25"/>
  <c r="J8" i="25"/>
  <c r="J9" i="25"/>
  <c r="L16" i="34"/>
  <c r="X16" i="34" s="1"/>
  <c r="L18" i="34"/>
  <c r="X18" i="34" s="1"/>
  <c r="L17" i="33"/>
  <c r="X17" i="33" s="1"/>
  <c r="M46" i="32"/>
  <c r="AB46" i="32" s="1"/>
  <c r="M48" i="32"/>
  <c r="AB48" i="32" s="1"/>
  <c r="I29" i="25"/>
  <c r="I33" i="25"/>
  <c r="M24" i="32"/>
  <c r="AB24" i="32" s="1"/>
  <c r="M28" i="32"/>
  <c r="AB28" i="32" s="1"/>
  <c r="M32" i="32"/>
  <c r="AB32" i="32" s="1"/>
  <c r="M49" i="32"/>
  <c r="AB49" i="32" s="1"/>
  <c r="M51" i="32"/>
  <c r="AB51" i="32" s="1"/>
  <c r="I24" i="25"/>
  <c r="I28" i="25"/>
  <c r="I32" i="25"/>
  <c r="I46" i="25"/>
  <c r="I50" i="25"/>
  <c r="I26" i="25"/>
  <c r="I30" i="25"/>
  <c r="I34" i="25"/>
  <c r="I23" i="25"/>
  <c r="I27" i="25"/>
  <c r="I45" i="25"/>
  <c r="T46" i="32"/>
  <c r="R36" i="32"/>
  <c r="R38" i="32"/>
  <c r="R40" i="32"/>
  <c r="R42" i="32"/>
  <c r="R50" i="32"/>
  <c r="T15" i="32"/>
  <c r="T23" i="32"/>
  <c r="T31" i="32"/>
  <c r="T35" i="32"/>
  <c r="T39" i="32"/>
  <c r="T43" i="32"/>
  <c r="T47" i="32"/>
  <c r="S17" i="32"/>
  <c r="R48" i="32"/>
  <c r="L15" i="34"/>
  <c r="X15" i="34" s="1"/>
  <c r="H13" i="35"/>
  <c r="T13" i="35" s="1"/>
  <c r="J18" i="25" s="1"/>
  <c r="H14" i="35"/>
  <c r="T14" i="35" s="1"/>
  <c r="H15" i="35"/>
  <c r="T15" i="35" s="1"/>
  <c r="T17" i="32"/>
  <c r="T21" i="32"/>
  <c r="T25" i="32"/>
  <c r="T29" i="32"/>
  <c r="T33" i="32"/>
  <c r="T37" i="32"/>
  <c r="T41" i="32"/>
  <c r="T45" i="32"/>
  <c r="T49" i="32"/>
  <c r="S14" i="32"/>
  <c r="S15" i="32"/>
  <c r="S16" i="32"/>
  <c r="R34" i="32"/>
  <c r="R44" i="32"/>
  <c r="T14" i="32"/>
  <c r="T18" i="32"/>
  <c r="T22" i="32"/>
  <c r="T26" i="32"/>
  <c r="T30" i="32"/>
  <c r="T34" i="32"/>
  <c r="T38" i="32"/>
  <c r="T42" i="32"/>
  <c r="T50" i="32"/>
  <c r="T19" i="32"/>
  <c r="T27" i="32"/>
  <c r="T51" i="32"/>
  <c r="S13" i="32"/>
  <c r="S18" i="32"/>
  <c r="S19" i="32"/>
  <c r="S20" i="32"/>
  <c r="S21" i="32"/>
  <c r="S22" i="32"/>
  <c r="S23" i="32"/>
  <c r="S24" i="32"/>
  <c r="S25" i="32"/>
  <c r="S26" i="32"/>
  <c r="S27" i="32"/>
  <c r="S28" i="32"/>
  <c r="S29" i="32"/>
  <c r="S30" i="32"/>
  <c r="S31" i="32"/>
  <c r="S32" i="32"/>
  <c r="R46" i="32"/>
  <c r="R52" i="32"/>
  <c r="L16" i="33"/>
  <c r="X16" i="33" s="1"/>
  <c r="J16" i="25" s="1"/>
  <c r="L18" i="33"/>
  <c r="X18" i="33" s="1"/>
  <c r="L17" i="34"/>
  <c r="X17" i="34" s="1"/>
  <c r="T16" i="32"/>
  <c r="T20" i="32"/>
  <c r="T24" i="32"/>
  <c r="T28" i="32"/>
  <c r="T32" i="32"/>
  <c r="T36" i="32"/>
  <c r="T40" i="32"/>
  <c r="T44" i="32"/>
  <c r="T48" i="32"/>
  <c r="T52" i="32"/>
  <c r="E105" i="28"/>
  <c r="J105" i="28" s="1"/>
  <c r="E103" i="28"/>
  <c r="E104" i="28"/>
  <c r="J104" i="28" s="1"/>
  <c r="E107" i="28"/>
  <c r="J107" i="28" s="1"/>
  <c r="AD37" i="32"/>
  <c r="K20" i="32"/>
  <c r="M20" i="32" s="1"/>
  <c r="AB20" i="32" s="1"/>
  <c r="K19" i="32"/>
  <c r="M19" i="32" s="1"/>
  <c r="AB19" i="32" s="1"/>
  <c r="K18" i="32"/>
  <c r="M18" i="32" s="1"/>
  <c r="AB18" i="32" s="1"/>
  <c r="K17" i="32"/>
  <c r="M17" i="32" s="1"/>
  <c r="AB17" i="32" s="1"/>
  <c r="K16" i="32"/>
  <c r="M16" i="32" s="1"/>
  <c r="AB16" i="32" s="1"/>
  <c r="K15" i="32"/>
  <c r="M15" i="32" s="1"/>
  <c r="AB15" i="32" s="1"/>
  <c r="K14" i="32"/>
  <c r="M14" i="32" s="1"/>
  <c r="AB14" i="32" s="1"/>
  <c r="K13" i="32"/>
  <c r="M13" i="32" s="1"/>
  <c r="AB13" i="32" s="1"/>
  <c r="J103" i="28"/>
  <c r="J13" i="34"/>
  <c r="L13" i="34" s="1"/>
  <c r="X13" i="34" s="1"/>
  <c r="J14" i="34"/>
  <c r="L14" i="34" s="1"/>
  <c r="X14" i="34" s="1"/>
  <c r="J13" i="33"/>
  <c r="L13" i="33" s="1"/>
  <c r="X13" i="33" s="1"/>
  <c r="J15" i="25" s="1"/>
  <c r="K41" i="32"/>
  <c r="M41" i="32" s="1"/>
  <c r="AB41" i="32" s="1"/>
  <c r="K37" i="32"/>
  <c r="M37" i="32" s="1"/>
  <c r="AB37" i="32" s="1"/>
  <c r="J11" i="25" s="1"/>
  <c r="K43" i="32"/>
  <c r="M43" i="32" s="1"/>
  <c r="AB43" i="32" s="1"/>
  <c r="K39" i="32"/>
  <c r="M39" i="32" s="1"/>
  <c r="AB39" i="32" s="1"/>
  <c r="F183" i="28"/>
  <c r="J183" i="28" s="1"/>
  <c r="J192" i="28" s="1"/>
  <c r="F152" i="28"/>
  <c r="J152" i="28" s="1"/>
  <c r="F117" i="28"/>
  <c r="J117" i="28" s="1"/>
  <c r="F167" i="28"/>
  <c r="J167" i="28" s="1"/>
  <c r="J176" i="28" s="1"/>
  <c r="F137" i="28"/>
  <c r="J137" i="28" s="1"/>
  <c r="J61" i="28"/>
  <c r="J65" i="28"/>
  <c r="J79" i="28"/>
  <c r="F88" i="28"/>
  <c r="J88" i="28" s="1"/>
  <c r="J92" i="28"/>
  <c r="AD33" i="32"/>
  <c r="K38" i="32"/>
  <c r="M38" i="32" s="1"/>
  <c r="AB38" i="32" s="1"/>
  <c r="AD39" i="32"/>
  <c r="AD47" i="32"/>
  <c r="AD49" i="32"/>
  <c r="J14" i="33"/>
  <c r="L14" i="33" s="1"/>
  <c r="X14" i="33" s="1"/>
  <c r="J58" i="28"/>
  <c r="J64" i="28"/>
  <c r="F73" i="28"/>
  <c r="J73" i="28" s="1"/>
  <c r="J91" i="28"/>
  <c r="J95" i="28"/>
  <c r="K42" i="32"/>
  <c r="M42" i="32" s="1"/>
  <c r="AB42" i="32" s="1"/>
  <c r="J20" i="34"/>
  <c r="L20" i="34" s="1"/>
  <c r="X20" i="34" s="1"/>
  <c r="E109" i="28"/>
  <c r="J109" i="28" s="1"/>
  <c r="E108" i="28"/>
  <c r="J108" i="28" s="1"/>
  <c r="E79" i="29"/>
  <c r="K44" i="32"/>
  <c r="M44" i="32" s="1"/>
  <c r="AB44" i="32" s="1"/>
  <c r="S52" i="32"/>
  <c r="S51" i="32"/>
  <c r="S50" i="32"/>
  <c r="S49" i="32"/>
  <c r="S48" i="32"/>
  <c r="S47" i="32"/>
  <c r="S46" i="32"/>
  <c r="S45" i="32"/>
  <c r="S44" i="32"/>
  <c r="S43" i="32"/>
  <c r="S42" i="32"/>
  <c r="S41" i="32"/>
  <c r="S40" i="32"/>
  <c r="S39" i="32"/>
  <c r="S38" i="32"/>
  <c r="S37" i="32"/>
  <c r="S36" i="32"/>
  <c r="S35" i="32"/>
  <c r="S34" i="32"/>
  <c r="S33" i="32"/>
  <c r="R33" i="32"/>
  <c r="R37" i="32"/>
  <c r="R41" i="32"/>
  <c r="R45" i="32"/>
  <c r="R49" i="32"/>
  <c r="R13" i="32"/>
  <c r="R14" i="32"/>
  <c r="R15" i="32"/>
  <c r="R16" i="32"/>
  <c r="R17" i="32"/>
  <c r="R18" i="32"/>
  <c r="R19" i="32"/>
  <c r="R20" i="32"/>
  <c r="R21" i="32"/>
  <c r="R22" i="32"/>
  <c r="R23" i="32"/>
  <c r="R24" i="32"/>
  <c r="R25" i="32"/>
  <c r="R26" i="32"/>
  <c r="R27" i="32"/>
  <c r="R28" i="32"/>
  <c r="R29" i="32"/>
  <c r="R30" i="32"/>
  <c r="R31" i="32"/>
  <c r="R32" i="32"/>
  <c r="R35" i="32"/>
  <c r="R39" i="32"/>
  <c r="R43" i="32"/>
  <c r="R47" i="32"/>
  <c r="R51" i="32"/>
  <c r="H56" i="25"/>
  <c r="H55" i="25"/>
  <c r="H53" i="25"/>
  <c r="H52" i="25"/>
  <c r="H50" i="25"/>
  <c r="H49" i="25"/>
  <c r="H48" i="25"/>
  <c r="H47" i="25"/>
  <c r="H46" i="25"/>
  <c r="H45" i="25"/>
  <c r="J131" i="28" l="1"/>
  <c r="J161" i="28"/>
  <c r="J67" i="28"/>
  <c r="P17" i="34" s="1"/>
  <c r="S17" i="34" s="1"/>
  <c r="J146" i="28"/>
  <c r="J97" i="28"/>
  <c r="P22" i="34" s="1"/>
  <c r="S22" i="34" s="1"/>
  <c r="J82" i="28"/>
  <c r="P18" i="33" s="1"/>
  <c r="S18" i="33" s="1"/>
  <c r="J4" i="25"/>
  <c r="J5" i="25"/>
  <c r="L16" i="35"/>
  <c r="O16" i="35" s="1"/>
  <c r="L15" i="35"/>
  <c r="O15" i="35" s="1"/>
  <c r="L14" i="35"/>
  <c r="O14" i="35" s="1"/>
  <c r="L13" i="35"/>
  <c r="O13" i="35" s="1"/>
  <c r="P19" i="34"/>
  <c r="S19" i="34" s="1"/>
  <c r="P15" i="33"/>
  <c r="S15" i="33" s="1"/>
  <c r="J111" i="28"/>
  <c r="P15" i="34" l="1"/>
  <c r="S15" i="34" s="1"/>
  <c r="T15" i="34" s="1"/>
  <c r="P20" i="34"/>
  <c r="S20" i="34" s="1"/>
  <c r="W20" i="34" s="1"/>
  <c r="P14" i="34"/>
  <c r="S14" i="34" s="1"/>
  <c r="T14" i="34" s="1"/>
  <c r="P18" i="34"/>
  <c r="S18" i="34" s="1"/>
  <c r="P13" i="34"/>
  <c r="S13" i="34" s="1"/>
  <c r="W13" i="34" s="1"/>
  <c r="P16" i="34"/>
  <c r="S16" i="34" s="1"/>
  <c r="T16" i="34" s="1"/>
  <c r="P16" i="33"/>
  <c r="S16" i="33" s="1"/>
  <c r="W16" i="33" s="1"/>
  <c r="I16" i="25" s="1"/>
  <c r="P21" i="34"/>
  <c r="S21" i="34" s="1"/>
  <c r="T21" i="34" s="1"/>
  <c r="P14" i="33"/>
  <c r="S14" i="33" s="1"/>
  <c r="T14" i="33" s="1"/>
  <c r="P17" i="33"/>
  <c r="S17" i="33" s="1"/>
  <c r="T17" i="33" s="1"/>
  <c r="P13" i="33"/>
  <c r="S13" i="33" s="1"/>
  <c r="T20" i="34"/>
  <c r="T22" i="34"/>
  <c r="W22" i="34"/>
  <c r="P13" i="35"/>
  <c r="S13" i="35"/>
  <c r="I18" i="25" s="1"/>
  <c r="W15" i="34"/>
  <c r="T15" i="33"/>
  <c r="W15" i="33"/>
  <c r="W21" i="34"/>
  <c r="P14" i="35"/>
  <c r="S14" i="35"/>
  <c r="T18" i="34"/>
  <c r="W18" i="34"/>
  <c r="P15" i="35"/>
  <c r="S15" i="35"/>
  <c r="T17" i="34"/>
  <c r="W17" i="34"/>
  <c r="T18" i="33"/>
  <c r="W18" i="33"/>
  <c r="T19" i="34"/>
  <c r="W19" i="34"/>
  <c r="I12" i="25" s="1"/>
  <c r="K12" i="25" s="1"/>
  <c r="P16" i="35"/>
  <c r="S16" i="35"/>
  <c r="Q50" i="32"/>
  <c r="Q46" i="32"/>
  <c r="Q42" i="32"/>
  <c r="Q38" i="32"/>
  <c r="Q34" i="32"/>
  <c r="Q52" i="32"/>
  <c r="Q48" i="32"/>
  <c r="Q44" i="32"/>
  <c r="Q40" i="32"/>
  <c r="Q36" i="32"/>
  <c r="Q32" i="32"/>
  <c r="Q31" i="32"/>
  <c r="Q30" i="32"/>
  <c r="Q29" i="32"/>
  <c r="Q28" i="32"/>
  <c r="Q27" i="32"/>
  <c r="Q26" i="32"/>
  <c r="Q25" i="32"/>
  <c r="Q24" i="32"/>
  <c r="Q23" i="32"/>
  <c r="Q22" i="32"/>
  <c r="Q21" i="32"/>
  <c r="Q20" i="32"/>
  <c r="Q19" i="32"/>
  <c r="Q18" i="32"/>
  <c r="Q17" i="32"/>
  <c r="Q16" i="32"/>
  <c r="W16" i="32" s="1"/>
  <c r="Q15" i="32"/>
  <c r="Q14" i="32"/>
  <c r="Q13" i="32"/>
  <c r="Q45" i="32"/>
  <c r="Q43" i="32"/>
  <c r="W43" i="32" s="1"/>
  <c r="Q33" i="32"/>
  <c r="Q51" i="32"/>
  <c r="Q41" i="32"/>
  <c r="Q35" i="32"/>
  <c r="Q37" i="32"/>
  <c r="Q49" i="32"/>
  <c r="W49" i="32" s="1"/>
  <c r="Q47" i="32"/>
  <c r="Q39" i="32"/>
  <c r="H234" i="3"/>
  <c r="H233" i="3"/>
  <c r="H232" i="3"/>
  <c r="H231" i="3"/>
  <c r="H230" i="3"/>
  <c r="H229" i="3"/>
  <c r="H228" i="3"/>
  <c r="H227" i="3"/>
  <c r="H226" i="3"/>
  <c r="H225" i="3"/>
  <c r="H223" i="3"/>
  <c r="H222" i="3"/>
  <c r="H221" i="3"/>
  <c r="H220" i="3"/>
  <c r="H219" i="3"/>
  <c r="H218" i="3"/>
  <c r="H217" i="3"/>
  <c r="H216" i="3"/>
  <c r="H215" i="3"/>
  <c r="H214" i="3"/>
  <c r="H213" i="3"/>
  <c r="H212" i="3"/>
  <c r="H211" i="3"/>
  <c r="H210" i="3"/>
  <c r="H209" i="3"/>
  <c r="H208" i="3"/>
  <c r="H207" i="3"/>
  <c r="H206" i="3"/>
  <c r="H205" i="3"/>
  <c r="H204" i="3"/>
  <c r="BN72" i="14"/>
  <c r="J72" i="14"/>
  <c r="A72" i="14"/>
  <c r="B72" i="14" s="1"/>
  <c r="BN71" i="14"/>
  <c r="J71" i="14"/>
  <c r="A71" i="14"/>
  <c r="B71" i="14" s="1"/>
  <c r="BN49" i="14"/>
  <c r="J49" i="14"/>
  <c r="A49" i="14"/>
  <c r="B49" i="14" s="1"/>
  <c r="BN48" i="14"/>
  <c r="J48" i="14"/>
  <c r="A48" i="14"/>
  <c r="B48" i="14" s="1"/>
  <c r="BN26" i="14"/>
  <c r="J26" i="14"/>
  <c r="A26" i="14"/>
  <c r="B26" i="14" s="1"/>
  <c r="BN25" i="14"/>
  <c r="J25" i="14"/>
  <c r="A25" i="14"/>
  <c r="B25" i="14" s="1"/>
  <c r="W16" i="34" l="1"/>
  <c r="T13" i="34"/>
  <c r="W14" i="34"/>
  <c r="T16" i="33"/>
  <c r="W17" i="33"/>
  <c r="W14" i="33"/>
  <c r="W13" i="33"/>
  <c r="I15" i="25" s="1"/>
  <c r="T13" i="33"/>
  <c r="X43" i="32"/>
  <c r="AA43" i="32"/>
  <c r="X16" i="32"/>
  <c r="AA16" i="32"/>
  <c r="X49" i="32"/>
  <c r="AA49" i="32"/>
  <c r="W47" i="32"/>
  <c r="W41" i="32"/>
  <c r="W45" i="32"/>
  <c r="W20" i="32"/>
  <c r="W24" i="32"/>
  <c r="W28" i="32"/>
  <c r="W32" i="32"/>
  <c r="W42" i="32"/>
  <c r="W51" i="32"/>
  <c r="W17" i="32"/>
  <c r="W25" i="32"/>
  <c r="W29" i="32"/>
  <c r="W36" i="32"/>
  <c r="W46" i="32"/>
  <c r="W39" i="32"/>
  <c r="W35" i="32"/>
  <c r="W15" i="32"/>
  <c r="W19" i="32"/>
  <c r="W23" i="32"/>
  <c r="W27" i="32"/>
  <c r="W31" i="32"/>
  <c r="W44" i="32"/>
  <c r="W38" i="32"/>
  <c r="W48" i="32"/>
  <c r="W13" i="32"/>
  <c r="W21" i="32"/>
  <c r="W52" i="32"/>
  <c r="W37" i="32"/>
  <c r="W33" i="32"/>
  <c r="W14" i="32"/>
  <c r="W18" i="32"/>
  <c r="W22" i="32"/>
  <c r="W26" i="32"/>
  <c r="W30" i="32"/>
  <c r="W40" i="32"/>
  <c r="W34" i="32"/>
  <c r="W50" i="32"/>
  <c r="X50" i="32" l="1"/>
  <c r="AA50" i="32"/>
  <c r="X26" i="32"/>
  <c r="AA26" i="32"/>
  <c r="X33" i="32"/>
  <c r="AA33" i="32"/>
  <c r="X13" i="32"/>
  <c r="AA13" i="32"/>
  <c r="X31" i="32"/>
  <c r="AA31" i="32"/>
  <c r="X15" i="32"/>
  <c r="AA15" i="32"/>
  <c r="X36" i="32"/>
  <c r="AA36" i="32"/>
  <c r="X51" i="32"/>
  <c r="AA51" i="32"/>
  <c r="X24" i="32"/>
  <c r="AA24" i="32"/>
  <c r="X34" i="32"/>
  <c r="AA34" i="32"/>
  <c r="X22" i="32"/>
  <c r="AA22" i="32"/>
  <c r="X37" i="32"/>
  <c r="AA37" i="32"/>
  <c r="I11" i="25" s="1"/>
  <c r="K11" i="25" s="1"/>
  <c r="X48" i="32"/>
  <c r="AA48" i="32"/>
  <c r="X27" i="32"/>
  <c r="AA27" i="32"/>
  <c r="X35" i="32"/>
  <c r="AA35" i="32"/>
  <c r="X29" i="32"/>
  <c r="AA29" i="32"/>
  <c r="X42" i="32"/>
  <c r="AA42" i="32"/>
  <c r="X20" i="32"/>
  <c r="AA20" i="32"/>
  <c r="X40" i="32"/>
  <c r="AA40" i="32"/>
  <c r="X18" i="32"/>
  <c r="AA18" i="32"/>
  <c r="X52" i="32"/>
  <c r="AA52" i="32"/>
  <c r="X38" i="32"/>
  <c r="AA38" i="32"/>
  <c r="X23" i="32"/>
  <c r="AA23" i="32"/>
  <c r="X39" i="32"/>
  <c r="AA39" i="32"/>
  <c r="X25" i="32"/>
  <c r="AA25" i="32"/>
  <c r="X32" i="32"/>
  <c r="AA32" i="32"/>
  <c r="X45" i="32"/>
  <c r="AA45" i="32"/>
  <c r="X47" i="32"/>
  <c r="AA47" i="32"/>
  <c r="X30" i="32"/>
  <c r="AA30" i="32"/>
  <c r="X14" i="32"/>
  <c r="AA14" i="32"/>
  <c r="X21" i="32"/>
  <c r="AA21" i="32"/>
  <c r="X44" i="32"/>
  <c r="AA44" i="32"/>
  <c r="X19" i="32"/>
  <c r="AA19" i="32"/>
  <c r="X46" i="32"/>
  <c r="AA46" i="32"/>
  <c r="X17" i="32"/>
  <c r="AA17" i="32"/>
  <c r="X28" i="32"/>
  <c r="AA28" i="32"/>
  <c r="X41" i="32"/>
  <c r="AA41" i="32"/>
  <c r="I5" i="25" l="1"/>
  <c r="I4" i="25"/>
  <c r="I9" i="25"/>
  <c r="I8" i="25"/>
  <c r="I7" i="25"/>
  <c r="I6" i="25"/>
  <c r="J13" i="25"/>
  <c r="I13" i="25"/>
  <c r="B157" i="2" l="1"/>
  <c r="B142" i="2"/>
  <c r="B124" i="2"/>
  <c r="B109" i="2"/>
  <c r="B101" i="2"/>
  <c r="B89" i="2"/>
  <c r="B74" i="2"/>
  <c r="H186" i="3" l="1"/>
  <c r="B186" i="3"/>
  <c r="H185" i="3"/>
  <c r="B185" i="3"/>
  <c r="H183" i="3"/>
  <c r="B183" i="3"/>
  <c r="H182" i="3"/>
  <c r="B182" i="3"/>
  <c r="H181" i="3"/>
  <c r="B181" i="3"/>
  <c r="H180" i="3"/>
  <c r="B180" i="3"/>
  <c r="H178" i="3"/>
  <c r="B178" i="3"/>
  <c r="H177" i="3"/>
  <c r="B177" i="3"/>
  <c r="H176" i="3"/>
  <c r="B176" i="3"/>
  <c r="H175" i="3"/>
  <c r="B175" i="3"/>
  <c r="H173" i="3"/>
  <c r="B173" i="3"/>
  <c r="H172" i="3"/>
  <c r="B172" i="3"/>
  <c r="H171" i="3"/>
  <c r="B171" i="3"/>
  <c r="H170" i="3"/>
  <c r="B170" i="3"/>
  <c r="H169" i="3"/>
  <c r="B169" i="3"/>
  <c r="C162" i="2" l="1"/>
  <c r="C148" i="2"/>
  <c r="D169" i="2"/>
  <c r="D138" i="2"/>
  <c r="D105" i="2"/>
  <c r="C151" i="2" l="1"/>
  <c r="C165" i="2"/>
  <c r="D151" i="2" l="1"/>
  <c r="C153" i="2"/>
  <c r="D153" i="2" s="1"/>
  <c r="C152" i="2"/>
  <c r="D165" i="2"/>
  <c r="D152" i="2" l="1"/>
  <c r="A50" i="14" l="1"/>
  <c r="BN70" i="14"/>
  <c r="J70" i="14"/>
  <c r="A70" i="14"/>
  <c r="B70" i="14" s="1"/>
  <c r="BN69" i="14"/>
  <c r="J69" i="14"/>
  <c r="A69" i="14"/>
  <c r="B69" i="14" s="1"/>
  <c r="BN68" i="14"/>
  <c r="J68" i="14"/>
  <c r="A68" i="14"/>
  <c r="B68" i="14" s="1"/>
  <c r="BN67" i="14"/>
  <c r="J67" i="14"/>
  <c r="A67" i="14"/>
  <c r="B67" i="14" s="1"/>
  <c r="BN66" i="14"/>
  <c r="J66" i="14"/>
  <c r="A66" i="14"/>
  <c r="B66" i="14" s="1"/>
  <c r="BN65" i="14"/>
  <c r="J65" i="14"/>
  <c r="A65" i="14"/>
  <c r="B65" i="14" s="1"/>
  <c r="BN64" i="14"/>
  <c r="J64" i="14"/>
  <c r="A64" i="14"/>
  <c r="B64" i="14" s="1"/>
  <c r="BN63" i="14"/>
  <c r="J63" i="14"/>
  <c r="A63" i="14"/>
  <c r="B63" i="14" s="1"/>
  <c r="BN62" i="14"/>
  <c r="J62" i="14"/>
  <c r="A62" i="14"/>
  <c r="B62" i="14" s="1"/>
  <c r="BN61" i="14"/>
  <c r="J61" i="14"/>
  <c r="A61" i="14"/>
  <c r="B61" i="14" s="1"/>
  <c r="BN47" i="14"/>
  <c r="J47" i="14"/>
  <c r="A47" i="14"/>
  <c r="B47" i="14" s="1"/>
  <c r="BN46" i="14"/>
  <c r="J46" i="14"/>
  <c r="A46" i="14"/>
  <c r="B46" i="14" s="1"/>
  <c r="BN45" i="14"/>
  <c r="J45" i="14"/>
  <c r="A45" i="14"/>
  <c r="B45" i="14" s="1"/>
  <c r="BN44" i="14"/>
  <c r="J44" i="14"/>
  <c r="A44" i="14"/>
  <c r="B44" i="14" s="1"/>
  <c r="BN43" i="14"/>
  <c r="J43" i="14"/>
  <c r="A43" i="14"/>
  <c r="B43" i="14" s="1"/>
  <c r="BN42" i="14"/>
  <c r="J42" i="14"/>
  <c r="A42" i="14"/>
  <c r="B42" i="14" s="1"/>
  <c r="BN41" i="14"/>
  <c r="J41" i="14"/>
  <c r="A41" i="14"/>
  <c r="B41" i="14" s="1"/>
  <c r="BN40" i="14"/>
  <c r="J40" i="14"/>
  <c r="A40" i="14"/>
  <c r="B40" i="14" s="1"/>
  <c r="BN39" i="14"/>
  <c r="J39" i="14"/>
  <c r="A39" i="14"/>
  <c r="B39" i="14" s="1"/>
  <c r="BN38" i="14"/>
  <c r="J38" i="14"/>
  <c r="A38" i="14"/>
  <c r="B38" i="14" s="1"/>
  <c r="BN24" i="14"/>
  <c r="J24" i="14"/>
  <c r="BN23" i="14"/>
  <c r="J23" i="14"/>
  <c r="BN22" i="14"/>
  <c r="J22" i="14"/>
  <c r="BN21" i="14"/>
  <c r="J21" i="14"/>
  <c r="BN20" i="14"/>
  <c r="J20" i="14"/>
  <c r="BN19" i="14"/>
  <c r="J19" i="14"/>
  <c r="BN18" i="14"/>
  <c r="J18" i="14"/>
  <c r="BN17" i="14"/>
  <c r="J17" i="14"/>
  <c r="BN16" i="14"/>
  <c r="J16" i="14"/>
  <c r="BN15" i="14"/>
  <c r="J15" i="14"/>
  <c r="B234" i="3"/>
  <c r="B233" i="3"/>
  <c r="B232" i="3"/>
  <c r="B231" i="3"/>
  <c r="B230" i="3"/>
  <c r="B229" i="3"/>
  <c r="B228" i="3"/>
  <c r="B227" i="3"/>
  <c r="B226" i="3"/>
  <c r="B225" i="3"/>
  <c r="B134" i="4"/>
  <c r="B133" i="4"/>
  <c r="B132" i="4"/>
  <c r="B131" i="4"/>
  <c r="B130" i="4"/>
  <c r="B129" i="4"/>
  <c r="B128" i="4"/>
  <c r="B127" i="4"/>
  <c r="B126" i="4"/>
  <c r="B125" i="4"/>
  <c r="A24" i="14"/>
  <c r="B24" i="14" s="1"/>
  <c r="A23" i="14"/>
  <c r="B23" i="14" s="1"/>
  <c r="A22" i="14"/>
  <c r="B22" i="14" s="1"/>
  <c r="A21" i="14"/>
  <c r="B21" i="14" s="1"/>
  <c r="A20" i="14"/>
  <c r="B20" i="14" s="1"/>
  <c r="A19" i="14"/>
  <c r="B19" i="14" s="1"/>
  <c r="A18" i="14"/>
  <c r="B18" i="14" s="1"/>
  <c r="A17" i="14"/>
  <c r="B17" i="14" s="1"/>
  <c r="A16" i="14"/>
  <c r="B16" i="14" s="1"/>
  <c r="A15" i="14"/>
  <c r="B15" i="14" s="1"/>
  <c r="BN149" i="7" l="1"/>
  <c r="J149" i="7"/>
  <c r="B149" i="7"/>
  <c r="A149" i="7"/>
  <c r="BN97" i="7"/>
  <c r="J97" i="7"/>
  <c r="B97" i="7"/>
  <c r="A97" i="7"/>
  <c r="BN45" i="7"/>
  <c r="J45" i="7"/>
  <c r="B45" i="7"/>
  <c r="A45" i="7"/>
  <c r="BN60" i="14" l="1"/>
  <c r="J60" i="14"/>
  <c r="A60" i="14"/>
  <c r="B60" i="14" s="1"/>
  <c r="BN59" i="14"/>
  <c r="J59" i="14"/>
  <c r="A59" i="14"/>
  <c r="B59" i="14" s="1"/>
  <c r="BN37" i="14"/>
  <c r="J37" i="14"/>
  <c r="A37" i="14"/>
  <c r="B37" i="14" s="1"/>
  <c r="BN36" i="14"/>
  <c r="J36" i="14"/>
  <c r="A36" i="14"/>
  <c r="B36" i="14" s="1"/>
  <c r="BN14" i="14"/>
  <c r="BN13" i="14"/>
  <c r="J14" i="14"/>
  <c r="A14" i="14"/>
  <c r="B14" i="14" s="1"/>
  <c r="J13" i="14"/>
  <c r="A13" i="14"/>
  <c r="B13" i="14" s="1"/>
  <c r="J56" i="6"/>
  <c r="A56" i="6"/>
  <c r="B56" i="6" s="1"/>
  <c r="J46" i="6"/>
  <c r="A46" i="6"/>
  <c r="B46" i="6" s="1"/>
  <c r="J36" i="6"/>
  <c r="A36" i="6"/>
  <c r="B36" i="6" s="1"/>
  <c r="J26" i="6"/>
  <c r="A26" i="6"/>
  <c r="B26" i="6" s="1"/>
  <c r="J16" i="6"/>
  <c r="A16" i="6"/>
  <c r="B16" i="6" s="1"/>
  <c r="J6" i="6"/>
  <c r="A6" i="6"/>
  <c r="B6" i="6" s="1"/>
  <c r="B219" i="3"/>
  <c r="B218" i="3"/>
  <c r="B217" i="3"/>
  <c r="B216" i="3"/>
  <c r="H165" i="3"/>
  <c r="B165" i="3"/>
  <c r="B164" i="3"/>
  <c r="B121" i="4"/>
  <c r="B120" i="4"/>
  <c r="B99" i="4"/>
  <c r="H155" i="3" l="1"/>
  <c r="B155" i="3"/>
  <c r="H154" i="3"/>
  <c r="B154" i="3"/>
  <c r="H153" i="3"/>
  <c r="B153" i="3"/>
  <c r="H152" i="3"/>
  <c r="B152" i="3"/>
  <c r="B151" i="3"/>
  <c r="H151" i="3"/>
  <c r="H150" i="3"/>
  <c r="B150" i="3"/>
  <c r="BN93" i="13" l="1"/>
  <c r="BN92" i="13"/>
  <c r="BN91" i="13"/>
  <c r="BN90" i="13"/>
  <c r="BN89" i="13"/>
  <c r="BN88" i="13"/>
  <c r="BN87" i="13"/>
  <c r="BN86" i="13"/>
  <c r="BN85" i="13"/>
  <c r="BN84" i="13"/>
  <c r="BN83" i="13"/>
  <c r="BN82" i="13"/>
  <c r="BN81" i="13"/>
  <c r="BN80" i="13"/>
  <c r="BN79" i="13"/>
  <c r="BN78" i="13"/>
  <c r="BN77" i="13"/>
  <c r="BN76" i="13"/>
  <c r="BN75" i="13"/>
  <c r="BN74" i="13"/>
  <c r="BN73" i="13"/>
  <c r="BN72" i="13"/>
  <c r="BN71" i="13"/>
  <c r="BN70" i="13"/>
  <c r="BN69" i="13"/>
  <c r="BN68" i="13"/>
  <c r="BN67" i="13"/>
  <c r="BN66" i="13"/>
  <c r="BN65" i="13"/>
  <c r="BN64" i="13"/>
  <c r="BN63" i="13"/>
  <c r="BN62" i="13"/>
  <c r="BN61" i="13"/>
  <c r="BN60" i="13"/>
  <c r="BN59" i="13"/>
  <c r="BN58" i="13"/>
  <c r="BN57" i="13"/>
  <c r="BN56" i="13"/>
  <c r="BN55" i="13"/>
  <c r="BN54" i="13"/>
  <c r="BN53" i="13"/>
  <c r="BN52" i="13"/>
  <c r="BN51" i="13"/>
  <c r="BN50" i="13"/>
  <c r="BN49" i="13"/>
  <c r="BN48" i="13"/>
  <c r="BN47" i="13"/>
  <c r="BN46" i="13"/>
  <c r="BN45" i="13"/>
  <c r="BN44" i="13"/>
  <c r="BN43" i="13"/>
  <c r="BN42" i="13"/>
  <c r="BN41" i="13"/>
  <c r="BN40" i="13"/>
  <c r="BN39" i="13"/>
  <c r="BN38" i="13"/>
  <c r="BN37" i="13"/>
  <c r="BN36" i="13"/>
  <c r="BN35" i="13"/>
  <c r="BN34" i="13"/>
  <c r="BN33" i="13"/>
  <c r="BN32" i="13"/>
  <c r="BN31" i="13"/>
  <c r="BN30" i="13"/>
  <c r="BN29" i="13"/>
  <c r="BN28" i="13"/>
  <c r="BN27" i="13"/>
  <c r="BN26" i="13"/>
  <c r="BN25" i="13"/>
  <c r="BN24" i="13"/>
  <c r="BN23" i="13"/>
  <c r="BN22" i="13"/>
  <c r="BN21" i="13"/>
  <c r="BN20" i="13"/>
  <c r="BN19" i="13"/>
  <c r="BN18" i="13"/>
  <c r="BN17" i="13"/>
  <c r="BN16" i="13"/>
  <c r="BN15" i="13"/>
  <c r="BN14" i="13"/>
  <c r="BN13" i="13"/>
  <c r="BN12" i="13"/>
  <c r="BN11" i="13"/>
  <c r="BN10" i="13"/>
  <c r="BN9" i="13"/>
  <c r="BN8" i="13"/>
  <c r="BN7" i="13"/>
  <c r="BN6" i="13"/>
  <c r="BN5" i="13"/>
  <c r="BN4" i="13"/>
  <c r="BN159" i="7"/>
  <c r="BN158" i="7"/>
  <c r="BN157" i="7"/>
  <c r="BN156" i="7"/>
  <c r="BN155" i="7"/>
  <c r="BN154" i="7"/>
  <c r="BN153" i="7"/>
  <c r="BN152" i="7"/>
  <c r="BN151" i="7"/>
  <c r="BN150" i="7"/>
  <c r="BN148" i="7"/>
  <c r="BN147" i="7"/>
  <c r="BN146" i="7"/>
  <c r="BN145" i="7"/>
  <c r="BN144" i="7"/>
  <c r="BN143" i="7"/>
  <c r="BN142" i="7"/>
  <c r="BN141" i="7"/>
  <c r="BN140" i="7"/>
  <c r="BN139" i="7"/>
  <c r="BN138" i="7"/>
  <c r="BN137" i="7"/>
  <c r="BN136" i="7"/>
  <c r="BN135" i="7"/>
  <c r="BN134" i="7"/>
  <c r="BN133" i="7"/>
  <c r="BN132" i="7"/>
  <c r="BN131" i="7"/>
  <c r="BN130" i="7"/>
  <c r="BN129" i="7"/>
  <c r="BN128" i="7"/>
  <c r="BN127" i="7"/>
  <c r="BN126" i="7"/>
  <c r="BN125" i="7"/>
  <c r="BN124" i="7"/>
  <c r="BN123" i="7"/>
  <c r="BN122" i="7"/>
  <c r="BN121" i="7"/>
  <c r="BN120" i="7"/>
  <c r="BN119" i="7"/>
  <c r="BN118" i="7"/>
  <c r="BN117" i="7"/>
  <c r="BN116" i="7"/>
  <c r="BN115" i="7"/>
  <c r="BN114" i="7"/>
  <c r="BN113" i="7"/>
  <c r="BN112" i="7"/>
  <c r="BN111" i="7"/>
  <c r="BN110" i="7"/>
  <c r="BN109" i="7"/>
  <c r="BN108" i="7"/>
  <c r="BN107" i="7"/>
  <c r="BN106" i="7"/>
  <c r="BN105" i="7"/>
  <c r="BN104" i="7"/>
  <c r="BN103" i="7"/>
  <c r="BN102" i="7"/>
  <c r="BN101" i="7"/>
  <c r="BN100" i="7"/>
  <c r="BN99" i="7"/>
  <c r="BN98" i="7"/>
  <c r="BN96" i="7"/>
  <c r="BN95" i="7"/>
  <c r="BN94" i="7"/>
  <c r="BN93" i="7"/>
  <c r="BN92" i="7"/>
  <c r="BN91" i="7"/>
  <c r="BN90" i="7"/>
  <c r="BN89" i="7"/>
  <c r="BN88" i="7"/>
  <c r="BN87" i="7"/>
  <c r="BN86" i="7"/>
  <c r="BN85" i="7"/>
  <c r="BN84" i="7"/>
  <c r="BN83" i="7"/>
  <c r="BN82" i="7"/>
  <c r="BN81" i="7"/>
  <c r="BN80" i="7"/>
  <c r="BN79" i="7"/>
  <c r="BN78" i="7"/>
  <c r="BN77" i="7"/>
  <c r="BN76" i="7"/>
  <c r="BN75" i="7"/>
  <c r="BN74" i="7"/>
  <c r="BN73" i="7"/>
  <c r="BN72" i="7"/>
  <c r="BN71" i="7"/>
  <c r="BN70" i="7"/>
  <c r="BN69" i="7"/>
  <c r="BN68" i="7"/>
  <c r="BN67" i="7"/>
  <c r="BN66" i="7"/>
  <c r="BN65" i="7"/>
  <c r="BN64" i="7"/>
  <c r="BN63" i="7"/>
  <c r="BN62" i="7"/>
  <c r="BN61" i="7"/>
  <c r="BN60" i="7"/>
  <c r="BN59" i="7"/>
  <c r="BN58" i="7"/>
  <c r="BN57" i="7"/>
  <c r="BN56" i="7"/>
  <c r="BN55" i="7"/>
  <c r="BN54" i="7"/>
  <c r="BN53" i="7"/>
  <c r="BN52" i="7"/>
  <c r="BN51" i="7"/>
  <c r="BN50" i="7"/>
  <c r="BN49" i="7"/>
  <c r="BN48" i="7"/>
  <c r="BN47" i="7"/>
  <c r="BN46" i="7"/>
  <c r="BN44" i="7"/>
  <c r="BN43" i="7"/>
  <c r="BN42" i="7"/>
  <c r="BN41" i="7"/>
  <c r="BN40" i="7"/>
  <c r="BN39" i="7"/>
  <c r="BN38" i="7"/>
  <c r="BN37" i="7"/>
  <c r="BN36" i="7"/>
  <c r="BN35" i="7"/>
  <c r="BN34" i="7"/>
  <c r="BN33" i="7"/>
  <c r="BN32" i="7"/>
  <c r="BN31" i="7"/>
  <c r="BN30" i="7"/>
  <c r="BN29" i="7"/>
  <c r="BN28" i="7"/>
  <c r="BN27" i="7"/>
  <c r="BN26" i="7"/>
  <c r="BN25" i="7"/>
  <c r="BN24" i="7"/>
  <c r="BN23" i="7"/>
  <c r="BN22" i="7"/>
  <c r="BN21" i="7"/>
  <c r="BN20" i="7"/>
  <c r="BN19" i="7"/>
  <c r="BN18" i="7"/>
  <c r="BN17" i="7"/>
  <c r="BN16" i="7"/>
  <c r="BN15" i="7"/>
  <c r="BN14" i="7"/>
  <c r="BN13" i="7"/>
  <c r="BN12" i="7"/>
  <c r="BN11" i="7"/>
  <c r="BN10" i="7"/>
  <c r="BN9" i="7"/>
  <c r="BN8" i="7"/>
  <c r="BN7" i="7"/>
  <c r="BN6" i="7"/>
  <c r="BN5" i="7"/>
  <c r="BN58" i="14"/>
  <c r="BN57" i="14"/>
  <c r="BN56" i="14"/>
  <c r="BN55" i="14"/>
  <c r="BN54" i="14"/>
  <c r="BN53" i="14"/>
  <c r="BN52" i="14"/>
  <c r="BN51" i="14"/>
  <c r="BN50" i="14"/>
  <c r="BN35" i="14"/>
  <c r="BN34" i="14"/>
  <c r="BN33" i="14"/>
  <c r="BN32" i="14"/>
  <c r="BN31" i="14"/>
  <c r="BN30" i="14"/>
  <c r="BN29" i="14"/>
  <c r="BN28" i="14"/>
  <c r="BN27" i="14"/>
  <c r="BN12" i="14"/>
  <c r="BN11" i="14"/>
  <c r="BN10" i="14"/>
  <c r="BN9" i="14"/>
  <c r="BN8" i="14"/>
  <c r="BN7" i="14"/>
  <c r="BN6" i="14"/>
  <c r="BN5" i="14"/>
  <c r="BN4" i="7"/>
  <c r="BN4" i="14"/>
  <c r="H167" i="3" l="1"/>
  <c r="B167" i="3"/>
  <c r="H166" i="3"/>
  <c r="B166" i="3"/>
  <c r="H164" i="3"/>
  <c r="H163" i="3"/>
  <c r="B163" i="3"/>
  <c r="H162" i="3"/>
  <c r="B162" i="3"/>
  <c r="H161" i="3"/>
  <c r="B161" i="3"/>
  <c r="B6" i="2" l="1"/>
  <c r="J58" i="14"/>
  <c r="A58" i="14"/>
  <c r="B58" i="14" s="1"/>
  <c r="J57" i="14"/>
  <c r="A57" i="14"/>
  <c r="B57" i="14" s="1"/>
  <c r="J56" i="14"/>
  <c r="A56" i="14"/>
  <c r="B56" i="14" s="1"/>
  <c r="J55" i="14"/>
  <c r="A55" i="14"/>
  <c r="B55" i="14" s="1"/>
  <c r="J54" i="14"/>
  <c r="A54" i="14"/>
  <c r="B54" i="14" s="1"/>
  <c r="J53" i="14"/>
  <c r="A53" i="14"/>
  <c r="B53" i="14" s="1"/>
  <c r="J52" i="14"/>
  <c r="A52" i="14"/>
  <c r="B52" i="14" s="1"/>
  <c r="J51" i="14"/>
  <c r="A51" i="14"/>
  <c r="B51" i="14" s="1"/>
  <c r="J50" i="14"/>
  <c r="B50" i="14"/>
  <c r="J35" i="14"/>
  <c r="A35" i="14"/>
  <c r="B35" i="14" s="1"/>
  <c r="J34" i="14"/>
  <c r="A34" i="14"/>
  <c r="B34" i="14" s="1"/>
  <c r="J33" i="14"/>
  <c r="A33" i="14"/>
  <c r="B33" i="14" s="1"/>
  <c r="J32" i="14"/>
  <c r="A32" i="14"/>
  <c r="B32" i="14" s="1"/>
  <c r="J31" i="14"/>
  <c r="A31" i="14"/>
  <c r="B31" i="14" s="1"/>
  <c r="J30" i="14"/>
  <c r="A30" i="14"/>
  <c r="B30" i="14" s="1"/>
  <c r="J29" i="14"/>
  <c r="A29" i="14"/>
  <c r="B29" i="14" s="1"/>
  <c r="J28" i="14"/>
  <c r="A28" i="14"/>
  <c r="B28" i="14" s="1"/>
  <c r="J27" i="14"/>
  <c r="A27" i="14"/>
  <c r="B27" i="14" s="1"/>
  <c r="A12" i="14"/>
  <c r="B12" i="14" s="1"/>
  <c r="A11" i="14"/>
  <c r="B11" i="14" s="1"/>
  <c r="A10" i="14"/>
  <c r="A9" i="14"/>
  <c r="B9" i="14" s="1"/>
  <c r="A8" i="14"/>
  <c r="B8" i="14" s="1"/>
  <c r="A7" i="14"/>
  <c r="B7" i="14" s="1"/>
  <c r="A6" i="14"/>
  <c r="B6" i="14" s="1"/>
  <c r="A5" i="14"/>
  <c r="B5" i="14" s="1"/>
  <c r="A4" i="14"/>
  <c r="B4" i="14" s="1"/>
  <c r="J12" i="14"/>
  <c r="J11" i="14"/>
  <c r="J10" i="14"/>
  <c r="J9" i="14"/>
  <c r="J8" i="14"/>
  <c r="J7" i="14"/>
  <c r="J6" i="14"/>
  <c r="J5" i="14"/>
  <c r="J4" i="14"/>
  <c r="B10" i="14"/>
  <c r="B223" i="3"/>
  <c r="B222" i="3"/>
  <c r="B221" i="3"/>
  <c r="B220" i="3"/>
  <c r="B215" i="3"/>
  <c r="B214" i="3"/>
  <c r="B213" i="3"/>
  <c r="B212" i="3"/>
  <c r="B211" i="3"/>
  <c r="B210" i="3"/>
  <c r="B209" i="3"/>
  <c r="B208" i="3"/>
  <c r="J93" i="13"/>
  <c r="B93" i="13"/>
  <c r="A93" i="13"/>
  <c r="J92" i="13"/>
  <c r="B92" i="13"/>
  <c r="A92" i="13"/>
  <c r="J91" i="13"/>
  <c r="B91" i="13"/>
  <c r="A91" i="13"/>
  <c r="J90" i="13"/>
  <c r="B90" i="13"/>
  <c r="A90" i="13"/>
  <c r="J89" i="13"/>
  <c r="B89" i="13"/>
  <c r="A89" i="13"/>
  <c r="J88" i="13"/>
  <c r="B88" i="13"/>
  <c r="A88" i="13"/>
  <c r="J87" i="13"/>
  <c r="B87" i="13"/>
  <c r="A87" i="13"/>
  <c r="J86" i="13"/>
  <c r="B86" i="13"/>
  <c r="A86" i="13"/>
  <c r="J85" i="13"/>
  <c r="B85" i="13"/>
  <c r="A85" i="13"/>
  <c r="J84" i="13"/>
  <c r="B84" i="13"/>
  <c r="A84" i="13"/>
  <c r="J83" i="13"/>
  <c r="B83" i="13"/>
  <c r="A83" i="13"/>
  <c r="J82" i="13"/>
  <c r="B82" i="13"/>
  <c r="A82" i="13"/>
  <c r="J81" i="13"/>
  <c r="B81" i="13"/>
  <c r="A81" i="13"/>
  <c r="J80" i="13"/>
  <c r="B80" i="13"/>
  <c r="A80" i="13"/>
  <c r="J79" i="13"/>
  <c r="B79" i="13"/>
  <c r="A79" i="13"/>
  <c r="J78" i="13"/>
  <c r="B78" i="13"/>
  <c r="A78" i="13"/>
  <c r="J77" i="13"/>
  <c r="B77" i="13"/>
  <c r="A77" i="13"/>
  <c r="J76" i="13"/>
  <c r="B76" i="13"/>
  <c r="A76" i="13"/>
  <c r="J75" i="13"/>
  <c r="B75" i="13"/>
  <c r="A75" i="13"/>
  <c r="J74" i="13"/>
  <c r="B74" i="13"/>
  <c r="A74" i="13"/>
  <c r="J73" i="13"/>
  <c r="B73" i="13"/>
  <c r="A73" i="13"/>
  <c r="J72" i="13"/>
  <c r="B72" i="13"/>
  <c r="A72" i="13"/>
  <c r="J71" i="13"/>
  <c r="B71" i="13"/>
  <c r="A71" i="13"/>
  <c r="J70" i="13"/>
  <c r="B70" i="13"/>
  <c r="A70" i="13"/>
  <c r="J69" i="13"/>
  <c r="B69" i="13"/>
  <c r="A69" i="13"/>
  <c r="J68" i="13"/>
  <c r="B68" i="13"/>
  <c r="A68" i="13"/>
  <c r="J67" i="13"/>
  <c r="B67" i="13"/>
  <c r="A67" i="13"/>
  <c r="J66" i="13"/>
  <c r="B66" i="13"/>
  <c r="A66" i="13"/>
  <c r="J65" i="13"/>
  <c r="B65" i="13"/>
  <c r="A65" i="13"/>
  <c r="J64" i="13"/>
  <c r="B64" i="13"/>
  <c r="A64" i="13"/>
  <c r="J63" i="13"/>
  <c r="B63" i="13"/>
  <c r="A63" i="13"/>
  <c r="J62" i="13"/>
  <c r="B62" i="13"/>
  <c r="A62" i="13"/>
  <c r="J61" i="13"/>
  <c r="B61" i="13"/>
  <c r="A61" i="13"/>
  <c r="J60" i="13"/>
  <c r="B60" i="13"/>
  <c r="A60" i="13"/>
  <c r="J59" i="13"/>
  <c r="B59" i="13"/>
  <c r="A59" i="13"/>
  <c r="J58" i="13"/>
  <c r="B58" i="13"/>
  <c r="A58" i="13"/>
  <c r="J57" i="13"/>
  <c r="B57" i="13"/>
  <c r="A57" i="13"/>
  <c r="J56" i="13"/>
  <c r="B56" i="13"/>
  <c r="A56" i="13"/>
  <c r="J55" i="13"/>
  <c r="B55" i="13"/>
  <c r="A55" i="13"/>
  <c r="J54" i="13"/>
  <c r="B54" i="13"/>
  <c r="A54" i="13"/>
  <c r="J53" i="13"/>
  <c r="B53" i="13"/>
  <c r="A53" i="13"/>
  <c r="J52" i="13"/>
  <c r="B52" i="13"/>
  <c r="A52" i="13"/>
  <c r="J51" i="13"/>
  <c r="B51" i="13"/>
  <c r="A51" i="13"/>
  <c r="J50" i="13"/>
  <c r="B50" i="13"/>
  <c r="A50" i="13"/>
  <c r="J49" i="13"/>
  <c r="B49" i="13"/>
  <c r="A49" i="13"/>
  <c r="J48" i="13"/>
  <c r="B48" i="13"/>
  <c r="A48" i="13"/>
  <c r="J47" i="13"/>
  <c r="B47" i="13"/>
  <c r="A47" i="13"/>
  <c r="J46" i="13"/>
  <c r="B46" i="13"/>
  <c r="A46" i="13"/>
  <c r="J45" i="13"/>
  <c r="B45" i="13"/>
  <c r="A45" i="13"/>
  <c r="J44" i="13"/>
  <c r="B44" i="13"/>
  <c r="A44" i="13"/>
  <c r="J43" i="13"/>
  <c r="B43" i="13"/>
  <c r="A43" i="13"/>
  <c r="J42" i="13"/>
  <c r="B42" i="13"/>
  <c r="A42" i="13"/>
  <c r="J41" i="13"/>
  <c r="B41" i="13"/>
  <c r="A41" i="13"/>
  <c r="J40" i="13"/>
  <c r="B40" i="13"/>
  <c r="A40" i="13"/>
  <c r="J39" i="13"/>
  <c r="B39" i="13"/>
  <c r="A39" i="13"/>
  <c r="J38" i="13"/>
  <c r="B38" i="13"/>
  <c r="A38" i="13"/>
  <c r="J37" i="13"/>
  <c r="B37" i="13"/>
  <c r="A37" i="13"/>
  <c r="J36" i="13"/>
  <c r="B36" i="13"/>
  <c r="A36" i="13"/>
  <c r="J35" i="13"/>
  <c r="B35" i="13"/>
  <c r="A35" i="13"/>
  <c r="J34" i="13"/>
  <c r="B34" i="13"/>
  <c r="A34" i="13"/>
  <c r="H192" i="3"/>
  <c r="B192" i="3"/>
  <c r="B33" i="13"/>
  <c r="A33" i="13"/>
  <c r="B32" i="13"/>
  <c r="A32" i="13"/>
  <c r="B31" i="13"/>
  <c r="A31" i="13"/>
  <c r="B30" i="13"/>
  <c r="A30" i="13"/>
  <c r="B29" i="13"/>
  <c r="A29" i="13"/>
  <c r="B28" i="13"/>
  <c r="A28" i="13"/>
  <c r="B27" i="13"/>
  <c r="A27" i="13"/>
  <c r="B26" i="13"/>
  <c r="A26" i="13"/>
  <c r="B25" i="13"/>
  <c r="A25" i="13"/>
  <c r="B24" i="13"/>
  <c r="A24" i="13"/>
  <c r="B23" i="13"/>
  <c r="A23" i="13"/>
  <c r="B22" i="13"/>
  <c r="A22" i="13"/>
  <c r="B21" i="13"/>
  <c r="A21" i="13"/>
  <c r="B20" i="13"/>
  <c r="A20" i="13"/>
  <c r="B19" i="13"/>
  <c r="A19" i="13"/>
  <c r="B18" i="13"/>
  <c r="A18" i="13"/>
  <c r="B17" i="13"/>
  <c r="A17" i="13"/>
  <c r="B16" i="13"/>
  <c r="A16" i="13"/>
  <c r="B15" i="13"/>
  <c r="A15" i="13"/>
  <c r="B14" i="13"/>
  <c r="A14" i="13"/>
  <c r="B13" i="13"/>
  <c r="A13" i="13"/>
  <c r="B12" i="13"/>
  <c r="A12" i="13"/>
  <c r="B11" i="13"/>
  <c r="A11" i="13"/>
  <c r="B10" i="13"/>
  <c r="A10" i="13"/>
  <c r="B9" i="13"/>
  <c r="A9" i="13"/>
  <c r="B8" i="13"/>
  <c r="A8" i="13"/>
  <c r="B7" i="13"/>
  <c r="A7" i="13"/>
  <c r="B6" i="13"/>
  <c r="A6" i="13"/>
  <c r="B5" i="13"/>
  <c r="A5" i="13"/>
  <c r="J33" i="13"/>
  <c r="J32" i="13"/>
  <c r="J31" i="13"/>
  <c r="J30" i="13"/>
  <c r="J29" i="13"/>
  <c r="J28" i="13"/>
  <c r="J27" i="13"/>
  <c r="J26" i="13"/>
  <c r="J25" i="13"/>
  <c r="J24" i="13"/>
  <c r="J23" i="13"/>
  <c r="J22" i="13"/>
  <c r="J21" i="13"/>
  <c r="J20" i="13"/>
  <c r="J19" i="13"/>
  <c r="J18" i="13"/>
  <c r="J17" i="13"/>
  <c r="J16" i="13"/>
  <c r="J15" i="13"/>
  <c r="J14" i="13"/>
  <c r="J13" i="13"/>
  <c r="J12" i="13"/>
  <c r="J11" i="13"/>
  <c r="J10" i="13"/>
  <c r="J9" i="13"/>
  <c r="J8" i="13"/>
  <c r="J7" i="13"/>
  <c r="J6" i="13"/>
  <c r="J5" i="13"/>
  <c r="J4" i="13"/>
  <c r="B4" i="13"/>
  <c r="A4" i="13"/>
  <c r="B159" i="7"/>
  <c r="B158" i="7"/>
  <c r="B157" i="7"/>
  <c r="B156" i="7"/>
  <c r="B155" i="7"/>
  <c r="B154" i="7"/>
  <c r="B153" i="7"/>
  <c r="B152" i="7"/>
  <c r="B151" i="7"/>
  <c r="B150" i="7"/>
  <c r="B148" i="7"/>
  <c r="B147" i="7"/>
  <c r="B146" i="7"/>
  <c r="B145" i="7"/>
  <c r="B144" i="7"/>
  <c r="B143" i="7"/>
  <c r="B142" i="7"/>
  <c r="B141" i="7"/>
  <c r="B140" i="7"/>
  <c r="B139" i="7"/>
  <c r="B138" i="7"/>
  <c r="B137" i="7"/>
  <c r="B136" i="7"/>
  <c r="B135" i="7"/>
  <c r="B134" i="7"/>
  <c r="B133" i="7"/>
  <c r="B132" i="7"/>
  <c r="B131" i="7"/>
  <c r="B130" i="7"/>
  <c r="B129" i="7"/>
  <c r="B128" i="7"/>
  <c r="B127" i="7"/>
  <c r="B126" i="7"/>
  <c r="B125" i="7"/>
  <c r="B124" i="7"/>
  <c r="B123" i="7"/>
  <c r="B122" i="7"/>
  <c r="B121" i="7"/>
  <c r="B120" i="7"/>
  <c r="B119" i="7"/>
  <c r="B118" i="7"/>
  <c r="B117" i="7"/>
  <c r="B116" i="7"/>
  <c r="B115" i="7"/>
  <c r="B114" i="7"/>
  <c r="B113" i="7"/>
  <c r="B112" i="7"/>
  <c r="B111" i="7"/>
  <c r="B110" i="7"/>
  <c r="B109" i="7"/>
  <c r="B108" i="7"/>
  <c r="B107" i="7"/>
  <c r="B106" i="7"/>
  <c r="B105" i="7"/>
  <c r="B104" i="7"/>
  <c r="B103" i="7"/>
  <c r="B102" i="7"/>
  <c r="B101" i="7"/>
  <c r="B100" i="7"/>
  <c r="B99" i="7"/>
  <c r="B98" i="7"/>
  <c r="B96" i="7"/>
  <c r="B95" i="7"/>
  <c r="B94" i="7"/>
  <c r="B93" i="7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77" i="7"/>
  <c r="B76" i="7"/>
  <c r="B75" i="7"/>
  <c r="B74" i="7"/>
  <c r="B73" i="7"/>
  <c r="B72" i="7"/>
  <c r="B71" i="7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8" i="7"/>
  <c r="B7" i="7"/>
  <c r="B6" i="7"/>
  <c r="B5" i="7"/>
  <c r="B4" i="7"/>
  <c r="J159" i="7"/>
  <c r="A159" i="7"/>
  <c r="J158" i="7"/>
  <c r="A158" i="7"/>
  <c r="J157" i="7"/>
  <c r="A157" i="7"/>
  <c r="J156" i="7"/>
  <c r="A156" i="7"/>
  <c r="J155" i="7"/>
  <c r="A155" i="7"/>
  <c r="J154" i="7"/>
  <c r="A154" i="7"/>
  <c r="J153" i="7"/>
  <c r="A153" i="7"/>
  <c r="J152" i="7"/>
  <c r="A152" i="7"/>
  <c r="J151" i="7"/>
  <c r="A151" i="7"/>
  <c r="J150" i="7"/>
  <c r="A150" i="7"/>
  <c r="J148" i="7"/>
  <c r="A148" i="7"/>
  <c r="J147" i="7"/>
  <c r="A147" i="7"/>
  <c r="J146" i="7"/>
  <c r="A146" i="7"/>
  <c r="J145" i="7"/>
  <c r="A145" i="7"/>
  <c r="J144" i="7"/>
  <c r="A144" i="7"/>
  <c r="J143" i="7"/>
  <c r="A143" i="7"/>
  <c r="J142" i="7"/>
  <c r="A142" i="7"/>
  <c r="J141" i="7"/>
  <c r="A141" i="7"/>
  <c r="J140" i="7"/>
  <c r="A140" i="7"/>
  <c r="J139" i="7"/>
  <c r="A139" i="7"/>
  <c r="J138" i="7"/>
  <c r="A138" i="7"/>
  <c r="J137" i="7"/>
  <c r="A137" i="7"/>
  <c r="J136" i="7"/>
  <c r="A136" i="7"/>
  <c r="J135" i="7"/>
  <c r="A135" i="7"/>
  <c r="J134" i="7"/>
  <c r="A134" i="7"/>
  <c r="J133" i="7"/>
  <c r="A133" i="7"/>
  <c r="J132" i="7"/>
  <c r="A132" i="7"/>
  <c r="J131" i="7"/>
  <c r="A131" i="7"/>
  <c r="J130" i="7"/>
  <c r="A130" i="7"/>
  <c r="J129" i="7"/>
  <c r="A129" i="7"/>
  <c r="J128" i="7"/>
  <c r="A128" i="7"/>
  <c r="J127" i="7"/>
  <c r="A127" i="7"/>
  <c r="J126" i="7"/>
  <c r="A126" i="7"/>
  <c r="J125" i="7"/>
  <c r="A125" i="7"/>
  <c r="J124" i="7"/>
  <c r="A124" i="7"/>
  <c r="J123" i="7"/>
  <c r="A123" i="7"/>
  <c r="J122" i="7"/>
  <c r="A122" i="7"/>
  <c r="J121" i="7"/>
  <c r="A121" i="7"/>
  <c r="J120" i="7"/>
  <c r="A120" i="7"/>
  <c r="J119" i="7"/>
  <c r="A119" i="7"/>
  <c r="J118" i="7"/>
  <c r="A118" i="7"/>
  <c r="J117" i="7"/>
  <c r="A117" i="7"/>
  <c r="J116" i="7"/>
  <c r="A116" i="7"/>
  <c r="J115" i="7"/>
  <c r="A115" i="7"/>
  <c r="J114" i="7"/>
  <c r="A114" i="7"/>
  <c r="J113" i="7"/>
  <c r="A113" i="7"/>
  <c r="J112" i="7"/>
  <c r="A112" i="7"/>
  <c r="J111" i="7"/>
  <c r="A111" i="7"/>
  <c r="J110" i="7"/>
  <c r="A110" i="7"/>
  <c r="J109" i="7"/>
  <c r="A109" i="7"/>
  <c r="J108" i="7"/>
  <c r="A108" i="7"/>
  <c r="J107" i="7"/>
  <c r="A107" i="7"/>
  <c r="J106" i="7"/>
  <c r="A106" i="7"/>
  <c r="J105" i="7"/>
  <c r="A105" i="7"/>
  <c r="J104" i="7"/>
  <c r="A104" i="7"/>
  <c r="J103" i="7"/>
  <c r="A103" i="7"/>
  <c r="J102" i="7"/>
  <c r="A102" i="7"/>
  <c r="J101" i="7"/>
  <c r="A101" i="7"/>
  <c r="J100" i="7"/>
  <c r="A100" i="7"/>
  <c r="J99" i="7"/>
  <c r="A99" i="7"/>
  <c r="J98" i="7"/>
  <c r="A98" i="7"/>
  <c r="J96" i="7"/>
  <c r="A96" i="7"/>
  <c r="J95" i="7"/>
  <c r="A95" i="7"/>
  <c r="J94" i="7"/>
  <c r="A94" i="7"/>
  <c r="J93" i="7"/>
  <c r="A93" i="7"/>
  <c r="J92" i="7"/>
  <c r="A92" i="7"/>
  <c r="J91" i="7"/>
  <c r="A91" i="7"/>
  <c r="J90" i="7"/>
  <c r="A90" i="7"/>
  <c r="J89" i="7"/>
  <c r="A89" i="7"/>
  <c r="J88" i="7"/>
  <c r="A88" i="7"/>
  <c r="J87" i="7"/>
  <c r="A87" i="7"/>
  <c r="J86" i="7"/>
  <c r="A86" i="7"/>
  <c r="J85" i="7"/>
  <c r="A85" i="7"/>
  <c r="J84" i="7"/>
  <c r="A84" i="7"/>
  <c r="J83" i="7"/>
  <c r="A83" i="7"/>
  <c r="J82" i="7"/>
  <c r="A82" i="7"/>
  <c r="J81" i="7"/>
  <c r="A81" i="7"/>
  <c r="J80" i="7"/>
  <c r="A80" i="7"/>
  <c r="J79" i="7"/>
  <c r="A79" i="7"/>
  <c r="J78" i="7"/>
  <c r="A78" i="7"/>
  <c r="J77" i="7"/>
  <c r="A77" i="7"/>
  <c r="J76" i="7"/>
  <c r="A76" i="7"/>
  <c r="J75" i="7"/>
  <c r="A75" i="7"/>
  <c r="J74" i="7"/>
  <c r="A74" i="7"/>
  <c r="J73" i="7"/>
  <c r="A73" i="7"/>
  <c r="J72" i="7"/>
  <c r="A72" i="7"/>
  <c r="J71" i="7"/>
  <c r="A71" i="7"/>
  <c r="J70" i="7"/>
  <c r="A70" i="7"/>
  <c r="J69" i="7"/>
  <c r="A69" i="7"/>
  <c r="J68" i="7"/>
  <c r="A68" i="7"/>
  <c r="J67" i="7"/>
  <c r="A67" i="7"/>
  <c r="J66" i="7"/>
  <c r="A66" i="7"/>
  <c r="J65" i="7"/>
  <c r="A65" i="7"/>
  <c r="J64" i="7"/>
  <c r="A64" i="7"/>
  <c r="J63" i="7"/>
  <c r="A63" i="7"/>
  <c r="J62" i="7"/>
  <c r="A62" i="7"/>
  <c r="J61" i="7"/>
  <c r="A61" i="7"/>
  <c r="J60" i="7"/>
  <c r="A60" i="7"/>
  <c r="J59" i="7"/>
  <c r="A59" i="7"/>
  <c r="J58" i="7"/>
  <c r="A58" i="7"/>
  <c r="J57" i="7"/>
  <c r="A57" i="7"/>
  <c r="J56" i="7"/>
  <c r="A56" i="7"/>
  <c r="B54" i="2"/>
  <c r="D54" i="2" s="1"/>
  <c r="B53" i="2"/>
  <c r="D53" i="2" s="1"/>
  <c r="J4" i="7"/>
  <c r="J5" i="7"/>
  <c r="J6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4" i="7"/>
  <c r="J46" i="7"/>
  <c r="J47" i="7"/>
  <c r="J48" i="7"/>
  <c r="J49" i="7"/>
  <c r="J50" i="7"/>
  <c r="J51" i="7"/>
  <c r="J52" i="7"/>
  <c r="J53" i="7"/>
  <c r="J54" i="7"/>
  <c r="J55" i="7"/>
  <c r="A4" i="7"/>
  <c r="A5" i="7"/>
  <c r="A6" i="7"/>
  <c r="A7" i="7"/>
  <c r="A8" i="7"/>
  <c r="A9" i="7"/>
  <c r="A10" i="7"/>
  <c r="A11" i="7"/>
  <c r="A12" i="7"/>
  <c r="A13" i="7"/>
  <c r="A14" i="7"/>
  <c r="A15" i="7"/>
  <c r="A16" i="7"/>
  <c r="A17" i="7"/>
  <c r="A18" i="7"/>
  <c r="A19" i="7"/>
  <c r="A20" i="7"/>
  <c r="A21" i="7"/>
  <c r="A22" i="7"/>
  <c r="A23" i="7"/>
  <c r="A24" i="7"/>
  <c r="A25" i="7"/>
  <c r="A26" i="7"/>
  <c r="A27" i="7"/>
  <c r="A28" i="7"/>
  <c r="A29" i="7"/>
  <c r="A30" i="7"/>
  <c r="A31" i="7"/>
  <c r="A32" i="7"/>
  <c r="A33" i="7"/>
  <c r="A34" i="7"/>
  <c r="A35" i="7"/>
  <c r="A36" i="7"/>
  <c r="A37" i="7"/>
  <c r="A38" i="7"/>
  <c r="A39" i="7"/>
  <c r="A40" i="7"/>
  <c r="A41" i="7"/>
  <c r="A42" i="7"/>
  <c r="A43" i="7"/>
  <c r="A44" i="7"/>
  <c r="A46" i="7"/>
  <c r="A47" i="7"/>
  <c r="A48" i="7"/>
  <c r="A49" i="7"/>
  <c r="A50" i="7"/>
  <c r="A51" i="7"/>
  <c r="A52" i="7"/>
  <c r="A53" i="7"/>
  <c r="A54" i="7"/>
  <c r="A55" i="7"/>
  <c r="H148" i="3"/>
  <c r="H147" i="3"/>
  <c r="H146" i="3"/>
  <c r="H145" i="3"/>
  <c r="B148" i="3"/>
  <c r="B147" i="3"/>
  <c r="B146" i="3"/>
  <c r="B145" i="3"/>
  <c r="J63" i="6"/>
  <c r="A63" i="6"/>
  <c r="B63" i="6" s="1"/>
  <c r="J62" i="6"/>
  <c r="A62" i="6"/>
  <c r="B62" i="6" s="1"/>
  <c r="J61" i="6"/>
  <c r="A61" i="6"/>
  <c r="B61" i="6" s="1"/>
  <c r="J60" i="6"/>
  <c r="A60" i="6"/>
  <c r="B60" i="6" s="1"/>
  <c r="J59" i="6"/>
  <c r="A59" i="6"/>
  <c r="B59" i="6" s="1"/>
  <c r="J58" i="6"/>
  <c r="A58" i="6"/>
  <c r="B58" i="6" s="1"/>
  <c r="J57" i="6"/>
  <c r="A57" i="6"/>
  <c r="B57" i="6" s="1"/>
  <c r="J55" i="6"/>
  <c r="A55" i="6"/>
  <c r="B55" i="6" s="1"/>
  <c r="J54" i="6"/>
  <c r="A54" i="6"/>
  <c r="B54" i="6" s="1"/>
  <c r="J53" i="6"/>
  <c r="A53" i="6"/>
  <c r="B53" i="6" s="1"/>
  <c r="J52" i="6"/>
  <c r="A52" i="6"/>
  <c r="B52" i="6" s="1"/>
  <c r="J51" i="6"/>
  <c r="A51" i="6"/>
  <c r="B51" i="6" s="1"/>
  <c r="J50" i="6"/>
  <c r="A50" i="6"/>
  <c r="B50" i="6" s="1"/>
  <c r="J49" i="6"/>
  <c r="A49" i="6"/>
  <c r="B49" i="6" s="1"/>
  <c r="J48" i="6"/>
  <c r="A48" i="6"/>
  <c r="B48" i="6" s="1"/>
  <c r="J47" i="6"/>
  <c r="A47" i="6"/>
  <c r="B47" i="6" s="1"/>
  <c r="J45" i="6"/>
  <c r="A45" i="6"/>
  <c r="B45" i="6" s="1"/>
  <c r="J44" i="6"/>
  <c r="A44" i="6"/>
  <c r="B44" i="6" s="1"/>
  <c r="J43" i="6"/>
  <c r="A43" i="6"/>
  <c r="B43" i="6" s="1"/>
  <c r="J42" i="6"/>
  <c r="A42" i="6"/>
  <c r="B42" i="6" s="1"/>
  <c r="J41" i="6"/>
  <c r="A41" i="6"/>
  <c r="B41" i="6" s="1"/>
  <c r="J40" i="6"/>
  <c r="A40" i="6"/>
  <c r="B40" i="6" s="1"/>
  <c r="J39" i="6"/>
  <c r="A39" i="6"/>
  <c r="B39" i="6" s="1"/>
  <c r="J38" i="6"/>
  <c r="A38" i="6"/>
  <c r="B38" i="6" s="1"/>
  <c r="J37" i="6"/>
  <c r="A37" i="6"/>
  <c r="B37" i="6" s="1"/>
  <c r="J35" i="6"/>
  <c r="A35" i="6"/>
  <c r="B35" i="6" s="1"/>
  <c r="J34" i="6"/>
  <c r="A34" i="6"/>
  <c r="B34" i="6" s="1"/>
  <c r="J33" i="6"/>
  <c r="A33" i="6"/>
  <c r="B33" i="6" s="1"/>
  <c r="J32" i="6"/>
  <c r="A32" i="6"/>
  <c r="B32" i="6" s="1"/>
  <c r="J31" i="6"/>
  <c r="A31" i="6"/>
  <c r="B31" i="6" s="1"/>
  <c r="J30" i="6"/>
  <c r="A30" i="6"/>
  <c r="B30" i="6" s="1"/>
  <c r="J29" i="6"/>
  <c r="A29" i="6"/>
  <c r="B29" i="6" s="1"/>
  <c r="J28" i="6"/>
  <c r="A28" i="6"/>
  <c r="B28" i="6" s="1"/>
  <c r="J27" i="6"/>
  <c r="A27" i="6"/>
  <c r="B27" i="6" s="1"/>
  <c r="J25" i="6"/>
  <c r="A25" i="6"/>
  <c r="B25" i="6" s="1"/>
  <c r="J24" i="6"/>
  <c r="A24" i="6"/>
  <c r="B24" i="6" s="1"/>
  <c r="A23" i="6"/>
  <c r="B23" i="6" s="1"/>
  <c r="A22" i="6"/>
  <c r="B22" i="6" s="1"/>
  <c r="A21" i="6"/>
  <c r="B21" i="6" s="1"/>
  <c r="A20" i="6"/>
  <c r="B20" i="6" s="1"/>
  <c r="A19" i="6"/>
  <c r="B19" i="6" s="1"/>
  <c r="A18" i="6"/>
  <c r="B18" i="6" s="1"/>
  <c r="A17" i="6"/>
  <c r="B17" i="6" s="1"/>
  <c r="A15" i="6"/>
  <c r="B15" i="6" s="1"/>
  <c r="A14" i="6"/>
  <c r="B14" i="6" s="1"/>
  <c r="A13" i="6"/>
  <c r="B13" i="6" s="1"/>
  <c r="A12" i="6"/>
  <c r="B12" i="6" s="1"/>
  <c r="A11" i="6"/>
  <c r="B11" i="6" s="1"/>
  <c r="A10" i="6"/>
  <c r="B10" i="6" s="1"/>
  <c r="A9" i="6"/>
  <c r="B9" i="6" s="1"/>
  <c r="A8" i="6"/>
  <c r="B8" i="6" s="1"/>
  <c r="A7" i="6"/>
  <c r="B7" i="6" s="1"/>
  <c r="A5" i="6"/>
  <c r="B5" i="6" s="1"/>
  <c r="A4" i="6"/>
  <c r="J4" i="6"/>
  <c r="J23" i="6"/>
  <c r="J22" i="6"/>
  <c r="J21" i="6"/>
  <c r="J20" i="6"/>
  <c r="J19" i="6"/>
  <c r="J18" i="6"/>
  <c r="J17" i="6"/>
  <c r="J15" i="6"/>
  <c r="J14" i="6"/>
  <c r="J13" i="6"/>
  <c r="J12" i="6"/>
  <c r="J11" i="6"/>
  <c r="J10" i="6"/>
  <c r="J9" i="6"/>
  <c r="J8" i="6"/>
  <c r="J7" i="6"/>
  <c r="J5" i="6"/>
  <c r="H251" i="3"/>
  <c r="B251" i="3"/>
  <c r="H197" i="3"/>
  <c r="H198" i="3"/>
  <c r="B198" i="3"/>
  <c r="B197" i="3"/>
  <c r="H191" i="3"/>
  <c r="H190" i="3"/>
  <c r="H189" i="3"/>
  <c r="B191" i="3"/>
  <c r="B190" i="3"/>
  <c r="B189" i="3"/>
  <c r="B106" i="4"/>
  <c r="B105" i="4"/>
  <c r="B104" i="4"/>
  <c r="B103" i="4"/>
  <c r="B102" i="4"/>
  <c r="B101" i="4"/>
  <c r="B100" i="4"/>
  <c r="B98" i="4"/>
  <c r="B97" i="4"/>
  <c r="H245" i="3"/>
  <c r="H244" i="3"/>
  <c r="H243" i="3"/>
  <c r="B245" i="3"/>
  <c r="B244" i="3"/>
  <c r="B243" i="3"/>
  <c r="B117" i="4"/>
  <c r="B116" i="4"/>
  <c r="B115" i="4"/>
  <c r="B114" i="4"/>
  <c r="B207" i="3"/>
  <c r="B206" i="3"/>
  <c r="B205" i="3"/>
  <c r="B204" i="3"/>
  <c r="B141" i="3"/>
  <c r="B140" i="3"/>
  <c r="B139" i="3"/>
  <c r="B138" i="3"/>
  <c r="B137" i="3"/>
  <c r="B136" i="3"/>
  <c r="B135" i="3"/>
  <c r="B134" i="3"/>
  <c r="B133" i="3"/>
  <c r="B132" i="3"/>
  <c r="B131" i="3"/>
  <c r="B130" i="3"/>
  <c r="B129" i="3"/>
  <c r="B128" i="3"/>
  <c r="B127" i="3"/>
  <c r="B126" i="3"/>
  <c r="B125" i="3"/>
  <c r="B124" i="3"/>
  <c r="B123" i="3"/>
  <c r="B122" i="3"/>
  <c r="B121" i="3"/>
  <c r="B120" i="3"/>
  <c r="B119" i="3"/>
  <c r="B118" i="3"/>
  <c r="B117" i="3"/>
  <c r="B116" i="3"/>
  <c r="B115" i="3"/>
  <c r="B114" i="3"/>
  <c r="B113" i="3"/>
  <c r="B112" i="3"/>
  <c r="B107" i="3"/>
  <c r="B106" i="3"/>
  <c r="B105" i="3"/>
  <c r="B104" i="3"/>
  <c r="B103" i="3"/>
  <c r="B102" i="3"/>
  <c r="B101" i="3"/>
  <c r="B100" i="3"/>
  <c r="B99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123" i="4"/>
  <c r="B122" i="4"/>
  <c r="B119" i="4"/>
  <c r="B118" i="4"/>
  <c r="B113" i="4"/>
  <c r="B112" i="4"/>
  <c r="B11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3" i="3"/>
  <c r="H64" i="3"/>
  <c r="H67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6" i="3"/>
  <c r="H68" i="3"/>
  <c r="H66" i="3"/>
  <c r="H65" i="3"/>
  <c r="H62" i="3"/>
  <c r="H61" i="3"/>
  <c r="BK48" i="14" l="1"/>
  <c r="W26" i="14"/>
  <c r="BK71" i="14"/>
  <c r="W25" i="14"/>
  <c r="BK26" i="14"/>
  <c r="W48" i="14"/>
  <c r="W49" i="14"/>
  <c r="W71" i="14"/>
  <c r="BK72" i="14"/>
  <c r="BK49" i="14"/>
  <c r="W72" i="14"/>
  <c r="BK25" i="14"/>
  <c r="C114" i="2"/>
  <c r="C92" i="2"/>
  <c r="C128" i="2"/>
  <c r="C78" i="2"/>
  <c r="C77" i="2"/>
  <c r="C113" i="2"/>
  <c r="C79" i="2"/>
  <c r="C112" i="2"/>
  <c r="C127" i="2"/>
  <c r="C93" i="2"/>
  <c r="BL8" i="13"/>
  <c r="BO8" i="13" s="1"/>
  <c r="BL12" i="13"/>
  <c r="BO12" i="13" s="1"/>
  <c r="BL16" i="13"/>
  <c r="BO16" i="13" s="1"/>
  <c r="BL20" i="13"/>
  <c r="BO20" i="13" s="1"/>
  <c r="BL24" i="13"/>
  <c r="BO24" i="13" s="1"/>
  <c r="BL28" i="13"/>
  <c r="BO28" i="13" s="1"/>
  <c r="BL32" i="13"/>
  <c r="BO32" i="13" s="1"/>
  <c r="BL36" i="13"/>
  <c r="BO36" i="13" s="1"/>
  <c r="BL40" i="13"/>
  <c r="BO40" i="13" s="1"/>
  <c r="BL44" i="13"/>
  <c r="BO44" i="13" s="1"/>
  <c r="BL48" i="13"/>
  <c r="BO48" i="13" s="1"/>
  <c r="BL52" i="13"/>
  <c r="BO52" i="13" s="1"/>
  <c r="BL56" i="13"/>
  <c r="BO56" i="13" s="1"/>
  <c r="BL60" i="13"/>
  <c r="BO60" i="13" s="1"/>
  <c r="BL64" i="13"/>
  <c r="BO64" i="13" s="1"/>
  <c r="BL68" i="13"/>
  <c r="BO68" i="13" s="1"/>
  <c r="BL72" i="13"/>
  <c r="BO72" i="13" s="1"/>
  <c r="BL76" i="13"/>
  <c r="BO76" i="13" s="1"/>
  <c r="BL80" i="13"/>
  <c r="BO80" i="13" s="1"/>
  <c r="BL84" i="13"/>
  <c r="BO84" i="13" s="1"/>
  <c r="BL88" i="13"/>
  <c r="BO88" i="13" s="1"/>
  <c r="BL92" i="13"/>
  <c r="BO92" i="13" s="1"/>
  <c r="BL6" i="7"/>
  <c r="BO6" i="7" s="1"/>
  <c r="BL10" i="7"/>
  <c r="BO10" i="7" s="1"/>
  <c r="BL14" i="7"/>
  <c r="BO14" i="7" s="1"/>
  <c r="BL18" i="7"/>
  <c r="BO18" i="7" s="1"/>
  <c r="BL22" i="7"/>
  <c r="BO22" i="7" s="1"/>
  <c r="BL26" i="7"/>
  <c r="BO26" i="7" s="1"/>
  <c r="BL30" i="7"/>
  <c r="BO30" i="7" s="1"/>
  <c r="BL34" i="7"/>
  <c r="BO34" i="7" s="1"/>
  <c r="BL38" i="7"/>
  <c r="BO38" i="7" s="1"/>
  <c r="BL42" i="7"/>
  <c r="BO42" i="7" s="1"/>
  <c r="BL46" i="7"/>
  <c r="BO46" i="7" s="1"/>
  <c r="BL50" i="7"/>
  <c r="BO50" i="7" s="1"/>
  <c r="BL54" i="7"/>
  <c r="BO54" i="7" s="1"/>
  <c r="BL58" i="7"/>
  <c r="BO58" i="7" s="1"/>
  <c r="BL62" i="7"/>
  <c r="BO62" i="7" s="1"/>
  <c r="BL66" i="7"/>
  <c r="BO66" i="7" s="1"/>
  <c r="BL70" i="7"/>
  <c r="BO70" i="7" s="1"/>
  <c r="BL74" i="7"/>
  <c r="BO74" i="7" s="1"/>
  <c r="BL78" i="7"/>
  <c r="BO78" i="7" s="1"/>
  <c r="BL82" i="7"/>
  <c r="BO82" i="7" s="1"/>
  <c r="BL86" i="7"/>
  <c r="BO86" i="7" s="1"/>
  <c r="BL90" i="7"/>
  <c r="BO90" i="7" s="1"/>
  <c r="BL94" i="7"/>
  <c r="BO94" i="7" s="1"/>
  <c r="BL98" i="7"/>
  <c r="BO98" i="7" s="1"/>
  <c r="BL102" i="7"/>
  <c r="BO102" i="7" s="1"/>
  <c r="BL106" i="7"/>
  <c r="BO106" i="7" s="1"/>
  <c r="BL110" i="7"/>
  <c r="BO110" i="7" s="1"/>
  <c r="BL114" i="7"/>
  <c r="BO114" i="7" s="1"/>
  <c r="BL118" i="7"/>
  <c r="BO118" i="7" s="1"/>
  <c r="BL122" i="7"/>
  <c r="BO122" i="7" s="1"/>
  <c r="BL126" i="7"/>
  <c r="BO126" i="7" s="1"/>
  <c r="BL130" i="7"/>
  <c r="BO130" i="7" s="1"/>
  <c r="BL134" i="7"/>
  <c r="BO134" i="7" s="1"/>
  <c r="BL138" i="7"/>
  <c r="BO138" i="7" s="1"/>
  <c r="BL142" i="7"/>
  <c r="BO142" i="7" s="1"/>
  <c r="BL146" i="7"/>
  <c r="BO146" i="7" s="1"/>
  <c r="BL150" i="7"/>
  <c r="BO150" i="7" s="1"/>
  <c r="BL154" i="7"/>
  <c r="BO154" i="7" s="1"/>
  <c r="BL158" i="7"/>
  <c r="BO158" i="7" s="1"/>
  <c r="BL9" i="13"/>
  <c r="BO9" i="13" s="1"/>
  <c r="BL17" i="13"/>
  <c r="BO17" i="13" s="1"/>
  <c r="BL25" i="13"/>
  <c r="BO25" i="13" s="1"/>
  <c r="BL29" i="13"/>
  <c r="BO29" i="13" s="1"/>
  <c r="BL41" i="13"/>
  <c r="BO41" i="13" s="1"/>
  <c r="BL49" i="13"/>
  <c r="BO49" i="13" s="1"/>
  <c r="BL57" i="13"/>
  <c r="BO57" i="13" s="1"/>
  <c r="BL65" i="13"/>
  <c r="BO65" i="13" s="1"/>
  <c r="BL73" i="13"/>
  <c r="BO73" i="13" s="1"/>
  <c r="BL81" i="13"/>
  <c r="BO81" i="13" s="1"/>
  <c r="BL89" i="13"/>
  <c r="BO89" i="13" s="1"/>
  <c r="BL7" i="7"/>
  <c r="BO7" i="7" s="1"/>
  <c r="BL15" i="7"/>
  <c r="BO15" i="7" s="1"/>
  <c r="BL23" i="7"/>
  <c r="BO23" i="7" s="1"/>
  <c r="BL31" i="7"/>
  <c r="BO31" i="7" s="1"/>
  <c r="BL39" i="7"/>
  <c r="BO39" i="7" s="1"/>
  <c r="BL47" i="7"/>
  <c r="BO47" i="7" s="1"/>
  <c r="BL55" i="7"/>
  <c r="BO55" i="7" s="1"/>
  <c r="BL63" i="7"/>
  <c r="BO63" i="7" s="1"/>
  <c r="BL71" i="7"/>
  <c r="BO71" i="7" s="1"/>
  <c r="BL79" i="7"/>
  <c r="BO79" i="7" s="1"/>
  <c r="BL87" i="7"/>
  <c r="BO87" i="7" s="1"/>
  <c r="BL95" i="7"/>
  <c r="BO95" i="7" s="1"/>
  <c r="BL103" i="7"/>
  <c r="BO103" i="7" s="1"/>
  <c r="BL111" i="7"/>
  <c r="BO111" i="7" s="1"/>
  <c r="BL119" i="7"/>
  <c r="BO119" i="7" s="1"/>
  <c r="BL127" i="7"/>
  <c r="BO127" i="7" s="1"/>
  <c r="BL135" i="7"/>
  <c r="BO135" i="7" s="1"/>
  <c r="BL143" i="7"/>
  <c r="BO143" i="7" s="1"/>
  <c r="BL151" i="7"/>
  <c r="BO151" i="7" s="1"/>
  <c r="BL159" i="7"/>
  <c r="BO159" i="7" s="1"/>
  <c r="BL6" i="13"/>
  <c r="BO6" i="13" s="1"/>
  <c r="BL14" i="13"/>
  <c r="BO14" i="13" s="1"/>
  <c r="BL22" i="13"/>
  <c r="BO22" i="13" s="1"/>
  <c r="BL26" i="13"/>
  <c r="BO26" i="13" s="1"/>
  <c r="BL38" i="13"/>
  <c r="BO38" i="13" s="1"/>
  <c r="BL46" i="13"/>
  <c r="BO46" i="13" s="1"/>
  <c r="BL50" i="13"/>
  <c r="BO50" i="13" s="1"/>
  <c r="BL58" i="13"/>
  <c r="BO58" i="13" s="1"/>
  <c r="BL66" i="13"/>
  <c r="BO66" i="13" s="1"/>
  <c r="BL74" i="13"/>
  <c r="BO74" i="13" s="1"/>
  <c r="BL82" i="13"/>
  <c r="BO82" i="13" s="1"/>
  <c r="BL4" i="13"/>
  <c r="BO4" i="13" s="1"/>
  <c r="BL12" i="7"/>
  <c r="BO12" i="7" s="1"/>
  <c r="BL20" i="7"/>
  <c r="BO20" i="7" s="1"/>
  <c r="BL28" i="7"/>
  <c r="BO28" i="7" s="1"/>
  <c r="BL36" i="7"/>
  <c r="BO36" i="7" s="1"/>
  <c r="BL44" i="7"/>
  <c r="BO44" i="7" s="1"/>
  <c r="BL52" i="7"/>
  <c r="BO52" i="7" s="1"/>
  <c r="BL60" i="7"/>
  <c r="BO60" i="7" s="1"/>
  <c r="BL64" i="7"/>
  <c r="BO64" i="7" s="1"/>
  <c r="BL72" i="7"/>
  <c r="BO72" i="7" s="1"/>
  <c r="BL80" i="7"/>
  <c r="BO80" i="7" s="1"/>
  <c r="BL92" i="7"/>
  <c r="BO92" i="7" s="1"/>
  <c r="BL100" i="7"/>
  <c r="BO100" i="7" s="1"/>
  <c r="BL104" i="7"/>
  <c r="BO104" i="7" s="1"/>
  <c r="BL112" i="7"/>
  <c r="BO112" i="7" s="1"/>
  <c r="BL120" i="7"/>
  <c r="BO120" i="7" s="1"/>
  <c r="BL128" i="7"/>
  <c r="BO128" i="7" s="1"/>
  <c r="BL136" i="7"/>
  <c r="BO136" i="7" s="1"/>
  <c r="BL144" i="7"/>
  <c r="BO144" i="7" s="1"/>
  <c r="BL152" i="7"/>
  <c r="BO152" i="7" s="1"/>
  <c r="BL4" i="7"/>
  <c r="BO4" i="7" s="1"/>
  <c r="BL7" i="13"/>
  <c r="BO7" i="13" s="1"/>
  <c r="BL11" i="13"/>
  <c r="BO11" i="13" s="1"/>
  <c r="BL15" i="13"/>
  <c r="BO15" i="13" s="1"/>
  <c r="BL19" i="13"/>
  <c r="BO19" i="13" s="1"/>
  <c r="BL23" i="13"/>
  <c r="BO23" i="13" s="1"/>
  <c r="BL27" i="13"/>
  <c r="BO27" i="13" s="1"/>
  <c r="BL31" i="13"/>
  <c r="BO31" i="13" s="1"/>
  <c r="BL35" i="13"/>
  <c r="BO35" i="13" s="1"/>
  <c r="BL39" i="13"/>
  <c r="BO39" i="13" s="1"/>
  <c r="BL43" i="13"/>
  <c r="BO43" i="13" s="1"/>
  <c r="BL47" i="13"/>
  <c r="BO47" i="13" s="1"/>
  <c r="BL51" i="13"/>
  <c r="BO51" i="13" s="1"/>
  <c r="BL55" i="13"/>
  <c r="BO55" i="13" s="1"/>
  <c r="BL59" i="13"/>
  <c r="BO59" i="13" s="1"/>
  <c r="BL63" i="13"/>
  <c r="BO63" i="13" s="1"/>
  <c r="BL67" i="13"/>
  <c r="BO67" i="13" s="1"/>
  <c r="BL71" i="13"/>
  <c r="BO71" i="13" s="1"/>
  <c r="BL75" i="13"/>
  <c r="BO75" i="13" s="1"/>
  <c r="BL79" i="13"/>
  <c r="BO79" i="13" s="1"/>
  <c r="BL83" i="13"/>
  <c r="BO83" i="13" s="1"/>
  <c r="BL87" i="13"/>
  <c r="BO87" i="13" s="1"/>
  <c r="BL91" i="13"/>
  <c r="BO91" i="13" s="1"/>
  <c r="BL5" i="7"/>
  <c r="BO5" i="7" s="1"/>
  <c r="BL9" i="7"/>
  <c r="BO9" i="7" s="1"/>
  <c r="BL13" i="7"/>
  <c r="BO13" i="7" s="1"/>
  <c r="BL17" i="7"/>
  <c r="BO17" i="7" s="1"/>
  <c r="BL21" i="7"/>
  <c r="BO21" i="7" s="1"/>
  <c r="BL25" i="7"/>
  <c r="BO25" i="7" s="1"/>
  <c r="BL29" i="7"/>
  <c r="BO29" i="7" s="1"/>
  <c r="BL33" i="7"/>
  <c r="BO33" i="7" s="1"/>
  <c r="BL37" i="7"/>
  <c r="BO37" i="7" s="1"/>
  <c r="BL41" i="7"/>
  <c r="BO41" i="7" s="1"/>
  <c r="BL45" i="7"/>
  <c r="BO45" i="7" s="1"/>
  <c r="BL49" i="7"/>
  <c r="BO49" i="7" s="1"/>
  <c r="BL53" i="7"/>
  <c r="BO53" i="7" s="1"/>
  <c r="BL57" i="7"/>
  <c r="BO57" i="7" s="1"/>
  <c r="BL61" i="7"/>
  <c r="BO61" i="7" s="1"/>
  <c r="BL65" i="7"/>
  <c r="BO65" i="7" s="1"/>
  <c r="BL69" i="7"/>
  <c r="BO69" i="7" s="1"/>
  <c r="BL73" i="7"/>
  <c r="BO73" i="7" s="1"/>
  <c r="BL77" i="7"/>
  <c r="BO77" i="7" s="1"/>
  <c r="BL81" i="7"/>
  <c r="BO81" i="7" s="1"/>
  <c r="BL85" i="7"/>
  <c r="BO85" i="7" s="1"/>
  <c r="BL89" i="7"/>
  <c r="BO89" i="7" s="1"/>
  <c r="BL93" i="7"/>
  <c r="BO93" i="7" s="1"/>
  <c r="BL97" i="7"/>
  <c r="BO97" i="7" s="1"/>
  <c r="BL101" i="7"/>
  <c r="BO101" i="7" s="1"/>
  <c r="BL105" i="7"/>
  <c r="BO105" i="7" s="1"/>
  <c r="BL109" i="7"/>
  <c r="BO109" i="7" s="1"/>
  <c r="BL113" i="7"/>
  <c r="BO113" i="7" s="1"/>
  <c r="BL117" i="7"/>
  <c r="BO117" i="7" s="1"/>
  <c r="BL121" i="7"/>
  <c r="BO121" i="7" s="1"/>
  <c r="BL125" i="7"/>
  <c r="BO125" i="7" s="1"/>
  <c r="BL129" i="7"/>
  <c r="BO129" i="7" s="1"/>
  <c r="BL133" i="7"/>
  <c r="BO133" i="7" s="1"/>
  <c r="BL137" i="7"/>
  <c r="BO137" i="7" s="1"/>
  <c r="BL141" i="7"/>
  <c r="BO141" i="7" s="1"/>
  <c r="BL145" i="7"/>
  <c r="BO145" i="7" s="1"/>
  <c r="BL149" i="7"/>
  <c r="BO149" i="7" s="1"/>
  <c r="BL153" i="7"/>
  <c r="BO153" i="7" s="1"/>
  <c r="BL157" i="7"/>
  <c r="BO157" i="7" s="1"/>
  <c r="R4" i="7"/>
  <c r="BL5" i="13"/>
  <c r="BO5" i="13" s="1"/>
  <c r="BL13" i="13"/>
  <c r="BO13" i="13" s="1"/>
  <c r="BL21" i="13"/>
  <c r="BO21" i="13" s="1"/>
  <c r="BL33" i="13"/>
  <c r="BO33" i="13" s="1"/>
  <c r="BL37" i="13"/>
  <c r="BO37" i="13" s="1"/>
  <c r="BL45" i="13"/>
  <c r="BO45" i="13" s="1"/>
  <c r="BL53" i="13"/>
  <c r="BO53" i="13" s="1"/>
  <c r="BL61" i="13"/>
  <c r="BO61" i="13" s="1"/>
  <c r="BL69" i="13"/>
  <c r="BO69" i="13" s="1"/>
  <c r="BL77" i="13"/>
  <c r="BO77" i="13" s="1"/>
  <c r="BL85" i="13"/>
  <c r="BO85" i="13" s="1"/>
  <c r="BL93" i="13"/>
  <c r="BO93" i="13" s="1"/>
  <c r="BL11" i="7"/>
  <c r="BO11" i="7" s="1"/>
  <c r="BL19" i="7"/>
  <c r="BO19" i="7" s="1"/>
  <c r="BL27" i="7"/>
  <c r="BO27" i="7" s="1"/>
  <c r="BL35" i="7"/>
  <c r="BO35" i="7" s="1"/>
  <c r="BL43" i="7"/>
  <c r="BO43" i="7" s="1"/>
  <c r="BL51" i="7"/>
  <c r="BO51" i="7" s="1"/>
  <c r="BL59" i="7"/>
  <c r="BO59" i="7" s="1"/>
  <c r="BL67" i="7"/>
  <c r="BO67" i="7" s="1"/>
  <c r="BL75" i="7"/>
  <c r="BO75" i="7" s="1"/>
  <c r="BL83" i="7"/>
  <c r="BO83" i="7" s="1"/>
  <c r="BL91" i="7"/>
  <c r="BO91" i="7" s="1"/>
  <c r="BL99" i="7"/>
  <c r="BO99" i="7" s="1"/>
  <c r="BL107" i="7"/>
  <c r="BO107" i="7" s="1"/>
  <c r="BL115" i="7"/>
  <c r="BO115" i="7" s="1"/>
  <c r="BL123" i="7"/>
  <c r="BO123" i="7" s="1"/>
  <c r="BL131" i="7"/>
  <c r="BO131" i="7" s="1"/>
  <c r="BL139" i="7"/>
  <c r="BO139" i="7" s="1"/>
  <c r="BL147" i="7"/>
  <c r="BO147" i="7" s="1"/>
  <c r="BL155" i="7"/>
  <c r="BO155" i="7" s="1"/>
  <c r="BL10" i="13"/>
  <c r="BO10" i="13" s="1"/>
  <c r="BL18" i="13"/>
  <c r="BO18" i="13" s="1"/>
  <c r="BL30" i="13"/>
  <c r="BO30" i="13" s="1"/>
  <c r="BL34" i="13"/>
  <c r="BO34" i="13" s="1"/>
  <c r="BL42" i="13"/>
  <c r="BO42" i="13" s="1"/>
  <c r="BL54" i="13"/>
  <c r="BO54" i="13" s="1"/>
  <c r="BL62" i="13"/>
  <c r="BO62" i="13" s="1"/>
  <c r="BL70" i="13"/>
  <c r="BO70" i="13" s="1"/>
  <c r="BL78" i="13"/>
  <c r="BO78" i="13" s="1"/>
  <c r="BL86" i="13"/>
  <c r="BO86" i="13" s="1"/>
  <c r="BL90" i="13"/>
  <c r="BO90" i="13" s="1"/>
  <c r="BL8" i="7"/>
  <c r="BO8" i="7" s="1"/>
  <c r="BL16" i="7"/>
  <c r="BO16" i="7" s="1"/>
  <c r="BL24" i="7"/>
  <c r="BO24" i="7" s="1"/>
  <c r="BL32" i="7"/>
  <c r="BO32" i="7" s="1"/>
  <c r="BL40" i="7"/>
  <c r="BO40" i="7" s="1"/>
  <c r="BL48" i="7"/>
  <c r="BO48" i="7" s="1"/>
  <c r="BL56" i="7"/>
  <c r="BO56" i="7" s="1"/>
  <c r="BL68" i="7"/>
  <c r="BO68" i="7" s="1"/>
  <c r="BL76" i="7"/>
  <c r="BO76" i="7" s="1"/>
  <c r="BL84" i="7"/>
  <c r="BO84" i="7" s="1"/>
  <c r="BL88" i="7"/>
  <c r="BO88" i="7" s="1"/>
  <c r="BL96" i="7"/>
  <c r="BO96" i="7" s="1"/>
  <c r="BL108" i="7"/>
  <c r="BO108" i="7" s="1"/>
  <c r="BL116" i="7"/>
  <c r="BO116" i="7" s="1"/>
  <c r="BL124" i="7"/>
  <c r="BO124" i="7" s="1"/>
  <c r="BL132" i="7"/>
  <c r="BO132" i="7" s="1"/>
  <c r="BL140" i="7"/>
  <c r="BO140" i="7" s="1"/>
  <c r="BL148" i="7"/>
  <c r="BO148" i="7" s="1"/>
  <c r="BL156" i="7"/>
  <c r="BO156" i="7" s="1"/>
  <c r="O23" i="6"/>
  <c r="O4" i="13"/>
  <c r="O4" i="14"/>
  <c r="R71" i="14"/>
  <c r="L71" i="14"/>
  <c r="M49" i="14"/>
  <c r="S26" i="14"/>
  <c r="M26" i="14"/>
  <c r="M25" i="14"/>
  <c r="L25" i="14"/>
  <c r="R72" i="14"/>
  <c r="M71" i="14"/>
  <c r="N26" i="14"/>
  <c r="N72" i="14"/>
  <c r="S49" i="14"/>
  <c r="L49" i="14"/>
  <c r="N48" i="14"/>
  <c r="R26" i="14"/>
  <c r="L26" i="14"/>
  <c r="S25" i="14"/>
  <c r="S71" i="14"/>
  <c r="L48" i="14"/>
  <c r="S72" i="14"/>
  <c r="M72" i="14"/>
  <c r="N71" i="14"/>
  <c r="R49" i="14"/>
  <c r="S48" i="14"/>
  <c r="M48" i="14"/>
  <c r="R25" i="14"/>
  <c r="L72" i="14"/>
  <c r="R48" i="14"/>
  <c r="N49" i="14"/>
  <c r="O49" i="14"/>
  <c r="N25" i="14"/>
  <c r="O72" i="14"/>
  <c r="O48" i="14"/>
  <c r="O71" i="14"/>
  <c r="O25" i="14"/>
  <c r="O26" i="14"/>
  <c r="O92" i="13"/>
  <c r="O88" i="13"/>
  <c r="O84" i="13"/>
  <c r="O80" i="13"/>
  <c r="O76" i="13"/>
  <c r="O72" i="13"/>
  <c r="O68" i="13"/>
  <c r="O64" i="13"/>
  <c r="O60" i="13"/>
  <c r="O56" i="13"/>
  <c r="O52" i="13"/>
  <c r="O48" i="13"/>
  <c r="O44" i="13"/>
  <c r="O40" i="13"/>
  <c r="O36" i="13"/>
  <c r="O32" i="13"/>
  <c r="O28" i="13"/>
  <c r="O24" i="13"/>
  <c r="O20" i="13"/>
  <c r="O16" i="13"/>
  <c r="O12" i="13"/>
  <c r="O8" i="13"/>
  <c r="O91" i="13"/>
  <c r="O87" i="13"/>
  <c r="O83" i="13"/>
  <c r="O79" i="13"/>
  <c r="O75" i="13"/>
  <c r="O71" i="13"/>
  <c r="O67" i="13"/>
  <c r="O63" i="13"/>
  <c r="O59" i="13"/>
  <c r="O55" i="13"/>
  <c r="O51" i="13"/>
  <c r="O47" i="13"/>
  <c r="O43" i="13"/>
  <c r="O39" i="13"/>
  <c r="O35" i="13"/>
  <c r="O31" i="13"/>
  <c r="O27" i="13"/>
  <c r="O23" i="13"/>
  <c r="O19" i="13"/>
  <c r="O15" i="13"/>
  <c r="O11" i="13"/>
  <c r="O7" i="13"/>
  <c r="O90" i="13"/>
  <c r="O82" i="13"/>
  <c r="O74" i="13"/>
  <c r="O66" i="13"/>
  <c r="O58" i="13"/>
  <c r="O50" i="13"/>
  <c r="O42" i="13"/>
  <c r="O34" i="13"/>
  <c r="O26" i="13"/>
  <c r="O18" i="13"/>
  <c r="O10" i="13"/>
  <c r="O28" i="7"/>
  <c r="O32" i="7"/>
  <c r="O36" i="7"/>
  <c r="O40" i="7"/>
  <c r="O44" i="7"/>
  <c r="O48" i="7"/>
  <c r="O52" i="7"/>
  <c r="O93" i="13"/>
  <c r="O85" i="13"/>
  <c r="O77" i="13"/>
  <c r="O69" i="13"/>
  <c r="O61" i="13"/>
  <c r="O53" i="13"/>
  <c r="O45" i="13"/>
  <c r="O37" i="13"/>
  <c r="O29" i="13"/>
  <c r="O21" i="13"/>
  <c r="O13" i="13"/>
  <c r="O5" i="13"/>
  <c r="O27" i="7"/>
  <c r="O31" i="7"/>
  <c r="O35" i="7"/>
  <c r="O39" i="7"/>
  <c r="O43" i="7"/>
  <c r="O47" i="7"/>
  <c r="O51" i="7"/>
  <c r="O55" i="7"/>
  <c r="O59" i="7"/>
  <c r="O63" i="7"/>
  <c r="O67" i="7"/>
  <c r="O71" i="7"/>
  <c r="O75" i="7"/>
  <c r="O79" i="7"/>
  <c r="O83" i="7"/>
  <c r="O87" i="7"/>
  <c r="O91" i="7"/>
  <c r="O95" i="7"/>
  <c r="O99" i="7"/>
  <c r="O103" i="7"/>
  <c r="O107" i="7"/>
  <c r="O111" i="7"/>
  <c r="O115" i="7"/>
  <c r="O119" i="7"/>
  <c r="O123" i="7"/>
  <c r="O127" i="7"/>
  <c r="O86" i="13"/>
  <c r="O70" i="13"/>
  <c r="O54" i="13"/>
  <c r="O38" i="13"/>
  <c r="O22" i="13"/>
  <c r="O6" i="13"/>
  <c r="O26" i="7"/>
  <c r="O34" i="7"/>
  <c r="O42" i="7"/>
  <c r="O50" i="7"/>
  <c r="O57" i="7"/>
  <c r="O68" i="7"/>
  <c r="O73" i="7"/>
  <c r="O84" i="7"/>
  <c r="O94" i="7"/>
  <c r="O110" i="7"/>
  <c r="O121" i="7"/>
  <c r="O131" i="7"/>
  <c r="O139" i="7"/>
  <c r="O151" i="7"/>
  <c r="O159" i="7"/>
  <c r="O14" i="7"/>
  <c r="O6" i="7"/>
  <c r="O49" i="13"/>
  <c r="O17" i="13"/>
  <c r="O29" i="7"/>
  <c r="O45" i="7"/>
  <c r="O58" i="7"/>
  <c r="O69" i="7"/>
  <c r="O80" i="7"/>
  <c r="O90" i="7"/>
  <c r="O101" i="7"/>
  <c r="O112" i="7"/>
  <c r="O122" i="7"/>
  <c r="O132" i="7"/>
  <c r="O140" i="7"/>
  <c r="O148" i="7"/>
  <c r="O156" i="7"/>
  <c r="O21" i="7"/>
  <c r="O13" i="7"/>
  <c r="O5" i="7"/>
  <c r="O46" i="13"/>
  <c r="O30" i="13"/>
  <c r="O38" i="7"/>
  <c r="O54" i="7"/>
  <c r="O65" i="7"/>
  <c r="O76" i="7"/>
  <c r="O86" i="7"/>
  <c r="O97" i="7"/>
  <c r="O108" i="7"/>
  <c r="O118" i="7"/>
  <c r="O129" i="7"/>
  <c r="O137" i="7"/>
  <c r="O145" i="7"/>
  <c r="O153" i="7"/>
  <c r="O24" i="7"/>
  <c r="O16" i="7"/>
  <c r="O8" i="7"/>
  <c r="O89" i="13"/>
  <c r="O73" i="13"/>
  <c r="O57" i="13"/>
  <c r="O41" i="13"/>
  <c r="O25" i="13"/>
  <c r="O9" i="13"/>
  <c r="O33" i="7"/>
  <c r="O41" i="7"/>
  <c r="O49" i="7"/>
  <c r="O56" i="7"/>
  <c r="O61" i="7"/>
  <c r="O66" i="7"/>
  <c r="O72" i="7"/>
  <c r="O77" i="7"/>
  <c r="O82" i="7"/>
  <c r="O88" i="7"/>
  <c r="O93" i="7"/>
  <c r="O98" i="7"/>
  <c r="O104" i="7"/>
  <c r="O109" i="7"/>
  <c r="O114" i="7"/>
  <c r="O120" i="7"/>
  <c r="O125" i="7"/>
  <c r="O130" i="7"/>
  <c r="O134" i="7"/>
  <c r="O138" i="7"/>
  <c r="O142" i="7"/>
  <c r="O146" i="7"/>
  <c r="O150" i="7"/>
  <c r="O154" i="7"/>
  <c r="O158" i="7"/>
  <c r="O23" i="7"/>
  <c r="O19" i="7"/>
  <c r="O15" i="7"/>
  <c r="O11" i="7"/>
  <c r="O7" i="7"/>
  <c r="N4" i="6"/>
  <c r="O62" i="7"/>
  <c r="O78" i="7"/>
  <c r="O89" i="7"/>
  <c r="O100" i="7"/>
  <c r="O105" i="7"/>
  <c r="O116" i="7"/>
  <c r="O126" i="7"/>
  <c r="O135" i="7"/>
  <c r="O143" i="7"/>
  <c r="O147" i="7"/>
  <c r="O155" i="7"/>
  <c r="O22" i="7"/>
  <c r="O18" i="7"/>
  <c r="O10" i="7"/>
  <c r="O81" i="13"/>
  <c r="O65" i="13"/>
  <c r="O33" i="13"/>
  <c r="O37" i="7"/>
  <c r="O53" i="7"/>
  <c r="O64" i="7"/>
  <c r="O74" i="7"/>
  <c r="O85" i="7"/>
  <c r="O96" i="7"/>
  <c r="O106" i="7"/>
  <c r="O117" i="7"/>
  <c r="O128" i="7"/>
  <c r="O136" i="7"/>
  <c r="O144" i="7"/>
  <c r="O152" i="7"/>
  <c r="O25" i="7"/>
  <c r="O17" i="7"/>
  <c r="O9" i="7"/>
  <c r="O78" i="13"/>
  <c r="O62" i="13"/>
  <c r="O14" i="13"/>
  <c r="O30" i="7"/>
  <c r="O46" i="7"/>
  <c r="O60" i="7"/>
  <c r="O70" i="7"/>
  <c r="O81" i="7"/>
  <c r="O92" i="7"/>
  <c r="O102" i="7"/>
  <c r="O113" i="7"/>
  <c r="O124" i="7"/>
  <c r="O133" i="7"/>
  <c r="O141" i="7"/>
  <c r="O149" i="7"/>
  <c r="O157" i="7"/>
  <c r="O20" i="7"/>
  <c r="O12" i="7"/>
  <c r="O4" i="7"/>
  <c r="O60" i="6"/>
  <c r="O56" i="6"/>
  <c r="O52" i="6"/>
  <c r="O48" i="6"/>
  <c r="O44" i="6"/>
  <c r="O40" i="6"/>
  <c r="O36" i="6"/>
  <c r="O32" i="6"/>
  <c r="O28" i="6"/>
  <c r="O24" i="6"/>
  <c r="O20" i="6"/>
  <c r="O16" i="6"/>
  <c r="O12" i="6"/>
  <c r="O8" i="6"/>
  <c r="O4" i="6"/>
  <c r="N8" i="6"/>
  <c r="N12" i="6"/>
  <c r="N16" i="6"/>
  <c r="N20" i="6"/>
  <c r="N24" i="6"/>
  <c r="N28" i="6"/>
  <c r="N32" i="6"/>
  <c r="N36" i="6"/>
  <c r="N40" i="6"/>
  <c r="N44" i="6"/>
  <c r="N48" i="6"/>
  <c r="N52" i="6"/>
  <c r="N56" i="6"/>
  <c r="N60" i="6"/>
  <c r="N54" i="6"/>
  <c r="O61" i="6"/>
  <c r="O53" i="6"/>
  <c r="O41" i="6"/>
  <c r="O33" i="6"/>
  <c r="O25" i="6"/>
  <c r="O17" i="6"/>
  <c r="O13" i="6"/>
  <c r="O5" i="6"/>
  <c r="N11" i="6"/>
  <c r="N19" i="6"/>
  <c r="N27" i="6"/>
  <c r="N35" i="6"/>
  <c r="N43" i="6"/>
  <c r="N51" i="6"/>
  <c r="N59" i="6"/>
  <c r="O63" i="6"/>
  <c r="O59" i="6"/>
  <c r="O55" i="6"/>
  <c r="O51" i="6"/>
  <c r="O47" i="6"/>
  <c r="O43" i="6"/>
  <c r="O39" i="6"/>
  <c r="O35" i="6"/>
  <c r="O31" i="6"/>
  <c r="O27" i="6"/>
  <c r="O19" i="6"/>
  <c r="O15" i="6"/>
  <c r="O11" i="6"/>
  <c r="O7" i="6"/>
  <c r="N5" i="6"/>
  <c r="N9" i="6"/>
  <c r="N13" i="6"/>
  <c r="N17" i="6"/>
  <c r="N21" i="6"/>
  <c r="N25" i="6"/>
  <c r="N29" i="6"/>
  <c r="N33" i="6"/>
  <c r="N37" i="6"/>
  <c r="N41" i="6"/>
  <c r="N45" i="6"/>
  <c r="N49" i="6"/>
  <c r="N53" i="6"/>
  <c r="N57" i="6"/>
  <c r="N61" i="6"/>
  <c r="O62" i="6"/>
  <c r="O58" i="6"/>
  <c r="O54" i="6"/>
  <c r="O50" i="6"/>
  <c r="O46" i="6"/>
  <c r="O42" i="6"/>
  <c r="O38" i="6"/>
  <c r="O34" i="6"/>
  <c r="O30" i="6"/>
  <c r="O26" i="6"/>
  <c r="O22" i="6"/>
  <c r="O18" i="6"/>
  <c r="O14" i="6"/>
  <c r="O10" i="6"/>
  <c r="O6" i="6"/>
  <c r="N6" i="6"/>
  <c r="N10" i="6"/>
  <c r="N14" i="6"/>
  <c r="N18" i="6"/>
  <c r="N22" i="6"/>
  <c r="N26" i="6"/>
  <c r="N30" i="6"/>
  <c r="N34" i="6"/>
  <c r="N38" i="6"/>
  <c r="N42" i="6"/>
  <c r="N46" i="6"/>
  <c r="N50" i="6"/>
  <c r="N58" i="6"/>
  <c r="N62" i="6"/>
  <c r="O57" i="6"/>
  <c r="O49" i="6"/>
  <c r="O45" i="6"/>
  <c r="O37" i="6"/>
  <c r="O29" i="6"/>
  <c r="O21" i="6"/>
  <c r="O9" i="6"/>
  <c r="N7" i="6"/>
  <c r="N15" i="6"/>
  <c r="N23" i="6"/>
  <c r="N31" i="6"/>
  <c r="N39" i="6"/>
  <c r="N47" i="6"/>
  <c r="N55" i="6"/>
  <c r="N63" i="6"/>
  <c r="AS149" i="7"/>
  <c r="AS97" i="7"/>
  <c r="AS45" i="7"/>
  <c r="BK70" i="14"/>
  <c r="BK38" i="14"/>
  <c r="BK42" i="14"/>
  <c r="W46" i="14"/>
  <c r="W43" i="14"/>
  <c r="W42" i="14"/>
  <c r="W40" i="14"/>
  <c r="BK64" i="14"/>
  <c r="BK69" i="14"/>
  <c r="BK39" i="14"/>
  <c r="BK44" i="14"/>
  <c r="BK46" i="14"/>
  <c r="W39" i="14"/>
  <c r="W47" i="14"/>
  <c r="W68" i="14"/>
  <c r="BK63" i="14"/>
  <c r="W38" i="14"/>
  <c r="W45" i="14"/>
  <c r="BK62" i="14"/>
  <c r="BK68" i="14"/>
  <c r="BK65" i="14"/>
  <c r="W70" i="14"/>
  <c r="BK47" i="14"/>
  <c r="W41" i="14"/>
  <c r="BK45" i="14"/>
  <c r="BK61" i="14"/>
  <c r="W63" i="14"/>
  <c r="W61" i="14"/>
  <c r="BK67" i="14"/>
  <c r="W64" i="14"/>
  <c r="W66" i="14"/>
  <c r="W65" i="14"/>
  <c r="BK40" i="14"/>
  <c r="BK41" i="14"/>
  <c r="W62" i="14"/>
  <c r="BK66" i="14"/>
  <c r="BK43" i="14"/>
  <c r="W67" i="14"/>
  <c r="W69" i="14"/>
  <c r="W44" i="14"/>
  <c r="R69" i="14"/>
  <c r="R68" i="14"/>
  <c r="R67" i="14"/>
  <c r="L67" i="14"/>
  <c r="S66" i="14"/>
  <c r="L66" i="14"/>
  <c r="S65" i="14"/>
  <c r="L65" i="14"/>
  <c r="S64" i="14"/>
  <c r="L64" i="14"/>
  <c r="S63" i="14"/>
  <c r="L63" i="14"/>
  <c r="S62" i="14"/>
  <c r="L62" i="14"/>
  <c r="S61" i="14"/>
  <c r="L61" i="14"/>
  <c r="S47" i="14"/>
  <c r="L47" i="14"/>
  <c r="S46" i="14"/>
  <c r="L46" i="14"/>
  <c r="S45" i="14"/>
  <c r="L45" i="14"/>
  <c r="S44" i="14"/>
  <c r="L44" i="14"/>
  <c r="S43" i="14"/>
  <c r="L43" i="14"/>
  <c r="S42" i="14"/>
  <c r="L42" i="14"/>
  <c r="S41" i="14"/>
  <c r="L41" i="14"/>
  <c r="S40" i="14"/>
  <c r="L40" i="14"/>
  <c r="S39" i="14"/>
  <c r="L39" i="14"/>
  <c r="S38" i="14"/>
  <c r="L38" i="14"/>
  <c r="M23" i="14"/>
  <c r="S22" i="14"/>
  <c r="L22" i="14"/>
  <c r="R21" i="14"/>
  <c r="M19" i="14"/>
  <c r="S18" i="14"/>
  <c r="L18" i="14"/>
  <c r="R17" i="14"/>
  <c r="M15" i="14"/>
  <c r="R66" i="14"/>
  <c r="R65" i="14"/>
  <c r="R64" i="14"/>
  <c r="R63" i="14"/>
  <c r="R62" i="14"/>
  <c r="R61" i="14"/>
  <c r="R47" i="14"/>
  <c r="R46" i="14"/>
  <c r="R45" i="14"/>
  <c r="R44" i="14"/>
  <c r="R43" i="14"/>
  <c r="R42" i="14"/>
  <c r="R41" i="14"/>
  <c r="R40" i="14"/>
  <c r="R39" i="14"/>
  <c r="R38" i="14"/>
  <c r="M24" i="14"/>
  <c r="S23" i="14"/>
  <c r="L23" i="14"/>
  <c r="R22" i="14"/>
  <c r="M20" i="14"/>
  <c r="S19" i="14"/>
  <c r="L19" i="14"/>
  <c r="R18" i="14"/>
  <c r="M16" i="14"/>
  <c r="S15" i="14"/>
  <c r="L15" i="14"/>
  <c r="S70" i="14"/>
  <c r="M70" i="14"/>
  <c r="M69" i="14"/>
  <c r="M68" i="14"/>
  <c r="O67" i="14"/>
  <c r="S24" i="14"/>
  <c r="L24" i="14"/>
  <c r="R23" i="14"/>
  <c r="M21" i="14"/>
  <c r="S20" i="14"/>
  <c r="L20" i="14"/>
  <c r="R19" i="14"/>
  <c r="M17" i="14"/>
  <c r="S16" i="14"/>
  <c r="L16" i="14"/>
  <c r="R15" i="14"/>
  <c r="R70" i="14"/>
  <c r="L70" i="14"/>
  <c r="S69" i="14"/>
  <c r="L69" i="14"/>
  <c r="S68" i="14"/>
  <c r="L68" i="14"/>
  <c r="S67" i="14"/>
  <c r="M67" i="14"/>
  <c r="M66" i="14"/>
  <c r="M65" i="14"/>
  <c r="M64" i="14"/>
  <c r="M63" i="14"/>
  <c r="M62" i="14"/>
  <c r="M61" i="14"/>
  <c r="M47" i="14"/>
  <c r="M46" i="14"/>
  <c r="M45" i="14"/>
  <c r="M44" i="14"/>
  <c r="M43" i="14"/>
  <c r="M42" i="14"/>
  <c r="M41" i="14"/>
  <c r="M40" i="14"/>
  <c r="M39" i="14"/>
  <c r="M38" i="14"/>
  <c r="R24" i="14"/>
  <c r="M22" i="14"/>
  <c r="S21" i="14"/>
  <c r="L21" i="14"/>
  <c r="R20" i="14"/>
  <c r="M18" i="14"/>
  <c r="S17" i="14"/>
  <c r="L17" i="14"/>
  <c r="R16" i="14"/>
  <c r="N15" i="14"/>
  <c r="O63" i="14"/>
  <c r="O70" i="14"/>
  <c r="O20" i="14"/>
  <c r="O24" i="14"/>
  <c r="N38" i="14"/>
  <c r="N68" i="14"/>
  <c r="O65" i="14"/>
  <c r="N47" i="14"/>
  <c r="N41" i="14"/>
  <c r="O45" i="14"/>
  <c r="O23" i="14"/>
  <c r="O15" i="14"/>
  <c r="N16" i="14"/>
  <c r="N19" i="14"/>
  <c r="N43" i="14"/>
  <c r="N65" i="14"/>
  <c r="N39" i="14"/>
  <c r="N63" i="14"/>
  <c r="N46" i="14"/>
  <c r="N61" i="14"/>
  <c r="O64" i="14"/>
  <c r="N21" i="14"/>
  <c r="O16" i="14"/>
  <c r="N20" i="14"/>
  <c r="N18" i="14"/>
  <c r="O40" i="14"/>
  <c r="N44" i="14"/>
  <c r="N66" i="14"/>
  <c r="N69" i="14"/>
  <c r="O18" i="14"/>
  <c r="O66" i="14"/>
  <c r="O41" i="14"/>
  <c r="O22" i="14"/>
  <c r="O68" i="14"/>
  <c r="O39" i="14"/>
  <c r="O47" i="14"/>
  <c r="O38" i="14"/>
  <c r="O21" i="14"/>
  <c r="O17" i="14"/>
  <c r="N24" i="14"/>
  <c r="BL24" i="14" s="1"/>
  <c r="BO24" i="14" s="1"/>
  <c r="N22" i="14"/>
  <c r="BL22" i="14" s="1"/>
  <c r="BO22" i="14" s="1"/>
  <c r="N45" i="14"/>
  <c r="BL45" i="14" s="1"/>
  <c r="BO45" i="14" s="1"/>
  <c r="N67" i="14"/>
  <c r="BL67" i="14" s="1"/>
  <c r="BO67" i="14" s="1"/>
  <c r="N70" i="14"/>
  <c r="BL70" i="14" s="1"/>
  <c r="BO70" i="14" s="1"/>
  <c r="O19" i="14"/>
  <c r="O43" i="14"/>
  <c r="N40" i="14"/>
  <c r="O62" i="14"/>
  <c r="N64" i="14"/>
  <c r="N62" i="14"/>
  <c r="O61" i="14"/>
  <c r="O69" i="14"/>
  <c r="O44" i="14"/>
  <c r="O46" i="14"/>
  <c r="N42" i="14"/>
  <c r="O42" i="14"/>
  <c r="N23" i="14"/>
  <c r="N17" i="14"/>
  <c r="BK18" i="14"/>
  <c r="BK24" i="14"/>
  <c r="W17" i="14"/>
  <c r="W23" i="14"/>
  <c r="BK22" i="14"/>
  <c r="BK20" i="14"/>
  <c r="W15" i="14"/>
  <c r="BK19" i="14"/>
  <c r="W16" i="14"/>
  <c r="BK17" i="14"/>
  <c r="BK23" i="14"/>
  <c r="BK21" i="14"/>
  <c r="W24" i="14"/>
  <c r="W18" i="14"/>
  <c r="BK15" i="14"/>
  <c r="W19" i="14"/>
  <c r="BK16" i="14"/>
  <c r="W22" i="14"/>
  <c r="W20" i="14"/>
  <c r="W21" i="14"/>
  <c r="BK97" i="7"/>
  <c r="W45" i="7"/>
  <c r="W97" i="7"/>
  <c r="W149" i="7"/>
  <c r="BK149" i="7"/>
  <c r="BK45" i="7"/>
  <c r="P149" i="7"/>
  <c r="L149" i="7"/>
  <c r="P97" i="7"/>
  <c r="L97" i="7"/>
  <c r="N97" i="7"/>
  <c r="M149" i="7"/>
  <c r="M97" i="7"/>
  <c r="T149" i="7"/>
  <c r="N149" i="7"/>
  <c r="T97" i="7"/>
  <c r="Q149" i="7"/>
  <c r="Q97" i="7"/>
  <c r="R149" i="7"/>
  <c r="R97" i="7"/>
  <c r="R45" i="7"/>
  <c r="N45" i="7"/>
  <c r="P45" i="7"/>
  <c r="L45" i="7"/>
  <c r="Q45" i="7"/>
  <c r="M45" i="7"/>
  <c r="T45" i="7"/>
  <c r="R60" i="14"/>
  <c r="R59" i="14"/>
  <c r="L59" i="14"/>
  <c r="S37" i="14"/>
  <c r="L37" i="14"/>
  <c r="S36" i="14"/>
  <c r="L36" i="14"/>
  <c r="S14" i="14"/>
  <c r="N14" i="14"/>
  <c r="S13" i="14"/>
  <c r="N13" i="14"/>
  <c r="M56" i="6"/>
  <c r="M36" i="6"/>
  <c r="R37" i="14"/>
  <c r="R36" i="14"/>
  <c r="R14" i="14"/>
  <c r="M14" i="14"/>
  <c r="R13" i="14"/>
  <c r="M13" i="14"/>
  <c r="S56" i="6"/>
  <c r="L56" i="6"/>
  <c r="S46" i="6"/>
  <c r="L46" i="6"/>
  <c r="S36" i="6"/>
  <c r="L36" i="6"/>
  <c r="S26" i="6"/>
  <c r="L26" i="6"/>
  <c r="S16" i="6"/>
  <c r="L16" i="6"/>
  <c r="S6" i="6"/>
  <c r="L6" i="6"/>
  <c r="M46" i="6"/>
  <c r="M60" i="14"/>
  <c r="L14" i="14"/>
  <c r="L13" i="14"/>
  <c r="Q56" i="6"/>
  <c r="Q46" i="6"/>
  <c r="Q36" i="6"/>
  <c r="Q26" i="6"/>
  <c r="Q16" i="6"/>
  <c r="Q6" i="6"/>
  <c r="M16" i="6"/>
  <c r="M6" i="6"/>
  <c r="S60" i="14"/>
  <c r="L60" i="14"/>
  <c r="S59" i="14"/>
  <c r="M59" i="14"/>
  <c r="M37" i="14"/>
  <c r="M36" i="14"/>
  <c r="O13" i="14"/>
  <c r="M26" i="6"/>
  <c r="N59" i="14"/>
  <c r="O14" i="14"/>
  <c r="O37" i="14"/>
  <c r="N37" i="14"/>
  <c r="O59" i="14"/>
  <c r="N36" i="14"/>
  <c r="N60" i="14"/>
  <c r="O60" i="14"/>
  <c r="O36" i="14"/>
  <c r="BK14" i="14"/>
  <c r="W13" i="14"/>
  <c r="BK36" i="6"/>
  <c r="W14" i="14"/>
  <c r="BK26" i="6"/>
  <c r="W59" i="14"/>
  <c r="BK13" i="14"/>
  <c r="BK56" i="6"/>
  <c r="BK16" i="6"/>
  <c r="BK46" i="6"/>
  <c r="W16" i="6"/>
  <c r="W26" i="6"/>
  <c r="BK36" i="14"/>
  <c r="BK60" i="14"/>
  <c r="W36" i="6"/>
  <c r="BK59" i="14"/>
  <c r="W60" i="14"/>
  <c r="BK37" i="14"/>
  <c r="W37" i="14"/>
  <c r="BK6" i="6"/>
  <c r="W56" i="6"/>
  <c r="W36" i="14"/>
  <c r="W46" i="6"/>
  <c r="W6" i="6"/>
  <c r="BK13" i="13"/>
  <c r="BK33" i="14"/>
  <c r="W71" i="13"/>
  <c r="AC71" i="13" s="1"/>
  <c r="BK15" i="13"/>
  <c r="W43" i="13"/>
  <c r="AC43" i="13" s="1"/>
  <c r="W51" i="13"/>
  <c r="X51" i="13" s="1"/>
  <c r="Z51" i="13" s="1"/>
  <c r="BK79" i="13"/>
  <c r="BK52" i="13"/>
  <c r="M90" i="13"/>
  <c r="M86" i="13"/>
  <c r="M82" i="13"/>
  <c r="M78" i="13"/>
  <c r="M74" i="13"/>
  <c r="M70" i="13"/>
  <c r="M66" i="13"/>
  <c r="M62" i="13"/>
  <c r="M58" i="13"/>
  <c r="M54" i="13"/>
  <c r="M50" i="13"/>
  <c r="M46" i="13"/>
  <c r="M42" i="13"/>
  <c r="M38" i="13"/>
  <c r="M34" i="13"/>
  <c r="M30" i="13"/>
  <c r="M26" i="13"/>
  <c r="M22" i="13"/>
  <c r="M18" i="13"/>
  <c r="M14" i="13"/>
  <c r="M10" i="13"/>
  <c r="M6" i="13"/>
  <c r="R93" i="13"/>
  <c r="R89" i="13"/>
  <c r="R85" i="13"/>
  <c r="R81" i="13"/>
  <c r="R77" i="13"/>
  <c r="R73" i="13"/>
  <c r="R69" i="13"/>
  <c r="R65" i="13"/>
  <c r="R61" i="13"/>
  <c r="R57" i="13"/>
  <c r="R53" i="13"/>
  <c r="R49" i="13"/>
  <c r="R45" i="13"/>
  <c r="R41" i="13"/>
  <c r="R37" i="13"/>
  <c r="R33" i="13"/>
  <c r="R29" i="13"/>
  <c r="R25" i="13"/>
  <c r="R21" i="13"/>
  <c r="R17" i="13"/>
  <c r="R13" i="13"/>
  <c r="R9" i="13"/>
  <c r="R5" i="13"/>
  <c r="N91" i="13"/>
  <c r="N87" i="13"/>
  <c r="N83" i="13"/>
  <c r="N79" i="13"/>
  <c r="N75" i="13"/>
  <c r="N71" i="13"/>
  <c r="N67" i="13"/>
  <c r="N63" i="13"/>
  <c r="N59" i="13"/>
  <c r="N55" i="13"/>
  <c r="N51" i="13"/>
  <c r="N47" i="13"/>
  <c r="N43" i="13"/>
  <c r="N39" i="13"/>
  <c r="N35" i="13"/>
  <c r="N31" i="13"/>
  <c r="N27" i="13"/>
  <c r="N23" i="13"/>
  <c r="N19" i="13"/>
  <c r="N15" i="13"/>
  <c r="N11" i="13"/>
  <c r="N7" i="13"/>
  <c r="Q92" i="13"/>
  <c r="Q88" i="13"/>
  <c r="Q84" i="13"/>
  <c r="Q80" i="13"/>
  <c r="Q76" i="13"/>
  <c r="Q72" i="13"/>
  <c r="Q68" i="13"/>
  <c r="Q64" i="13"/>
  <c r="Q60" i="13"/>
  <c r="Q56" i="13"/>
  <c r="Q52" i="13"/>
  <c r="Q48" i="13"/>
  <c r="Q44" i="13"/>
  <c r="Q40" i="13"/>
  <c r="Q36" i="13"/>
  <c r="Q32" i="13"/>
  <c r="Q28" i="13"/>
  <c r="Q24" i="13"/>
  <c r="Q20" i="13"/>
  <c r="Q16" i="13"/>
  <c r="Q12" i="13"/>
  <c r="Q8" i="13"/>
  <c r="Q4" i="13"/>
  <c r="T91" i="13"/>
  <c r="T87" i="13"/>
  <c r="T83" i="13"/>
  <c r="T79" i="13"/>
  <c r="T75" i="13"/>
  <c r="T71" i="13"/>
  <c r="T67" i="13"/>
  <c r="T63" i="13"/>
  <c r="T59" i="13"/>
  <c r="T55" i="13"/>
  <c r="T51" i="13"/>
  <c r="T47" i="13"/>
  <c r="T43" i="13"/>
  <c r="T39" i="13"/>
  <c r="T35" i="13"/>
  <c r="T31" i="13"/>
  <c r="T27" i="13"/>
  <c r="T23" i="13"/>
  <c r="T19" i="13"/>
  <c r="T15" i="13"/>
  <c r="T11" i="13"/>
  <c r="T7" i="13"/>
  <c r="M92" i="13"/>
  <c r="M88" i="13"/>
  <c r="M84" i="13"/>
  <c r="M80" i="13"/>
  <c r="M76" i="13"/>
  <c r="M72" i="13"/>
  <c r="M68" i="13"/>
  <c r="M64" i="13"/>
  <c r="M60" i="13"/>
  <c r="M56" i="13"/>
  <c r="M52" i="13"/>
  <c r="M48" i="13"/>
  <c r="M44" i="13"/>
  <c r="M40" i="13"/>
  <c r="M36" i="13"/>
  <c r="M32" i="13"/>
  <c r="M28" i="13"/>
  <c r="M24" i="13"/>
  <c r="M20" i="13"/>
  <c r="M16" i="13"/>
  <c r="M12" i="13"/>
  <c r="M8" i="13"/>
  <c r="M4" i="13"/>
  <c r="R91" i="13"/>
  <c r="R87" i="13"/>
  <c r="R83" i="13"/>
  <c r="R79" i="13"/>
  <c r="R75" i="13"/>
  <c r="R71" i="13"/>
  <c r="R67" i="13"/>
  <c r="R63" i="13"/>
  <c r="R59" i="13"/>
  <c r="R55" i="13"/>
  <c r="R51" i="13"/>
  <c r="R47" i="13"/>
  <c r="R43" i="13"/>
  <c r="R39" i="13"/>
  <c r="R35" i="13"/>
  <c r="R31" i="13"/>
  <c r="R27" i="13"/>
  <c r="R23" i="13"/>
  <c r="R19" i="13"/>
  <c r="R15" i="13"/>
  <c r="R11" i="13"/>
  <c r="R7" i="13"/>
  <c r="N93" i="13"/>
  <c r="N89" i="13"/>
  <c r="N85" i="13"/>
  <c r="N81" i="13"/>
  <c r="N77" i="13"/>
  <c r="N73" i="13"/>
  <c r="N69" i="13"/>
  <c r="N65" i="13"/>
  <c r="N61" i="13"/>
  <c r="N57" i="13"/>
  <c r="N53" i="13"/>
  <c r="N49" i="13"/>
  <c r="N45" i="13"/>
  <c r="N41" i="13"/>
  <c r="N37" i="13"/>
  <c r="N33" i="13"/>
  <c r="N29" i="13"/>
  <c r="N25" i="13"/>
  <c r="N21" i="13"/>
  <c r="N17" i="13"/>
  <c r="N13" i="13"/>
  <c r="N9" i="13"/>
  <c r="N5" i="13"/>
  <c r="Q90" i="13"/>
  <c r="Q86" i="13"/>
  <c r="Q82" i="13"/>
  <c r="Q78" i="13"/>
  <c r="Q74" i="13"/>
  <c r="Q70" i="13"/>
  <c r="Q66" i="13"/>
  <c r="Q62" i="13"/>
  <c r="Q58" i="13"/>
  <c r="Q54" i="13"/>
  <c r="Q50" i="13"/>
  <c r="Q46" i="13"/>
  <c r="Q42" i="13"/>
  <c r="Q38" i="13"/>
  <c r="Q34" i="13"/>
  <c r="Q30" i="13"/>
  <c r="Q26" i="13"/>
  <c r="Q22" i="13"/>
  <c r="Q18" i="13"/>
  <c r="Q14" i="13"/>
  <c r="Q10" i="13"/>
  <c r="Q6" i="13"/>
  <c r="T93" i="13"/>
  <c r="T89" i="13"/>
  <c r="T85" i="13"/>
  <c r="T81" i="13"/>
  <c r="T77" i="13"/>
  <c r="T73" i="13"/>
  <c r="T69" i="13"/>
  <c r="T65" i="13"/>
  <c r="T61" i="13"/>
  <c r="T57" i="13"/>
  <c r="T53" i="13"/>
  <c r="T49" i="13"/>
  <c r="T45" i="13"/>
  <c r="T41" i="13"/>
  <c r="T37" i="13"/>
  <c r="T33" i="13"/>
  <c r="T29" i="13"/>
  <c r="T25" i="13"/>
  <c r="T21" i="13"/>
  <c r="T17" i="13"/>
  <c r="T13" i="13"/>
  <c r="T9" i="13"/>
  <c r="T5" i="13"/>
  <c r="T20" i="13"/>
  <c r="T12" i="13"/>
  <c r="M91" i="13"/>
  <c r="M87" i="13"/>
  <c r="M83" i="13"/>
  <c r="M79" i="13"/>
  <c r="M75" i="13"/>
  <c r="M71" i="13"/>
  <c r="M67" i="13"/>
  <c r="M63" i="13"/>
  <c r="M59" i="13"/>
  <c r="M55" i="13"/>
  <c r="M51" i="13"/>
  <c r="M47" i="13"/>
  <c r="M43" i="13"/>
  <c r="M39" i="13"/>
  <c r="M35" i="13"/>
  <c r="M31" i="13"/>
  <c r="M27" i="13"/>
  <c r="M23" i="13"/>
  <c r="M19" i="13"/>
  <c r="M15" i="13"/>
  <c r="M11" i="13"/>
  <c r="M7" i="13"/>
  <c r="N4" i="13"/>
  <c r="R90" i="13"/>
  <c r="R86" i="13"/>
  <c r="R82" i="13"/>
  <c r="R78" i="13"/>
  <c r="R74" i="13"/>
  <c r="R70" i="13"/>
  <c r="R66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N92" i="13"/>
  <c r="N88" i="13"/>
  <c r="N84" i="13"/>
  <c r="N80" i="13"/>
  <c r="N76" i="13"/>
  <c r="N72" i="13"/>
  <c r="N68" i="13"/>
  <c r="N64" i="13"/>
  <c r="N60" i="13"/>
  <c r="N56" i="13"/>
  <c r="N52" i="13"/>
  <c r="N48" i="13"/>
  <c r="N44" i="13"/>
  <c r="N40" i="13"/>
  <c r="N36" i="13"/>
  <c r="N32" i="13"/>
  <c r="N28" i="13"/>
  <c r="N24" i="13"/>
  <c r="N20" i="13"/>
  <c r="N16" i="13"/>
  <c r="N12" i="13"/>
  <c r="N8" i="13"/>
  <c r="Q93" i="13"/>
  <c r="Q89" i="13"/>
  <c r="Q85" i="13"/>
  <c r="Q81" i="13"/>
  <c r="Q77" i="13"/>
  <c r="Q73" i="13"/>
  <c r="Q69" i="13"/>
  <c r="Q65" i="13"/>
  <c r="Q61" i="13"/>
  <c r="Q57" i="13"/>
  <c r="Q53" i="13"/>
  <c r="Q49" i="13"/>
  <c r="Q45" i="13"/>
  <c r="Q41" i="13"/>
  <c r="Q37" i="13"/>
  <c r="Q33" i="13"/>
  <c r="Q29" i="13"/>
  <c r="Q25" i="13"/>
  <c r="Q21" i="13"/>
  <c r="Q17" i="13"/>
  <c r="Q13" i="13"/>
  <c r="Q9" i="13"/>
  <c r="Q5" i="13"/>
  <c r="T92" i="13"/>
  <c r="T88" i="13"/>
  <c r="T84" i="13"/>
  <c r="T80" i="13"/>
  <c r="T76" i="13"/>
  <c r="T72" i="13"/>
  <c r="T68" i="13"/>
  <c r="T64" i="13"/>
  <c r="T60" i="13"/>
  <c r="T56" i="13"/>
  <c r="T52" i="13"/>
  <c r="T48" i="13"/>
  <c r="T44" i="13"/>
  <c r="T40" i="13"/>
  <c r="T36" i="13"/>
  <c r="T32" i="13"/>
  <c r="T28" i="13"/>
  <c r="T24" i="13"/>
  <c r="T16" i="13"/>
  <c r="T8" i="13"/>
  <c r="M81" i="13"/>
  <c r="M65" i="13"/>
  <c r="M49" i="13"/>
  <c r="M33" i="13"/>
  <c r="M17" i="13"/>
  <c r="R92" i="13"/>
  <c r="R76" i="13"/>
  <c r="R60" i="13"/>
  <c r="R44" i="13"/>
  <c r="R28" i="13"/>
  <c r="R12" i="13"/>
  <c r="N86" i="13"/>
  <c r="N70" i="13"/>
  <c r="N54" i="13"/>
  <c r="N38" i="13"/>
  <c r="N22" i="13"/>
  <c r="N6" i="13"/>
  <c r="Q79" i="13"/>
  <c r="Q63" i="13"/>
  <c r="Q47" i="13"/>
  <c r="Q31" i="13"/>
  <c r="Q15" i="13"/>
  <c r="T90" i="13"/>
  <c r="T74" i="13"/>
  <c r="T58" i="13"/>
  <c r="T42" i="13"/>
  <c r="T26" i="13"/>
  <c r="T10" i="13"/>
  <c r="N14" i="13"/>
  <c r="Q87" i="13"/>
  <c r="Q55" i="13"/>
  <c r="Q23" i="13"/>
  <c r="T66" i="13"/>
  <c r="T18" i="13"/>
  <c r="M53" i="13"/>
  <c r="M21" i="13"/>
  <c r="M5" i="13"/>
  <c r="R48" i="13"/>
  <c r="N90" i="13"/>
  <c r="N42" i="13"/>
  <c r="Q83" i="13"/>
  <c r="Q35" i="13"/>
  <c r="T46" i="13"/>
  <c r="M93" i="13"/>
  <c r="M77" i="13"/>
  <c r="M61" i="13"/>
  <c r="M45" i="13"/>
  <c r="M29" i="13"/>
  <c r="M13" i="13"/>
  <c r="R88" i="13"/>
  <c r="R72" i="13"/>
  <c r="R56" i="13"/>
  <c r="R40" i="13"/>
  <c r="R24" i="13"/>
  <c r="R8" i="13"/>
  <c r="N82" i="13"/>
  <c r="N66" i="13"/>
  <c r="N50" i="13"/>
  <c r="N34" i="13"/>
  <c r="N18" i="13"/>
  <c r="Q91" i="13"/>
  <c r="Q75" i="13"/>
  <c r="Q59" i="13"/>
  <c r="Q43" i="13"/>
  <c r="Q27" i="13"/>
  <c r="Q11" i="13"/>
  <c r="T86" i="13"/>
  <c r="T70" i="13"/>
  <c r="T54" i="13"/>
  <c r="T38" i="13"/>
  <c r="T22" i="13"/>
  <c r="T6" i="13"/>
  <c r="N30" i="13"/>
  <c r="Q71" i="13"/>
  <c r="Q39" i="13"/>
  <c r="Q7" i="13"/>
  <c r="T82" i="13"/>
  <c r="T34" i="13"/>
  <c r="M69" i="13"/>
  <c r="M37" i="13"/>
  <c r="R80" i="13"/>
  <c r="R32" i="13"/>
  <c r="N74" i="13"/>
  <c r="N10" i="13"/>
  <c r="Q51" i="13"/>
  <c r="T4" i="13"/>
  <c r="T30" i="13"/>
  <c r="M89" i="13"/>
  <c r="M73" i="13"/>
  <c r="M57" i="13"/>
  <c r="M41" i="13"/>
  <c r="M25" i="13"/>
  <c r="M9" i="13"/>
  <c r="R84" i="13"/>
  <c r="R68" i="13"/>
  <c r="R52" i="13"/>
  <c r="R36" i="13"/>
  <c r="R20" i="13"/>
  <c r="R4" i="13"/>
  <c r="N78" i="13"/>
  <c r="N62" i="13"/>
  <c r="N46" i="13"/>
  <c r="T50" i="13"/>
  <c r="M85" i="13"/>
  <c r="R64" i="13"/>
  <c r="R16" i="13"/>
  <c r="N58" i="13"/>
  <c r="N26" i="13"/>
  <c r="Q67" i="13"/>
  <c r="Q19" i="13"/>
  <c r="T62" i="13"/>
  <c r="T14" i="13"/>
  <c r="T78" i="13"/>
  <c r="W39" i="6"/>
  <c r="X39" i="6" s="1"/>
  <c r="Z39" i="6" s="1"/>
  <c r="BK34" i="7"/>
  <c r="BK14" i="7"/>
  <c r="BK63" i="7"/>
  <c r="BK73" i="7"/>
  <c r="BK81" i="7"/>
  <c r="W83" i="7"/>
  <c r="AC83" i="7" s="1"/>
  <c r="W89" i="7"/>
  <c r="X89" i="7" s="1"/>
  <c r="BK93" i="7"/>
  <c r="W108" i="7"/>
  <c r="AC108" i="7" s="1"/>
  <c r="W128" i="7"/>
  <c r="AC128" i="7" s="1"/>
  <c r="W136" i="7"/>
  <c r="AC136" i="7" s="1"/>
  <c r="W28" i="13"/>
  <c r="AC28" i="13" s="1"/>
  <c r="BK46" i="13"/>
  <c r="W46" i="7"/>
  <c r="X46" i="7" s="1"/>
  <c r="Z46" i="7" s="1"/>
  <c r="BK33" i="7"/>
  <c r="W29" i="7"/>
  <c r="AC29" i="7" s="1"/>
  <c r="W36" i="7"/>
  <c r="AC36" i="7" s="1"/>
  <c r="W115" i="7"/>
  <c r="X115" i="7" s="1"/>
  <c r="Z115" i="7" s="1"/>
  <c r="W17" i="13"/>
  <c r="X17" i="13" s="1"/>
  <c r="Z17" i="13" s="1"/>
  <c r="BK46" i="7"/>
  <c r="BK111" i="7"/>
  <c r="W84" i="13"/>
  <c r="X84" i="13" s="1"/>
  <c r="Y84" i="13" s="1"/>
  <c r="W52" i="14"/>
  <c r="AC52" i="14" s="1"/>
  <c r="BK154" i="7"/>
  <c r="BK115" i="7"/>
  <c r="BK78" i="13"/>
  <c r="W84" i="7"/>
  <c r="X84" i="7" s="1"/>
  <c r="Z84" i="7" s="1"/>
  <c r="W25" i="7"/>
  <c r="AC25" i="7" s="1"/>
  <c r="BK94" i="7"/>
  <c r="BK77" i="13"/>
  <c r="W7" i="6"/>
  <c r="X7" i="6" s="1"/>
  <c r="Z7" i="6" s="1"/>
  <c r="N19" i="7"/>
  <c r="R13" i="7"/>
  <c r="L18" i="6"/>
  <c r="R108" i="7"/>
  <c r="L38" i="7"/>
  <c r="Q46" i="7"/>
  <c r="Q63" i="6"/>
  <c r="AI63" i="6" s="1"/>
  <c r="AJ63" i="6" s="1"/>
  <c r="T42" i="7"/>
  <c r="Q21" i="6"/>
  <c r="AI21" i="6" s="1"/>
  <c r="AJ21" i="6" s="1"/>
  <c r="Q22" i="7"/>
  <c r="N89" i="7"/>
  <c r="L37" i="6"/>
  <c r="Q23" i="6"/>
  <c r="AI23" i="6" s="1"/>
  <c r="AJ23" i="6" s="1"/>
  <c r="M59" i="6"/>
  <c r="Q55" i="6"/>
  <c r="R10" i="7"/>
  <c r="L25" i="7"/>
  <c r="N51" i="7"/>
  <c r="P15" i="7"/>
  <c r="M35" i="7"/>
  <c r="N60" i="7"/>
  <c r="M20" i="6"/>
  <c r="Q33" i="6"/>
  <c r="AI33" i="6" s="1"/>
  <c r="AJ33" i="6" s="1"/>
  <c r="L48" i="6"/>
  <c r="R52" i="7"/>
  <c r="N10" i="7"/>
  <c r="Q28" i="7"/>
  <c r="T8" i="7"/>
  <c r="L27" i="7"/>
  <c r="R43" i="7"/>
  <c r="T151" i="7"/>
  <c r="M58" i="6"/>
  <c r="P19" i="7"/>
  <c r="P79" i="7"/>
  <c r="Q28" i="6"/>
  <c r="Q75" i="7"/>
  <c r="Q24" i="6"/>
  <c r="Q37" i="6"/>
  <c r="M19" i="7"/>
  <c r="P64" i="13"/>
  <c r="L47" i="6"/>
  <c r="P29" i="7"/>
  <c r="L13" i="7"/>
  <c r="Q35" i="6"/>
  <c r="M39" i="6"/>
  <c r="T13" i="7"/>
  <c r="M40" i="7"/>
  <c r="P148" i="7"/>
  <c r="L12" i="6"/>
  <c r="M21" i="6"/>
  <c r="Q50" i="6"/>
  <c r="AI50" i="6" s="1"/>
  <c r="AJ50" i="6" s="1"/>
  <c r="M30" i="6"/>
  <c r="Q7" i="7"/>
  <c r="P33" i="7"/>
  <c r="T29" i="7"/>
  <c r="P31" i="7"/>
  <c r="R90" i="7"/>
  <c r="N115" i="7"/>
  <c r="Q57" i="6"/>
  <c r="R39" i="7"/>
  <c r="M54" i="7"/>
  <c r="Q47" i="6"/>
  <c r="M8" i="7"/>
  <c r="T54" i="7"/>
  <c r="L5" i="6"/>
  <c r="Q7" i="6"/>
  <c r="L49" i="7"/>
  <c r="Q4" i="7"/>
  <c r="R156" i="7"/>
  <c r="L7" i="6"/>
  <c r="L58" i="6"/>
  <c r="Q40" i="6"/>
  <c r="AI40" i="6" s="1"/>
  <c r="AJ40" i="6" s="1"/>
  <c r="Q13" i="6"/>
  <c r="AI13" i="6" s="1"/>
  <c r="AJ13" i="6" s="1"/>
  <c r="P7" i="7"/>
  <c r="M18" i="7"/>
  <c r="N23" i="7"/>
  <c r="Q30" i="7"/>
  <c r="N46" i="7"/>
  <c r="R120" i="7"/>
  <c r="M122" i="7"/>
  <c r="AS146" i="7"/>
  <c r="AS114" i="7"/>
  <c r="AS88" i="7"/>
  <c r="AS139" i="7"/>
  <c r="AS111" i="7"/>
  <c r="AS89" i="7"/>
  <c r="AS159" i="7"/>
  <c r="AS131" i="7"/>
  <c r="AS77" i="7"/>
  <c r="AS78" i="7"/>
  <c r="AS150" i="7"/>
  <c r="AS121" i="7"/>
  <c r="AS86" i="7"/>
  <c r="AS10" i="7"/>
  <c r="AS51" i="7"/>
  <c r="AS42" i="7"/>
  <c r="AS34" i="7"/>
  <c r="AS26" i="7"/>
  <c r="AS18" i="7"/>
  <c r="AS65" i="7"/>
  <c r="AS108" i="7"/>
  <c r="AS60" i="7"/>
  <c r="AS136" i="7"/>
  <c r="AS7" i="7"/>
  <c r="AS37" i="7"/>
  <c r="AS21" i="7"/>
  <c r="AS98" i="7"/>
  <c r="AS99" i="7"/>
  <c r="AS91" i="7"/>
  <c r="AS71" i="7"/>
  <c r="AS47" i="7"/>
  <c r="AS14" i="7"/>
  <c r="AS73" i="7"/>
  <c r="AS95" i="7"/>
  <c r="AS90" i="7"/>
  <c r="AS13" i="7"/>
  <c r="AS39" i="7"/>
  <c r="AS138" i="7"/>
  <c r="AS122" i="7"/>
  <c r="AS6" i="7"/>
  <c r="AS32" i="7"/>
  <c r="AS119" i="7"/>
  <c r="AS92" i="7"/>
  <c r="AS143" i="7"/>
  <c r="AS115" i="7"/>
  <c r="AS93" i="7"/>
  <c r="AS56" i="7"/>
  <c r="AS137" i="7"/>
  <c r="AS101" i="7"/>
  <c r="AS81" i="7"/>
  <c r="AS84" i="7"/>
  <c r="AS154" i="7"/>
  <c r="AS127" i="7"/>
  <c r="AS100" i="7"/>
  <c r="AS112" i="7"/>
  <c r="AS9" i="7"/>
  <c r="AS52" i="7"/>
  <c r="AS43" i="7"/>
  <c r="AS35" i="7"/>
  <c r="AS27" i="7"/>
  <c r="AS19" i="7"/>
  <c r="AS152" i="7"/>
  <c r="AS87" i="7"/>
  <c r="AS62" i="7"/>
  <c r="AS46" i="7"/>
  <c r="AS29" i="7"/>
  <c r="AS132" i="7"/>
  <c r="AS70" i="7"/>
  <c r="AS64" i="7"/>
  <c r="AS4" i="7"/>
  <c r="AS22" i="7"/>
  <c r="AS102" i="7"/>
  <c r="AS103" i="7"/>
  <c r="AS66" i="7"/>
  <c r="AS58" i="7"/>
  <c r="AS48" i="7"/>
  <c r="AS31" i="7"/>
  <c r="AS106" i="7"/>
  <c r="AS133" i="7"/>
  <c r="AS79" i="7"/>
  <c r="AS69" i="7"/>
  <c r="AS104" i="7"/>
  <c r="AS12" i="7"/>
  <c r="AS24" i="7"/>
  <c r="AS123" i="7"/>
  <c r="AS96" i="7"/>
  <c r="AS147" i="7"/>
  <c r="AS120" i="7"/>
  <c r="AS61" i="7"/>
  <c r="AS141" i="7"/>
  <c r="AS105" i="7"/>
  <c r="AS83" i="7"/>
  <c r="AS57" i="7"/>
  <c r="AS158" i="7"/>
  <c r="AS130" i="7"/>
  <c r="AS76" i="7"/>
  <c r="AS82" i="7"/>
  <c r="AS8" i="7"/>
  <c r="AS53" i="7"/>
  <c r="AS44" i="7"/>
  <c r="AS36" i="7"/>
  <c r="AS28" i="7"/>
  <c r="AS20" i="7"/>
  <c r="AS128" i="7"/>
  <c r="AS54" i="7"/>
  <c r="AS113" i="7"/>
  <c r="AS140" i="7"/>
  <c r="AS55" i="7"/>
  <c r="AS30" i="7"/>
  <c r="AS134" i="7"/>
  <c r="AS129" i="7"/>
  <c r="AS117" i="7"/>
  <c r="AS144" i="7"/>
  <c r="AS5" i="7"/>
  <c r="AS15" i="7"/>
  <c r="AS153" i="7"/>
  <c r="AS107" i="7"/>
  <c r="AS151" i="7"/>
  <c r="AS72" i="7"/>
  <c r="AS148" i="7"/>
  <c r="AS67" i="7"/>
  <c r="AS49" i="7"/>
  <c r="AS40" i="7"/>
  <c r="AS16" i="7"/>
  <c r="AS142" i="7"/>
  <c r="AS110" i="7"/>
  <c r="AS157" i="7"/>
  <c r="AS135" i="7"/>
  <c r="AS109" i="7"/>
  <c r="AS85" i="7"/>
  <c r="AS155" i="7"/>
  <c r="AS125" i="7"/>
  <c r="AS74" i="7"/>
  <c r="AS75" i="7"/>
  <c r="AS118" i="7"/>
  <c r="AS80" i="7"/>
  <c r="AS94" i="7"/>
  <c r="AS11" i="7"/>
  <c r="AS50" i="7"/>
  <c r="AS41" i="7"/>
  <c r="AS33" i="7"/>
  <c r="AS25" i="7"/>
  <c r="AS17" i="7"/>
  <c r="AS124" i="7"/>
  <c r="AS145" i="7"/>
  <c r="AS59" i="7"/>
  <c r="AS156" i="7"/>
  <c r="AS126" i="7"/>
  <c r="AS63" i="7"/>
  <c r="AS116" i="7"/>
  <c r="AS38" i="7"/>
  <c r="AS68" i="7"/>
  <c r="AS23" i="7"/>
  <c r="L13" i="6"/>
  <c r="L20" i="6"/>
  <c r="M10" i="6"/>
  <c r="M42" i="6"/>
  <c r="Q8" i="6"/>
  <c r="Q49" i="6"/>
  <c r="AI49" i="6" s="1"/>
  <c r="AJ49" i="6" s="1"/>
  <c r="L41" i="6"/>
  <c r="L30" i="6"/>
  <c r="M51" i="6"/>
  <c r="L29" i="6"/>
  <c r="M52" i="6"/>
  <c r="M18" i="6"/>
  <c r="L31" i="6"/>
  <c r="L49" i="6"/>
  <c r="R31" i="7"/>
  <c r="R55" i="7"/>
  <c r="P11" i="7"/>
  <c r="T18" i="7"/>
  <c r="T4" i="7"/>
  <c r="Q26" i="7"/>
  <c r="M22" i="7"/>
  <c r="L52" i="7"/>
  <c r="L22" i="7"/>
  <c r="L14" i="7"/>
  <c r="M25" i="7"/>
  <c r="Q41" i="7"/>
  <c r="N4" i="7"/>
  <c r="M16" i="7"/>
  <c r="T31" i="7"/>
  <c r="Q13" i="7"/>
  <c r="N29" i="7"/>
  <c r="N33" i="7"/>
  <c r="T37" i="7"/>
  <c r="R83" i="7"/>
  <c r="R144" i="7"/>
  <c r="L83" i="7"/>
  <c r="M74" i="7"/>
  <c r="N92" i="7"/>
  <c r="P5" i="13"/>
  <c r="L15" i="6"/>
  <c r="L17" i="6"/>
  <c r="L19" i="6"/>
  <c r="M5" i="6"/>
  <c r="M12" i="6"/>
  <c r="M8" i="6"/>
  <c r="M33" i="6"/>
  <c r="M54" i="6"/>
  <c r="M15" i="6"/>
  <c r="M31" i="6"/>
  <c r="M45" i="6"/>
  <c r="Q51" i="6"/>
  <c r="AI51" i="6" s="1"/>
  <c r="AJ51" i="6" s="1"/>
  <c r="L32" i="6"/>
  <c r="Q54" i="6"/>
  <c r="M19" i="6"/>
  <c r="L39" i="6"/>
  <c r="Q48" i="6"/>
  <c r="M62" i="6"/>
  <c r="L24" i="6"/>
  <c r="L33" i="6"/>
  <c r="L42" i="6"/>
  <c r="M55" i="6"/>
  <c r="M63" i="6"/>
  <c r="Q9" i="6"/>
  <c r="AI9" i="6" s="1"/>
  <c r="AJ9" i="6" s="1"/>
  <c r="L27" i="6"/>
  <c r="L35" i="6"/>
  <c r="L44" i="6"/>
  <c r="L54" i="6"/>
  <c r="Q61" i="6"/>
  <c r="AI61" i="6" s="1"/>
  <c r="AJ61" i="6" s="1"/>
  <c r="R26" i="7"/>
  <c r="R8" i="7"/>
  <c r="R19" i="7"/>
  <c r="R27" i="7"/>
  <c r="M5" i="7"/>
  <c r="Q5" i="7"/>
  <c r="T12" i="7"/>
  <c r="N24" i="7"/>
  <c r="N8" i="7"/>
  <c r="N18" i="7"/>
  <c r="L35" i="7"/>
  <c r="Q53" i="7"/>
  <c r="T25" i="7"/>
  <c r="L7" i="7"/>
  <c r="P16" i="7"/>
  <c r="M27" i="7"/>
  <c r="T16" i="7"/>
  <c r="M23" i="7"/>
  <c r="L29" i="7"/>
  <c r="Q35" i="7"/>
  <c r="Q52" i="7"/>
  <c r="M7" i="7"/>
  <c r="N14" i="7"/>
  <c r="L20" i="7"/>
  <c r="T27" i="7"/>
  <c r="T52" i="7"/>
  <c r="M10" i="7"/>
  <c r="Q18" i="7"/>
  <c r="T24" i="7"/>
  <c r="P32" i="7"/>
  <c r="L42" i="7"/>
  <c r="L53" i="7"/>
  <c r="P41" i="7"/>
  <c r="N53" i="7"/>
  <c r="R14" i="7"/>
  <c r="R131" i="7"/>
  <c r="R152" i="7"/>
  <c r="R89" i="7"/>
  <c r="R150" i="7"/>
  <c r="Q66" i="7"/>
  <c r="P72" i="7"/>
  <c r="P111" i="7"/>
  <c r="M101" i="7"/>
  <c r="L75" i="7"/>
  <c r="Q140" i="7"/>
  <c r="S63" i="6"/>
  <c r="S59" i="6"/>
  <c r="S45" i="6"/>
  <c r="S37" i="6"/>
  <c r="S28" i="6"/>
  <c r="S19" i="6"/>
  <c r="S10" i="6"/>
  <c r="S62" i="6"/>
  <c r="S53" i="6"/>
  <c r="S44" i="6"/>
  <c r="S35" i="6"/>
  <c r="S27" i="6"/>
  <c r="S18" i="6"/>
  <c r="S9" i="6"/>
  <c r="S61" i="6"/>
  <c r="S52" i="6"/>
  <c r="S43" i="6"/>
  <c r="S34" i="6"/>
  <c r="S25" i="6"/>
  <c r="S17" i="6"/>
  <c r="S8" i="6"/>
  <c r="S60" i="6"/>
  <c r="S55" i="6"/>
  <c r="S51" i="6"/>
  <c r="S47" i="6"/>
  <c r="S42" i="6"/>
  <c r="S38" i="6"/>
  <c r="S33" i="6"/>
  <c r="S29" i="6"/>
  <c r="S24" i="6"/>
  <c r="S20" i="6"/>
  <c r="S15" i="6"/>
  <c r="S11" i="6"/>
  <c r="S7" i="6"/>
  <c r="S54" i="6"/>
  <c r="S50" i="6"/>
  <c r="S41" i="6"/>
  <c r="S32" i="6"/>
  <c r="S23" i="6"/>
  <c r="S14" i="6"/>
  <c r="S5" i="6"/>
  <c r="S58" i="6"/>
  <c r="S49" i="6"/>
  <c r="S40" i="6"/>
  <c r="S31" i="6"/>
  <c r="S22" i="6"/>
  <c r="S13" i="6"/>
  <c r="S4" i="6"/>
  <c r="S57" i="6"/>
  <c r="S48" i="6"/>
  <c r="S39" i="6"/>
  <c r="S30" i="6"/>
  <c r="S21" i="6"/>
  <c r="S12" i="6"/>
  <c r="L23" i="6"/>
  <c r="Q5" i="6"/>
  <c r="M24" i="6"/>
  <c r="L63" i="6"/>
  <c r="M40" i="6"/>
  <c r="L61" i="6"/>
  <c r="M9" i="6"/>
  <c r="Q45" i="6"/>
  <c r="Q11" i="6"/>
  <c r="AI11" i="6" s="1"/>
  <c r="AJ11" i="6" s="1"/>
  <c r="L38" i="6"/>
  <c r="M60" i="6"/>
  <c r="Q22" i="6"/>
  <c r="AI22" i="6" s="1"/>
  <c r="AJ22" i="6" s="1"/>
  <c r="L40" i="6"/>
  <c r="L59" i="6"/>
  <c r="R54" i="7"/>
  <c r="P13" i="7"/>
  <c r="Q8" i="7"/>
  <c r="T34" i="7"/>
  <c r="N12" i="7"/>
  <c r="M44" i="7"/>
  <c r="P36" i="7"/>
  <c r="M11" i="7"/>
  <c r="L31" i="7"/>
  <c r="Q20" i="7"/>
  <c r="T32" i="7"/>
  <c r="P46" i="7"/>
  <c r="L11" i="7"/>
  <c r="P25" i="7"/>
  <c r="N7" i="7"/>
  <c r="L21" i="7"/>
  <c r="N35" i="7"/>
  <c r="N49" i="7"/>
  <c r="N52" i="7"/>
  <c r="R29" i="7"/>
  <c r="R158" i="7"/>
  <c r="R114" i="7"/>
  <c r="Q71" i="7"/>
  <c r="M83" i="7"/>
  <c r="M100" i="7"/>
  <c r="P127" i="7"/>
  <c r="L85" i="13"/>
  <c r="L9" i="6"/>
  <c r="L21" i="6"/>
  <c r="L11" i="6"/>
  <c r="M14" i="6"/>
  <c r="M23" i="6"/>
  <c r="Q14" i="6"/>
  <c r="L28" i="6"/>
  <c r="L52" i="6"/>
  <c r="M7" i="6"/>
  <c r="Q27" i="6"/>
  <c r="Q44" i="6"/>
  <c r="M50" i="6"/>
  <c r="Q62" i="6"/>
  <c r="AI62" i="6" s="1"/>
  <c r="AJ62" i="6" s="1"/>
  <c r="Q42" i="6"/>
  <c r="AI42" i="6" s="1"/>
  <c r="AJ42" i="6" s="1"/>
  <c r="M13" i="6"/>
  <c r="Q31" i="6"/>
  <c r="AI31" i="6" s="1"/>
  <c r="AJ31" i="6" s="1"/>
  <c r="M47" i="6"/>
  <c r="L60" i="6"/>
  <c r="Q15" i="6"/>
  <c r="Q32" i="6"/>
  <c r="AI32" i="6" s="1"/>
  <c r="AJ32" i="6" s="1"/>
  <c r="Q41" i="6"/>
  <c r="AI41" i="6" s="1"/>
  <c r="AJ41" i="6" s="1"/>
  <c r="Q52" i="6"/>
  <c r="AI52" i="6" s="1"/>
  <c r="AJ52" i="6" s="1"/>
  <c r="Q60" i="6"/>
  <c r="AI60" i="6" s="1"/>
  <c r="AJ60" i="6" s="1"/>
  <c r="Q4" i="6"/>
  <c r="M25" i="6"/>
  <c r="M34" i="6"/>
  <c r="M43" i="6"/>
  <c r="L51" i="6"/>
  <c r="M61" i="6"/>
  <c r="R44" i="7"/>
  <c r="R30" i="7"/>
  <c r="R33" i="7"/>
  <c r="Q16" i="7"/>
  <c r="L15" i="7"/>
  <c r="Q11" i="7"/>
  <c r="M20" i="7"/>
  <c r="N37" i="7"/>
  <c r="T7" i="7"/>
  <c r="N15" i="7"/>
  <c r="L28" i="7"/>
  <c r="P47" i="7"/>
  <c r="T23" i="7"/>
  <c r="Q42" i="7"/>
  <c r="L6" i="7"/>
  <c r="M12" i="7"/>
  <c r="Q23" i="7"/>
  <c r="L16" i="7"/>
  <c r="M21" i="7"/>
  <c r="T26" i="7"/>
  <c r="L34" i="7"/>
  <c r="T44" i="7"/>
  <c r="L51" i="7"/>
  <c r="P5" i="7"/>
  <c r="T11" i="7"/>
  <c r="P18" i="7"/>
  <c r="N26" i="7"/>
  <c r="T35" i="7"/>
  <c r="T49" i="7"/>
  <c r="P8" i="7"/>
  <c r="T15" i="7"/>
  <c r="M24" i="7"/>
  <c r="M30" i="7"/>
  <c r="M38" i="7"/>
  <c r="T50" i="7"/>
  <c r="Q34" i="7"/>
  <c r="N47" i="7"/>
  <c r="P43" i="7"/>
  <c r="R9" i="7"/>
  <c r="R28" i="7"/>
  <c r="R148" i="7"/>
  <c r="R65" i="7"/>
  <c r="R91" i="7"/>
  <c r="M84" i="7"/>
  <c r="Q92" i="7"/>
  <c r="L126" i="7"/>
  <c r="N145" i="7"/>
  <c r="L4" i="14"/>
  <c r="L31" i="14"/>
  <c r="W32" i="7"/>
  <c r="X32" i="7" s="1"/>
  <c r="Z32" i="7" s="1"/>
  <c r="W143" i="7"/>
  <c r="X143" i="7" s="1"/>
  <c r="Z143" i="7" s="1"/>
  <c r="W118" i="7"/>
  <c r="X118" i="7" s="1"/>
  <c r="Z118" i="7" s="1"/>
  <c r="W147" i="7"/>
  <c r="AC147" i="7" s="1"/>
  <c r="W64" i="7"/>
  <c r="X64" i="7" s="1"/>
  <c r="Z64" i="7" s="1"/>
  <c r="W88" i="7"/>
  <c r="X88" i="7" s="1"/>
  <c r="Y88" i="7" s="1"/>
  <c r="W141" i="7"/>
  <c r="X141" i="7" s="1"/>
  <c r="W56" i="7"/>
  <c r="X56" i="7" s="1"/>
  <c r="W15" i="13"/>
  <c r="AC15" i="13" s="1"/>
  <c r="W63" i="13"/>
  <c r="X63" i="13" s="1"/>
  <c r="Z63" i="13" s="1"/>
  <c r="W80" i="13"/>
  <c r="AC80" i="13" s="1"/>
  <c r="W49" i="13"/>
  <c r="AC49" i="13" s="1"/>
  <c r="W74" i="13"/>
  <c r="X74" i="13" s="1"/>
  <c r="W54" i="14"/>
  <c r="AC54" i="14" s="1"/>
  <c r="W58" i="14"/>
  <c r="X58" i="14" s="1"/>
  <c r="Z58" i="14" s="1"/>
  <c r="W48" i="7"/>
  <c r="BK39" i="7"/>
  <c r="BK19" i="7"/>
  <c r="BK51" i="7"/>
  <c r="BK38" i="7"/>
  <c r="BK80" i="7"/>
  <c r="BK100" i="7"/>
  <c r="BK126" i="7"/>
  <c r="BK56" i="7"/>
  <c r="BK108" i="7"/>
  <c r="BK156" i="7"/>
  <c r="BK134" i="7"/>
  <c r="BK58" i="14"/>
  <c r="BK57" i="14"/>
  <c r="BK63" i="13"/>
  <c r="BK36" i="13"/>
  <c r="BK39" i="6"/>
  <c r="BK61" i="13"/>
  <c r="BK30" i="13"/>
  <c r="BK79" i="7"/>
  <c r="S9" i="14"/>
  <c r="M29" i="14"/>
  <c r="S30" i="14"/>
  <c r="W40" i="7"/>
  <c r="W124" i="7"/>
  <c r="W156" i="7"/>
  <c r="X156" i="7" s="1"/>
  <c r="Z156" i="7" s="1"/>
  <c r="W158" i="7"/>
  <c r="X158" i="7" s="1"/>
  <c r="Z158" i="7" s="1"/>
  <c r="W74" i="7"/>
  <c r="X74" i="7" s="1"/>
  <c r="Y74" i="7" s="1"/>
  <c r="W134" i="7"/>
  <c r="AC134" i="7" s="1"/>
  <c r="W150" i="7"/>
  <c r="X150" i="7" s="1"/>
  <c r="W107" i="7"/>
  <c r="X107" i="7" s="1"/>
  <c r="Z107" i="7" s="1"/>
  <c r="W22" i="13"/>
  <c r="AC22" i="13" s="1"/>
  <c r="W30" i="13"/>
  <c r="W62" i="13"/>
  <c r="X62" i="13" s="1"/>
  <c r="Y62" i="13" s="1"/>
  <c r="W91" i="13"/>
  <c r="AC91" i="13" s="1"/>
  <c r="W93" i="13"/>
  <c r="AC93" i="13" s="1"/>
  <c r="W36" i="13"/>
  <c r="AC36" i="13" s="1"/>
  <c r="W51" i="14"/>
  <c r="AC51" i="14" s="1"/>
  <c r="W9" i="7"/>
  <c r="X9" i="7" s="1"/>
  <c r="Y9" i="7" s="1"/>
  <c r="W4" i="7"/>
  <c r="BK29" i="7"/>
  <c r="BK9" i="7"/>
  <c r="BK92" i="7"/>
  <c r="BK146" i="7"/>
  <c r="BK144" i="7"/>
  <c r="BK109" i="7"/>
  <c r="BK6" i="14"/>
  <c r="BK54" i="14"/>
  <c r="BK31" i="13"/>
  <c r="BK4" i="13"/>
  <c r="BK68" i="13"/>
  <c r="BK29" i="13"/>
  <c r="BK93" i="13"/>
  <c r="BK62" i="13"/>
  <c r="BK90" i="13"/>
  <c r="W5" i="14"/>
  <c r="AC5" i="14" s="1"/>
  <c r="W30" i="7"/>
  <c r="AC30" i="7" s="1"/>
  <c r="W58" i="7"/>
  <c r="AC58" i="7" s="1"/>
  <c r="W94" i="7"/>
  <c r="X94" i="7" s="1"/>
  <c r="W80" i="7"/>
  <c r="AC80" i="7" s="1"/>
  <c r="W65" i="7"/>
  <c r="AC65" i="7" s="1"/>
  <c r="W81" i="7"/>
  <c r="AC81" i="7" s="1"/>
  <c r="W125" i="7"/>
  <c r="X125" i="7" s="1"/>
  <c r="Y125" i="7" s="1"/>
  <c r="W68" i="7"/>
  <c r="X68" i="7" s="1"/>
  <c r="Y68" i="7" s="1"/>
  <c r="W27" i="13"/>
  <c r="AC27" i="13" s="1"/>
  <c r="W8" i="13"/>
  <c r="AC8" i="13" s="1"/>
  <c r="W34" i="13"/>
  <c r="X34" i="13" s="1"/>
  <c r="W76" i="13"/>
  <c r="X76" i="13" s="1"/>
  <c r="Y76" i="13" s="1"/>
  <c r="W48" i="13"/>
  <c r="AC48" i="13" s="1"/>
  <c r="W11" i="14"/>
  <c r="W57" i="14"/>
  <c r="X57" i="14" s="1"/>
  <c r="Y57" i="14" s="1"/>
  <c r="W50" i="7"/>
  <c r="BK44" i="7"/>
  <c r="BK24" i="7"/>
  <c r="BK4" i="7"/>
  <c r="BK43" i="7"/>
  <c r="BK75" i="7"/>
  <c r="BK151" i="7"/>
  <c r="BK91" i="7"/>
  <c r="BK74" i="7"/>
  <c r="BK145" i="7"/>
  <c r="BK124" i="7"/>
  <c r="BK106" i="7"/>
  <c r="BK8" i="14"/>
  <c r="BK56" i="14"/>
  <c r="BK47" i="13"/>
  <c r="BK20" i="13"/>
  <c r="BK84" i="13"/>
  <c r="BK45" i="13"/>
  <c r="BK14" i="13"/>
  <c r="BK8" i="6"/>
  <c r="W12" i="6"/>
  <c r="AC12" i="6" s="1"/>
  <c r="W17" i="6"/>
  <c r="AC17" i="6" s="1"/>
  <c r="BK21" i="6"/>
  <c r="BK31" i="6"/>
  <c r="BK33" i="6"/>
  <c r="W35" i="6"/>
  <c r="X35" i="6" s="1"/>
  <c r="BK38" i="6"/>
  <c r="BK42" i="6"/>
  <c r="W44" i="6"/>
  <c r="AC44" i="6" s="1"/>
  <c r="W57" i="6"/>
  <c r="X57" i="6" s="1"/>
  <c r="BK59" i="6"/>
  <c r="BK61" i="6"/>
  <c r="W20" i="6"/>
  <c r="X20" i="6" s="1"/>
  <c r="Y20" i="6" s="1"/>
  <c r="W8" i="6"/>
  <c r="X8" i="6" s="1"/>
  <c r="Y8" i="6" s="1"/>
  <c r="W7" i="14"/>
  <c r="W6" i="14"/>
  <c r="W49" i="7"/>
  <c r="W16" i="7"/>
  <c r="W12" i="7"/>
  <c r="X12" i="7" s="1"/>
  <c r="W41" i="7"/>
  <c r="X41" i="7" s="1"/>
  <c r="Y41" i="7" s="1"/>
  <c r="W75" i="7"/>
  <c r="W96" i="7"/>
  <c r="W87" i="7"/>
  <c r="W122" i="7"/>
  <c r="W105" i="7"/>
  <c r="W106" i="7"/>
  <c r="W78" i="7"/>
  <c r="W114" i="7"/>
  <c r="W144" i="7"/>
  <c r="W104" i="7"/>
  <c r="W100" i="7"/>
  <c r="W155" i="7"/>
  <c r="W133" i="7"/>
  <c r="W121" i="7"/>
  <c r="W139" i="7"/>
  <c r="W140" i="7"/>
  <c r="W76" i="7"/>
  <c r="W119" i="7"/>
  <c r="W145" i="7"/>
  <c r="W69" i="7"/>
  <c r="W102" i="7"/>
  <c r="W67" i="7"/>
  <c r="W117" i="7"/>
  <c r="W157" i="7"/>
  <c r="W148" i="7"/>
  <c r="W31" i="13"/>
  <c r="W12" i="13"/>
  <c r="W7" i="13"/>
  <c r="W21" i="13"/>
  <c r="W11" i="13"/>
  <c r="W6" i="13"/>
  <c r="W9" i="13"/>
  <c r="W88" i="13"/>
  <c r="W70" i="13"/>
  <c r="W38" i="13"/>
  <c r="W45" i="13"/>
  <c r="W72" i="13"/>
  <c r="W57" i="13"/>
  <c r="W35" i="13"/>
  <c r="W47" i="13"/>
  <c r="W75" i="13"/>
  <c r="W54" i="13"/>
  <c r="W69" i="13"/>
  <c r="W58" i="13"/>
  <c r="W90" i="13"/>
  <c r="W39" i="13"/>
  <c r="W40" i="13"/>
  <c r="W12" i="14"/>
  <c r="W27" i="14"/>
  <c r="W34" i="14"/>
  <c r="W53" i="14"/>
  <c r="W56" i="14"/>
  <c r="W52" i="7"/>
  <c r="W47" i="7"/>
  <c r="W27" i="7"/>
  <c r="W39" i="7"/>
  <c r="W26" i="7"/>
  <c r="X26" i="7" s="1"/>
  <c r="Z26" i="7" s="1"/>
  <c r="W5" i="7"/>
  <c r="W51" i="7"/>
  <c r="W43" i="7"/>
  <c r="AC43" i="7" s="1"/>
  <c r="W53" i="7"/>
  <c r="AC53" i="7" s="1"/>
  <c r="BK28" i="7"/>
  <c r="BK23" i="7"/>
  <c r="BK18" i="7"/>
  <c r="BK13" i="7"/>
  <c r="BK8" i="7"/>
  <c r="BK55" i="7"/>
  <c r="BK50" i="7"/>
  <c r="BK42" i="7"/>
  <c r="BK37" i="7"/>
  <c r="BK32" i="7"/>
  <c r="BK27" i="7"/>
  <c r="BK22" i="7"/>
  <c r="BK17" i="7"/>
  <c r="BK59" i="7"/>
  <c r="BK64" i="7"/>
  <c r="BK139" i="7"/>
  <c r="BK148" i="7"/>
  <c r="BK89" i="7"/>
  <c r="BK133" i="7"/>
  <c r="BK76" i="7"/>
  <c r="BK135" i="7"/>
  <c r="BK78" i="7"/>
  <c r="BK130" i="7"/>
  <c r="BK77" i="7"/>
  <c r="BK113" i="7"/>
  <c r="BK150" i="7"/>
  <c r="BK58" i="7"/>
  <c r="BK110" i="7"/>
  <c r="BK57" i="7"/>
  <c r="BK128" i="7"/>
  <c r="BK129" i="7"/>
  <c r="BK90" i="7"/>
  <c r="BK155" i="7"/>
  <c r="BK66" i="7"/>
  <c r="BK118" i="7"/>
  <c r="BK65" i="7"/>
  <c r="BK7" i="14"/>
  <c r="BK11" i="14"/>
  <c r="BK31" i="14"/>
  <c r="BK28" i="14"/>
  <c r="BK32" i="14"/>
  <c r="BK50" i="14"/>
  <c r="BK34" i="14"/>
  <c r="BK19" i="13"/>
  <c r="BK35" i="13"/>
  <c r="BK51" i="13"/>
  <c r="BK67" i="13"/>
  <c r="BK83" i="13"/>
  <c r="BK8" i="13"/>
  <c r="BK24" i="13"/>
  <c r="BK40" i="13"/>
  <c r="BK56" i="13"/>
  <c r="BK72" i="13"/>
  <c r="BK88" i="13"/>
  <c r="BK57" i="6"/>
  <c r="BK17" i="13"/>
  <c r="BK33" i="13"/>
  <c r="BK49" i="13"/>
  <c r="BK65" i="13"/>
  <c r="BK81" i="13"/>
  <c r="BK9" i="6"/>
  <c r="BK18" i="13"/>
  <c r="BK34" i="13"/>
  <c r="BK50" i="13"/>
  <c r="BK66" i="13"/>
  <c r="BK82" i="13"/>
  <c r="W9" i="6"/>
  <c r="X9" i="6" s="1"/>
  <c r="Z9" i="6" s="1"/>
  <c r="BK13" i="6"/>
  <c r="BK18" i="6"/>
  <c r="BK22" i="6"/>
  <c r="BK25" i="6"/>
  <c r="W28" i="6"/>
  <c r="AC28" i="6" s="1"/>
  <c r="W47" i="6"/>
  <c r="X47" i="6" s="1"/>
  <c r="Y47" i="6" s="1"/>
  <c r="BK49" i="6"/>
  <c r="BK51" i="6"/>
  <c r="BK53" i="6"/>
  <c r="BK55" i="6"/>
  <c r="W63" i="6"/>
  <c r="X63" i="6" s="1"/>
  <c r="W21" i="6"/>
  <c r="X21" i="6" s="1"/>
  <c r="Y21" i="6" s="1"/>
  <c r="W53" i="6"/>
  <c r="X53" i="6" s="1"/>
  <c r="Z53" i="6" s="1"/>
  <c r="W8" i="14"/>
  <c r="AC8" i="14" s="1"/>
  <c r="W4" i="14"/>
  <c r="X4" i="14" s="1"/>
  <c r="Y4" i="14" s="1"/>
  <c r="W35" i="7"/>
  <c r="W7" i="7"/>
  <c r="AC7" i="7" s="1"/>
  <c r="W24" i="7"/>
  <c r="W21" i="7"/>
  <c r="X21" i="7" s="1"/>
  <c r="Z21" i="7" s="1"/>
  <c r="W71" i="7"/>
  <c r="W95" i="7"/>
  <c r="W103" i="7"/>
  <c r="W110" i="7"/>
  <c r="W135" i="7"/>
  <c r="W131" i="7"/>
  <c r="W82" i="7"/>
  <c r="W142" i="7"/>
  <c r="W73" i="7"/>
  <c r="W159" i="7"/>
  <c r="W99" i="7"/>
  <c r="W151" i="7"/>
  <c r="W126" i="7"/>
  <c r="W146" i="7"/>
  <c r="W154" i="7"/>
  <c r="W112" i="7"/>
  <c r="W59" i="7"/>
  <c r="W153" i="7"/>
  <c r="W86" i="7"/>
  <c r="W90" i="7"/>
  <c r="W130" i="7"/>
  <c r="W123" i="7"/>
  <c r="W62" i="7"/>
  <c r="W77" i="7"/>
  <c r="W98" i="7"/>
  <c r="W32" i="13"/>
  <c r="W26" i="13"/>
  <c r="W13" i="13"/>
  <c r="W29" i="13"/>
  <c r="W14" i="13"/>
  <c r="W10" i="13"/>
  <c r="W23" i="13"/>
  <c r="W16" i="13"/>
  <c r="W78" i="13"/>
  <c r="W81" i="13"/>
  <c r="W79" i="13"/>
  <c r="W53" i="13"/>
  <c r="W55" i="13"/>
  <c r="W61" i="13"/>
  <c r="W41" i="13"/>
  <c r="W68" i="13"/>
  <c r="W64" i="13"/>
  <c r="W92" i="13"/>
  <c r="W37" i="13"/>
  <c r="W46" i="13"/>
  <c r="W66" i="13"/>
  <c r="W82" i="13"/>
  <c r="W56" i="13"/>
  <c r="W28" i="14"/>
  <c r="W29" i="14"/>
  <c r="W50" i="14"/>
  <c r="W31" i="14"/>
  <c r="W38" i="7"/>
  <c r="X38" i="7" s="1"/>
  <c r="Y38" i="7" s="1"/>
  <c r="W20" i="7"/>
  <c r="W28" i="7"/>
  <c r="W42" i="7"/>
  <c r="X42" i="7" s="1"/>
  <c r="W37" i="7"/>
  <c r="W22" i="7"/>
  <c r="W11" i="7"/>
  <c r="W34" i="7"/>
  <c r="W54" i="7"/>
  <c r="BK12" i="7"/>
  <c r="BK7" i="7"/>
  <c r="BK54" i="7"/>
  <c r="BK49" i="7"/>
  <c r="BK41" i="7"/>
  <c r="BK36" i="7"/>
  <c r="BK31" i="7"/>
  <c r="BK26" i="7"/>
  <c r="BK21" i="7"/>
  <c r="BK16" i="7"/>
  <c r="BK11" i="7"/>
  <c r="BK6" i="7"/>
  <c r="BK136" i="7"/>
  <c r="BK137" i="7"/>
  <c r="BK107" i="7"/>
  <c r="BK132" i="7"/>
  <c r="BK71" i="7"/>
  <c r="BK117" i="7"/>
  <c r="BK60" i="7"/>
  <c r="BK119" i="7"/>
  <c r="BK62" i="7"/>
  <c r="BK114" i="7"/>
  <c r="BK61" i="7"/>
  <c r="BK112" i="7"/>
  <c r="BK88" i="7"/>
  <c r="BK131" i="7"/>
  <c r="BK158" i="7"/>
  <c r="BK141" i="7"/>
  <c r="BK86" i="7"/>
  <c r="BK143" i="7"/>
  <c r="BK84" i="7"/>
  <c r="BK138" i="7"/>
  <c r="BK83" i="7"/>
  <c r="BK153" i="7"/>
  <c r="BK121" i="7"/>
  <c r="BK102" i="7"/>
  <c r="BK4" i="14"/>
  <c r="BK10" i="14"/>
  <c r="BK30" i="14"/>
  <c r="BK52" i="14"/>
  <c r="BK29" i="14"/>
  <c r="BK27" i="14"/>
  <c r="BK7" i="13"/>
  <c r="BK23" i="13"/>
  <c r="BK39" i="13"/>
  <c r="BK55" i="13"/>
  <c r="BK71" i="13"/>
  <c r="BK87" i="13"/>
  <c r="BK12" i="13"/>
  <c r="BK28" i="13"/>
  <c r="BK44" i="13"/>
  <c r="BK60" i="13"/>
  <c r="BK76" i="13"/>
  <c r="BK92" i="13"/>
  <c r="BK5" i="13"/>
  <c r="BK21" i="13"/>
  <c r="BK37" i="13"/>
  <c r="BK53" i="13"/>
  <c r="BK69" i="13"/>
  <c r="BK85" i="13"/>
  <c r="BK6" i="13"/>
  <c r="BK22" i="13"/>
  <c r="BK38" i="13"/>
  <c r="BK54" i="13"/>
  <c r="BK70" i="13"/>
  <c r="BK86" i="13"/>
  <c r="BK5" i="6"/>
  <c r="W10" i="6"/>
  <c r="AC10" i="6" s="1"/>
  <c r="BK14" i="6"/>
  <c r="BK19" i="6"/>
  <c r="BK23" i="6"/>
  <c r="BK30" i="6"/>
  <c r="W32" i="6"/>
  <c r="AC32" i="6" s="1"/>
  <c r="BK34" i="6"/>
  <c r="BK37" i="6"/>
  <c r="BK41" i="6"/>
  <c r="BK43" i="6"/>
  <c r="BK58" i="6"/>
  <c r="BK60" i="6"/>
  <c r="W62" i="6"/>
  <c r="AC62" i="6" s="1"/>
  <c r="BK40" i="6"/>
  <c r="W11" i="6"/>
  <c r="AC11" i="6" s="1"/>
  <c r="W48" i="6"/>
  <c r="AC48" i="6" s="1"/>
  <c r="W10" i="14"/>
  <c r="X10" i="14" s="1"/>
  <c r="W9" i="14"/>
  <c r="W55" i="7"/>
  <c r="X55" i="7" s="1"/>
  <c r="W13" i="7"/>
  <c r="AC13" i="7" s="1"/>
  <c r="W129" i="7"/>
  <c r="X129" i="7" s="1"/>
  <c r="Y129" i="7" s="1"/>
  <c r="W60" i="7"/>
  <c r="AC60" i="7" s="1"/>
  <c r="W109" i="7"/>
  <c r="X109" i="7" s="1"/>
  <c r="W79" i="7"/>
  <c r="W63" i="7"/>
  <c r="W120" i="7"/>
  <c r="AC120" i="7" s="1"/>
  <c r="W113" i="7"/>
  <c r="X113" i="7" s="1"/>
  <c r="W70" i="7"/>
  <c r="W72" i="7"/>
  <c r="AC72" i="7" s="1"/>
  <c r="W57" i="7"/>
  <c r="X57" i="7" s="1"/>
  <c r="Y57" i="7" s="1"/>
  <c r="W137" i="7"/>
  <c r="X137" i="7" s="1"/>
  <c r="Y137" i="7" s="1"/>
  <c r="W66" i="7"/>
  <c r="W116" i="7"/>
  <c r="W91" i="7"/>
  <c r="AC91" i="7" s="1"/>
  <c r="W93" i="7"/>
  <c r="X93" i="7" s="1"/>
  <c r="W132" i="7"/>
  <c r="X132" i="7" s="1"/>
  <c r="W92" i="7"/>
  <c r="W138" i="7"/>
  <c r="W101" i="7"/>
  <c r="X101" i="7" s="1"/>
  <c r="Y101" i="7" s="1"/>
  <c r="W85" i="7"/>
  <c r="W152" i="7"/>
  <c r="AC152" i="7" s="1"/>
  <c r="W127" i="7"/>
  <c r="W111" i="7"/>
  <c r="W61" i="7"/>
  <c r="AC61" i="7" s="1"/>
  <c r="W4" i="13"/>
  <c r="AC4" i="13" s="1"/>
  <c r="W33" i="13"/>
  <c r="AC33" i="13" s="1"/>
  <c r="W20" i="13"/>
  <c r="X20" i="13" s="1"/>
  <c r="W5" i="13"/>
  <c r="W24" i="13"/>
  <c r="W25" i="13"/>
  <c r="X25" i="13" s="1"/>
  <c r="Z25" i="13" s="1"/>
  <c r="W18" i="13"/>
  <c r="AC18" i="13" s="1"/>
  <c r="W19" i="13"/>
  <c r="W77" i="13"/>
  <c r="X77" i="13" s="1"/>
  <c r="Z77" i="13" s="1"/>
  <c r="W44" i="13"/>
  <c r="W67" i="13"/>
  <c r="W65" i="13"/>
  <c r="X65" i="13" s="1"/>
  <c r="W59" i="13"/>
  <c r="X59" i="13" s="1"/>
  <c r="W60" i="13"/>
  <c r="W83" i="13"/>
  <c r="X83" i="13" s="1"/>
  <c r="W50" i="13"/>
  <c r="W87" i="13"/>
  <c r="W86" i="13"/>
  <c r="AC86" i="13" s="1"/>
  <c r="W85" i="13"/>
  <c r="X85" i="13" s="1"/>
  <c r="W42" i="13"/>
  <c r="W89" i="13"/>
  <c r="W52" i="13"/>
  <c r="X52" i="13" s="1"/>
  <c r="W73" i="13"/>
  <c r="W30" i="14"/>
  <c r="AC30" i="14" s="1"/>
  <c r="W35" i="14"/>
  <c r="X35" i="14" s="1"/>
  <c r="W55" i="14"/>
  <c r="W32" i="14"/>
  <c r="W33" i="14"/>
  <c r="AC33" i="14" s="1"/>
  <c r="W23" i="7"/>
  <c r="X23" i="7" s="1"/>
  <c r="Y23" i="7" s="1"/>
  <c r="W10" i="7"/>
  <c r="W33" i="7"/>
  <c r="W44" i="7"/>
  <c r="W6" i="7"/>
  <c r="X6" i="7" s="1"/>
  <c r="Y6" i="7" s="1"/>
  <c r="W31" i="7"/>
  <c r="AC31" i="7" s="1"/>
  <c r="W8" i="7"/>
  <c r="W14" i="7"/>
  <c r="X14" i="7" s="1"/>
  <c r="Z14" i="7" s="1"/>
  <c r="W18" i="7"/>
  <c r="W19" i="7"/>
  <c r="W17" i="7"/>
  <c r="W15" i="7"/>
  <c r="AC15" i="7" s="1"/>
  <c r="BK53" i="7"/>
  <c r="BK48" i="7"/>
  <c r="BK40" i="7"/>
  <c r="BK35" i="7"/>
  <c r="BK30" i="7"/>
  <c r="BK25" i="7"/>
  <c r="BK20" i="7"/>
  <c r="BK15" i="7"/>
  <c r="BK10" i="7"/>
  <c r="BK5" i="7"/>
  <c r="BK52" i="7"/>
  <c r="BK47" i="7"/>
  <c r="BK104" i="7"/>
  <c r="BK105" i="7"/>
  <c r="BK82" i="7"/>
  <c r="BK159" i="7"/>
  <c r="BK116" i="7"/>
  <c r="BK101" i="7"/>
  <c r="BK152" i="7"/>
  <c r="BK103" i="7"/>
  <c r="BK98" i="7"/>
  <c r="BK85" i="7"/>
  <c r="BK99" i="7"/>
  <c r="BK142" i="7"/>
  <c r="BK87" i="7"/>
  <c r="BK157" i="7"/>
  <c r="BK67" i="7"/>
  <c r="BK72" i="7"/>
  <c r="BK147" i="7"/>
  <c r="BK140" i="7"/>
  <c r="BK125" i="7"/>
  <c r="BK68" i="7"/>
  <c r="BK127" i="7"/>
  <c r="BK70" i="7"/>
  <c r="BK122" i="7"/>
  <c r="BK69" i="7"/>
  <c r="BK120" i="7"/>
  <c r="BK96" i="7"/>
  <c r="BK123" i="7"/>
  <c r="BK95" i="7"/>
  <c r="BK9" i="14"/>
  <c r="BK5" i="14"/>
  <c r="BK12" i="14"/>
  <c r="BK55" i="14"/>
  <c r="BK53" i="14"/>
  <c r="BK51" i="14"/>
  <c r="BK35" i="14"/>
  <c r="BK11" i="13"/>
  <c r="BK27" i="13"/>
  <c r="BK43" i="13"/>
  <c r="BK59" i="13"/>
  <c r="BK75" i="13"/>
  <c r="BK91" i="13"/>
  <c r="BK16" i="13"/>
  <c r="BK32" i="13"/>
  <c r="BK48" i="13"/>
  <c r="BK64" i="13"/>
  <c r="BK80" i="13"/>
  <c r="BK12" i="6"/>
  <c r="BK9" i="13"/>
  <c r="BK25" i="13"/>
  <c r="BK41" i="13"/>
  <c r="BK57" i="13"/>
  <c r="BK73" i="13"/>
  <c r="BK89" i="13"/>
  <c r="BK10" i="13"/>
  <c r="BK26" i="13"/>
  <c r="BK42" i="13"/>
  <c r="BK58" i="13"/>
  <c r="BK74" i="13"/>
  <c r="BK7" i="6"/>
  <c r="BK11" i="6"/>
  <c r="BK15" i="6"/>
  <c r="BK20" i="6"/>
  <c r="BK4" i="6"/>
  <c r="BK24" i="6"/>
  <c r="W27" i="6"/>
  <c r="AC27" i="6" s="1"/>
  <c r="W29" i="6"/>
  <c r="AC29" i="6" s="1"/>
  <c r="W45" i="6"/>
  <c r="X45" i="6" s="1"/>
  <c r="Z45" i="6" s="1"/>
  <c r="BK48" i="6"/>
  <c r="W50" i="6"/>
  <c r="X50" i="6" s="1"/>
  <c r="W52" i="6"/>
  <c r="AC52" i="6" s="1"/>
  <c r="BK54" i="6"/>
  <c r="R4" i="14"/>
  <c r="P78" i="13"/>
  <c r="L88" i="13"/>
  <c r="L82" i="13"/>
  <c r="L43" i="13"/>
  <c r="L8" i="13"/>
  <c r="P21" i="13"/>
  <c r="N158" i="7"/>
  <c r="P151" i="7"/>
  <c r="N144" i="7"/>
  <c r="L137" i="7"/>
  <c r="N130" i="7"/>
  <c r="P142" i="7"/>
  <c r="M158" i="7"/>
  <c r="N143" i="7"/>
  <c r="N133" i="7"/>
  <c r="N125" i="7"/>
  <c r="P119" i="7"/>
  <c r="P114" i="7"/>
  <c r="N109" i="7"/>
  <c r="T103" i="7"/>
  <c r="Q154" i="7"/>
  <c r="M137" i="7"/>
  <c r="N100" i="7"/>
  <c r="T96" i="7"/>
  <c r="L91" i="7"/>
  <c r="N86" i="7"/>
  <c r="Q133" i="7"/>
  <c r="N121" i="7"/>
  <c r="N110" i="7"/>
  <c r="Q152" i="7"/>
  <c r="M139" i="7"/>
  <c r="Q125" i="7"/>
  <c r="L120" i="7"/>
  <c r="L115" i="7"/>
  <c r="L142" i="7"/>
  <c r="M98" i="7"/>
  <c r="N95" i="7"/>
  <c r="N85" i="7"/>
  <c r="T79" i="7"/>
  <c r="T74" i="7"/>
  <c r="L69" i="7"/>
  <c r="T63" i="7"/>
  <c r="P58" i="7"/>
  <c r="L92" i="7"/>
  <c r="M81" i="7"/>
  <c r="Q70" i="7"/>
  <c r="M56" i="7"/>
  <c r="P57" i="7"/>
  <c r="Q132" i="7"/>
  <c r="P120" i="7"/>
  <c r="Q109" i="7"/>
  <c r="Q100" i="7"/>
  <c r="L76" i="13"/>
  <c r="P47" i="13"/>
  <c r="P61" i="13"/>
  <c r="L56" i="13"/>
  <c r="L18" i="13"/>
  <c r="L33" i="13"/>
  <c r="P155" i="7"/>
  <c r="T148" i="7"/>
  <c r="L141" i="7"/>
  <c r="T134" i="7"/>
  <c r="Q157" i="7"/>
  <c r="P138" i="7"/>
  <c r="M154" i="7"/>
  <c r="N139" i="7"/>
  <c r="N129" i="7"/>
  <c r="L123" i="7"/>
  <c r="T117" i="7"/>
  <c r="P112" i="7"/>
  <c r="N107" i="7"/>
  <c r="P132" i="7"/>
  <c r="N98" i="7"/>
  <c r="T94" i="7"/>
  <c r="L89" i="7"/>
  <c r="L158" i="7"/>
  <c r="L144" i="7"/>
  <c r="N127" i="7"/>
  <c r="M117" i="7"/>
  <c r="N106" i="7"/>
  <c r="T131" i="7"/>
  <c r="T123" i="7"/>
  <c r="M118" i="7"/>
  <c r="L113" i="7"/>
  <c r="L105" i="7"/>
  <c r="N91" i="7"/>
  <c r="N83" i="7"/>
  <c r="T77" i="7"/>
  <c r="T72" i="7"/>
  <c r="L67" i="7"/>
  <c r="T61" i="7"/>
  <c r="T56" i="7"/>
  <c r="M89" i="7"/>
  <c r="Q74" i="7"/>
  <c r="Q65" i="7"/>
  <c r="L65" i="7"/>
  <c r="T106" i="7"/>
  <c r="Q127" i="7"/>
  <c r="Q116" i="7"/>
  <c r="Q105" i="7"/>
  <c r="Q98" i="7"/>
  <c r="P54" i="13"/>
  <c r="P51" i="13"/>
  <c r="P16" i="13"/>
  <c r="P26" i="13"/>
  <c r="L155" i="7"/>
  <c r="N148" i="7"/>
  <c r="L133" i="7"/>
  <c r="Q155" i="7"/>
  <c r="Q137" i="7"/>
  <c r="M152" i="7"/>
  <c r="M138" i="7"/>
  <c r="T122" i="7"/>
  <c r="T111" i="7"/>
  <c r="L130" i="7"/>
  <c r="T88" i="7"/>
  <c r="T143" i="7"/>
  <c r="M115" i="7"/>
  <c r="M123" i="7"/>
  <c r="M112" i="7"/>
  <c r="P82" i="7"/>
  <c r="P71" i="7"/>
  <c r="N61" i="7"/>
  <c r="L88" i="7"/>
  <c r="Q63" i="7"/>
  <c r="M104" i="7"/>
  <c r="P115" i="7"/>
  <c r="Q96" i="7"/>
  <c r="Q81" i="7"/>
  <c r="L57" i="7"/>
  <c r="N104" i="7"/>
  <c r="Q89" i="7"/>
  <c r="T82" i="7"/>
  <c r="L77" i="7"/>
  <c r="T71" i="7"/>
  <c r="P61" i="7"/>
  <c r="M66" i="7"/>
  <c r="M75" i="7"/>
  <c r="Q64" i="7"/>
  <c r="R128" i="7"/>
  <c r="R157" i="7"/>
  <c r="R78" i="7"/>
  <c r="R103" i="7"/>
  <c r="R142" i="7"/>
  <c r="R58" i="7"/>
  <c r="R66" i="7"/>
  <c r="R64" i="7"/>
  <c r="R87" i="7"/>
  <c r="R101" i="7"/>
  <c r="R118" i="7"/>
  <c r="R129" i="7"/>
  <c r="R67" i="7"/>
  <c r="R18" i="7"/>
  <c r="R12" i="7"/>
  <c r="R5" i="7"/>
  <c r="M55" i="7"/>
  <c r="L50" i="7"/>
  <c r="Q40" i="7"/>
  <c r="P35" i="7"/>
  <c r="Q51" i="7"/>
  <c r="P44" i="7"/>
  <c r="P38" i="7"/>
  <c r="L32" i="7"/>
  <c r="M7" i="14"/>
  <c r="O12" i="14"/>
  <c r="P93" i="13"/>
  <c r="L36" i="13"/>
  <c r="L31" i="13"/>
  <c r="N152" i="7"/>
  <c r="L145" i="7"/>
  <c r="T130" i="7"/>
  <c r="P150" i="7"/>
  <c r="M134" i="7"/>
  <c r="T120" i="7"/>
  <c r="T109" i="7"/>
  <c r="M155" i="7"/>
  <c r="L101" i="7"/>
  <c r="T86" i="7"/>
  <c r="T135" i="7"/>
  <c r="M111" i="7"/>
  <c r="Q142" i="7"/>
  <c r="M121" i="7"/>
  <c r="M96" i="7"/>
  <c r="P80" i="7"/>
  <c r="P69" i="7"/>
  <c r="N59" i="7"/>
  <c r="M85" i="7"/>
  <c r="Q56" i="7"/>
  <c r="M133" i="7"/>
  <c r="Q111" i="7"/>
  <c r="T91" i="7"/>
  <c r="M59" i="7"/>
  <c r="L107" i="7"/>
  <c r="T137" i="7"/>
  <c r="P100" i="7"/>
  <c r="P96" i="7"/>
  <c r="Q85" i="7"/>
  <c r="T80" i="7"/>
  <c r="N75" i="7"/>
  <c r="T69" i="7"/>
  <c r="M76" i="7"/>
  <c r="Q58" i="7"/>
  <c r="R85" i="7"/>
  <c r="R130" i="7"/>
  <c r="R138" i="7"/>
  <c r="R137" i="7"/>
  <c r="R113" i="7"/>
  <c r="R100" i="7"/>
  <c r="R74" i="7"/>
  <c r="R61" i="7"/>
  <c r="R92" i="7"/>
  <c r="R139" i="7"/>
  <c r="R94" i="7"/>
  <c r="R121" i="7"/>
  <c r="R68" i="7"/>
  <c r="R60" i="7"/>
  <c r="R51" i="7"/>
  <c r="R40" i="7"/>
  <c r="R46" i="7"/>
  <c r="R11" i="7"/>
  <c r="Q54" i="7"/>
  <c r="P49" i="7"/>
  <c r="L40" i="7"/>
  <c r="N34" i="7"/>
  <c r="N50" i="7"/>
  <c r="T43" i="7"/>
  <c r="Q37" i="7"/>
  <c r="L39" i="13"/>
  <c r="L15" i="13"/>
  <c r="N117" i="7"/>
  <c r="Q148" i="7"/>
  <c r="N94" i="7"/>
  <c r="M126" i="7"/>
  <c r="L128" i="7"/>
  <c r="T104" i="7"/>
  <c r="N77" i="7"/>
  <c r="L96" i="7"/>
  <c r="N64" i="7"/>
  <c r="Q104" i="7"/>
  <c r="L90" i="7"/>
  <c r="Q103" i="7"/>
  <c r="P98" i="7"/>
  <c r="L85" i="7"/>
  <c r="P74" i="7"/>
  <c r="L63" i="13"/>
  <c r="P159" i="7"/>
  <c r="N138" i="7"/>
  <c r="P144" i="7"/>
  <c r="N159" i="7"/>
  <c r="T125" i="7"/>
  <c r="P104" i="7"/>
  <c r="Q156" i="7"/>
  <c r="Q115" i="7"/>
  <c r="M86" i="7"/>
  <c r="P64" i="7"/>
  <c r="M72" i="7"/>
  <c r="Q121" i="7"/>
  <c r="T58" i="7"/>
  <c r="P105" i="7"/>
  <c r="Q91" i="7"/>
  <c r="P77" i="7"/>
  <c r="P63" i="7"/>
  <c r="Q60" i="7"/>
  <c r="R123" i="7"/>
  <c r="R95" i="7"/>
  <c r="R98" i="7"/>
  <c r="R135" i="7"/>
  <c r="R71" i="7"/>
  <c r="R56" i="7"/>
  <c r="R88" i="7"/>
  <c r="R34" i="7"/>
  <c r="R47" i="7"/>
  <c r="T51" i="7"/>
  <c r="M37" i="7"/>
  <c r="L47" i="7"/>
  <c r="T40" i="7"/>
  <c r="T53" i="7"/>
  <c r="Q47" i="7"/>
  <c r="L39" i="7"/>
  <c r="L33" i="7"/>
  <c r="Q27" i="7"/>
  <c r="Q21" i="7"/>
  <c r="N16" i="7"/>
  <c r="T10" i="7"/>
  <c r="N5" i="7"/>
  <c r="T38" i="7"/>
  <c r="P28" i="7"/>
  <c r="Q24" i="7"/>
  <c r="T17" i="7"/>
  <c r="Q12" i="7"/>
  <c r="L8" i="7"/>
  <c r="M4" i="7"/>
  <c r="L48" i="7"/>
  <c r="Q38" i="7"/>
  <c r="P30" i="7"/>
  <c r="L26" i="7"/>
  <c r="P22" i="7"/>
  <c r="Q17" i="7"/>
  <c r="N54" i="7"/>
  <c r="L24" i="7"/>
  <c r="N17" i="7"/>
  <c r="L10" i="7"/>
  <c r="L55" i="7"/>
  <c r="M31" i="7"/>
  <c r="Q19" i="7"/>
  <c r="L30" i="7"/>
  <c r="P20" i="7"/>
  <c r="L12" i="7"/>
  <c r="N6" i="7"/>
  <c r="N40" i="7"/>
  <c r="N27" i="7"/>
  <c r="M17" i="7"/>
  <c r="T9" i="7"/>
  <c r="P4" i="7"/>
  <c r="N42" i="7"/>
  <c r="M47" i="7"/>
  <c r="R23" i="7"/>
  <c r="R154" i="7"/>
  <c r="R132" i="7"/>
  <c r="R63" i="7"/>
  <c r="Q84" i="7"/>
  <c r="N69" i="7"/>
  <c r="Q95" i="7"/>
  <c r="T66" i="7"/>
  <c r="P125" i="7"/>
  <c r="P66" i="7"/>
  <c r="Q117" i="7"/>
  <c r="L154" i="7"/>
  <c r="P106" i="7"/>
  <c r="T140" i="7"/>
  <c r="O35" i="14"/>
  <c r="P62" i="13"/>
  <c r="L41" i="13"/>
  <c r="P73" i="13"/>
  <c r="P48" i="13"/>
  <c r="P43" i="13"/>
  <c r="L32" i="13"/>
  <c r="L20" i="13"/>
  <c r="L13" i="13"/>
  <c r="L24" i="13"/>
  <c r="P11" i="13"/>
  <c r="P23" i="13"/>
  <c r="L21" i="13"/>
  <c r="L17" i="13"/>
  <c r="L14" i="13"/>
  <c r="P7" i="13"/>
  <c r="L5" i="13"/>
  <c r="L12" i="13"/>
  <c r="P6" i="13"/>
  <c r="L159" i="7"/>
  <c r="N156" i="7"/>
  <c r="P153" i="7"/>
  <c r="L151" i="7"/>
  <c r="L147" i="7"/>
  <c r="T144" i="7"/>
  <c r="N142" i="7"/>
  <c r="L139" i="7"/>
  <c r="T136" i="7"/>
  <c r="N134" i="7"/>
  <c r="L131" i="7"/>
  <c r="T128" i="7"/>
  <c r="P158" i="7"/>
  <c r="Q153" i="7"/>
  <c r="S6" i="14"/>
  <c r="P86" i="13"/>
  <c r="P60" i="13"/>
  <c r="P45" i="13"/>
  <c r="P89" i="13"/>
  <c r="P68" i="13"/>
  <c r="P41" i="13"/>
  <c r="L75" i="13"/>
  <c r="P92" i="13"/>
  <c r="L81" i="13"/>
  <c r="P57" i="13"/>
  <c r="P38" i="13"/>
  <c r="L93" i="13"/>
  <c r="L71" i="13"/>
  <c r="L42" i="13"/>
  <c r="P75" i="13"/>
  <c r="P63" i="13"/>
  <c r="L49" i="13"/>
  <c r="P32" i="13"/>
  <c r="P28" i="13"/>
  <c r="P13" i="13"/>
  <c r="L25" i="13"/>
  <c r="L9" i="13"/>
  <c r="L55" i="14"/>
  <c r="S54" i="14"/>
  <c r="P91" i="13"/>
  <c r="L50" i="13"/>
  <c r="P74" i="13"/>
  <c r="L79" i="13"/>
  <c r="P81" i="13"/>
  <c r="L51" i="13"/>
  <c r="L74" i="13"/>
  <c r="P85" i="13"/>
  <c r="P53" i="13"/>
  <c r="L29" i="13"/>
  <c r="P22" i="13"/>
  <c r="L16" i="13"/>
  <c r="L7" i="13"/>
  <c r="P12" i="13"/>
  <c r="P157" i="7"/>
  <c r="N154" i="7"/>
  <c r="N150" i="7"/>
  <c r="T146" i="7"/>
  <c r="L143" i="7"/>
  <c r="N140" i="7"/>
  <c r="N136" i="7"/>
  <c r="T132" i="7"/>
  <c r="L129" i="7"/>
  <c r="P154" i="7"/>
  <c r="P146" i="7"/>
  <c r="Q141" i="7"/>
  <c r="P136" i="7"/>
  <c r="M156" i="7"/>
  <c r="N151" i="7"/>
  <c r="N147" i="7"/>
  <c r="M142" i="7"/>
  <c r="N137" i="7"/>
  <c r="N131" i="7"/>
  <c r="L127" i="7"/>
  <c r="T124" i="7"/>
  <c r="P121" i="7"/>
  <c r="L119" i="7"/>
  <c r="P116" i="7"/>
  <c r="T113" i="7"/>
  <c r="N111" i="7"/>
  <c r="T108" i="7"/>
  <c r="T105" i="7"/>
  <c r="N103" i="7"/>
  <c r="Q150" i="7"/>
  <c r="M145" i="7"/>
  <c r="Q136" i="7"/>
  <c r="P128" i="7"/>
  <c r="P99" i="7"/>
  <c r="N96" i="7"/>
  <c r="L93" i="7"/>
  <c r="T90" i="7"/>
  <c r="N88" i="7"/>
  <c r="T153" i="7"/>
  <c r="T139" i="7"/>
  <c r="M131" i="7"/>
  <c r="M125" i="7"/>
  <c r="N119" i="7"/>
  <c r="N114" i="7"/>
  <c r="M109" i="7"/>
  <c r="M147" i="7"/>
  <c r="Q135" i="7"/>
  <c r="T127" i="7"/>
  <c r="L125" i="7"/>
  <c r="L122" i="7"/>
  <c r="T119" i="7"/>
  <c r="L117" i="7"/>
  <c r="M114" i="7"/>
  <c r="L156" i="7"/>
  <c r="T141" i="7"/>
  <c r="N102" i="7"/>
  <c r="N93" i="7"/>
  <c r="M88" i="7"/>
  <c r="P84" i="7"/>
  <c r="T81" i="7"/>
  <c r="N79" i="7"/>
  <c r="P76" i="7"/>
  <c r="T73" i="7"/>
  <c r="L71" i="7"/>
  <c r="T68" i="7"/>
  <c r="T65" i="7"/>
  <c r="N63" i="7"/>
  <c r="P60" i="7"/>
  <c r="T57" i="7"/>
  <c r="M95" i="7"/>
  <c r="M91" i="7"/>
  <c r="Q86" i="7"/>
  <c r="M79" i="7"/>
  <c r="Q73" i="7"/>
  <c r="Q68" i="7"/>
  <c r="M61" i="7"/>
  <c r="L68" i="7"/>
  <c r="N62" i="7"/>
  <c r="P56" i="7"/>
  <c r="Q102" i="7"/>
  <c r="M129" i="7"/>
  <c r="P124" i="7"/>
  <c r="Q119" i="7"/>
  <c r="P113" i="7"/>
  <c r="Q108" i="7"/>
  <c r="M103" i="7"/>
  <c r="T99" i="7"/>
  <c r="T95" i="7"/>
  <c r="Q88" i="7"/>
  <c r="M63" i="7"/>
  <c r="T64" i="7"/>
  <c r="T159" i="7"/>
  <c r="L146" i="7"/>
  <c r="P109" i="7"/>
  <c r="T102" i="7"/>
  <c r="Q93" i="7"/>
  <c r="P88" i="7"/>
  <c r="T84" i="7"/>
  <c r="P81" i="7"/>
  <c r="L79" i="7"/>
  <c r="T76" i="7"/>
  <c r="P73" i="7"/>
  <c r="N71" i="7"/>
  <c r="P68" i="7"/>
  <c r="N58" i="7"/>
  <c r="Q82" i="7"/>
  <c r="M64" i="7"/>
  <c r="Q69" i="7"/>
  <c r="M69" i="7"/>
  <c r="M80" i="7"/>
  <c r="M58" i="7"/>
  <c r="R96" i="7"/>
  <c r="R62" i="7"/>
  <c r="R151" i="7"/>
  <c r="R81" i="7"/>
  <c r="R106" i="7"/>
  <c r="R112" i="7"/>
  <c r="R79" i="7"/>
  <c r="R115" i="7"/>
  <c r="R80" i="7"/>
  <c r="R125" i="7"/>
  <c r="R73" i="7"/>
  <c r="R59" i="7"/>
  <c r="R102" i="7"/>
  <c r="R124" i="7"/>
  <c r="R84" i="7"/>
  <c r="R104" i="7"/>
  <c r="R147" i="7"/>
  <c r="R122" i="7"/>
  <c r="R93" i="7"/>
  <c r="R127" i="7"/>
  <c r="R141" i="7"/>
  <c r="R140" i="7"/>
  <c r="R72" i="7"/>
  <c r="R22" i="7"/>
  <c r="R6" i="7"/>
  <c r="R7" i="7"/>
  <c r="R42" i="7"/>
  <c r="R50" i="7"/>
  <c r="R20" i="7"/>
  <c r="R35" i="7"/>
  <c r="L54" i="7"/>
  <c r="M51" i="7"/>
  <c r="N48" i="7"/>
  <c r="L46" i="7"/>
  <c r="Q44" i="7"/>
  <c r="T41" i="7"/>
  <c r="P39" i="7"/>
  <c r="Q36" i="7"/>
  <c r="T33" i="7"/>
  <c r="M53" i="7"/>
  <c r="M50" i="7"/>
  <c r="L43" i="7"/>
  <c r="N39" i="7"/>
  <c r="N36" i="7"/>
  <c r="M33" i="7"/>
  <c r="N30" i="7"/>
  <c r="M52" i="7"/>
  <c r="M49" i="7"/>
  <c r="M46" i="7"/>
  <c r="P40" i="7"/>
  <c r="P37" i="7"/>
  <c r="P34" i="7"/>
  <c r="N31" i="7"/>
  <c r="T28" i="7"/>
  <c r="P26" i="7"/>
  <c r="P23" i="7"/>
  <c r="N20" i="7"/>
  <c r="L18" i="7"/>
  <c r="M15" i="7"/>
  <c r="P12" i="7"/>
  <c r="Q9" i="7"/>
  <c r="T6" i="7"/>
  <c r="L4" i="7"/>
  <c r="M48" i="7"/>
  <c r="N44" i="7"/>
  <c r="M34" i="7"/>
  <c r="M29" i="7"/>
  <c r="M26" i="7"/>
  <c r="T20" i="7"/>
  <c r="L17" i="7"/>
  <c r="M14" i="7"/>
  <c r="P9" i="7"/>
  <c r="P6" i="7"/>
  <c r="Q55" i="7"/>
  <c r="Q49" i="7"/>
  <c r="M43" i="7"/>
  <c r="L37" i="7"/>
  <c r="Q31" i="7"/>
  <c r="P27" i="7"/>
  <c r="P24" i="7"/>
  <c r="N21" i="7"/>
  <c r="L19" i="7"/>
  <c r="T14" i="7"/>
  <c r="T48" i="7"/>
  <c r="P42" i="7"/>
  <c r="Q25" i="7"/>
  <c r="P21" i="7"/>
  <c r="M13" i="7"/>
  <c r="M9" i="7"/>
  <c r="L5" i="7"/>
  <c r="Q39" i="7"/>
  <c r="N28" i="7"/>
  <c r="T21" i="7"/>
  <c r="P50" i="7"/>
  <c r="L41" i="7"/>
  <c r="Q29" i="7"/>
  <c r="L23" i="7"/>
  <c r="N13" i="7"/>
  <c r="N9" i="7"/>
  <c r="T5" i="7"/>
  <c r="N43" i="7"/>
  <c r="M32" i="7"/>
  <c r="T22" i="7"/>
  <c r="Q15" i="7"/>
  <c r="Q10" i="7"/>
  <c r="Q6" i="7"/>
  <c r="Q14" i="7"/>
  <c r="P10" i="7"/>
  <c r="R21" i="7"/>
  <c r="R36" i="7"/>
  <c r="R38" i="7"/>
  <c r="R17" i="7"/>
  <c r="L62" i="6"/>
  <c r="Q58" i="6"/>
  <c r="Q43" i="6"/>
  <c r="AI43" i="6" s="1"/>
  <c r="AJ43" i="6" s="1"/>
  <c r="Q39" i="6"/>
  <c r="AI39" i="6" s="1"/>
  <c r="AJ39" i="6" s="1"/>
  <c r="Q34" i="6"/>
  <c r="Q30" i="6"/>
  <c r="Q25" i="6"/>
  <c r="Q18" i="6"/>
  <c r="M22" i="6"/>
  <c r="L57" i="6"/>
  <c r="L53" i="6"/>
  <c r="L50" i="6"/>
  <c r="L45" i="6"/>
  <c r="M41" i="6"/>
  <c r="M37" i="6"/>
  <c r="M32" i="6"/>
  <c r="M28" i="6"/>
  <c r="Q20" i="6"/>
  <c r="AI20" i="6" s="1"/>
  <c r="AJ20" i="6" s="1"/>
  <c r="M57" i="6"/>
  <c r="M49" i="6"/>
  <c r="M44" i="6"/>
  <c r="M35" i="6"/>
  <c r="M27" i="6"/>
  <c r="Q12" i="6"/>
  <c r="AI12" i="6" s="1"/>
  <c r="AJ12" i="6" s="1"/>
  <c r="M4" i="6"/>
  <c r="M53" i="6"/>
  <c r="M38" i="6"/>
  <c r="M29" i="6"/>
  <c r="L55" i="6"/>
  <c r="M48" i="6"/>
  <c r="L43" i="6"/>
  <c r="L34" i="6"/>
  <c r="L25" i="6"/>
  <c r="Q17" i="6"/>
  <c r="M11" i="6"/>
  <c r="Q59" i="6"/>
  <c r="AI59" i="6" s="1"/>
  <c r="AJ59" i="6" s="1"/>
  <c r="Q53" i="6"/>
  <c r="AI53" i="6" s="1"/>
  <c r="AJ53" i="6" s="1"/>
  <c r="Q38" i="6"/>
  <c r="Q29" i="6"/>
  <c r="AI29" i="6" s="1"/>
  <c r="AJ29" i="6" s="1"/>
  <c r="M17" i="6"/>
  <c r="Q19" i="6"/>
  <c r="AI19" i="6" s="1"/>
  <c r="AJ19" i="6" s="1"/>
  <c r="Q10" i="6"/>
  <c r="AI10" i="6" s="1"/>
  <c r="AJ10" i="6" s="1"/>
  <c r="L10" i="6"/>
  <c r="L8" i="6"/>
  <c r="L14" i="6"/>
  <c r="L4" i="6"/>
  <c r="L22" i="6"/>
  <c r="L53" i="14"/>
  <c r="S52" i="14"/>
  <c r="M51" i="14"/>
  <c r="O58" i="14"/>
  <c r="S7" i="14"/>
  <c r="M6" i="14"/>
  <c r="S4" i="14"/>
  <c r="P76" i="13"/>
  <c r="P35" i="13"/>
  <c r="P56" i="13"/>
  <c r="L65" i="13"/>
  <c r="L67" i="13"/>
  <c r="P37" i="13"/>
  <c r="P58" i="13"/>
  <c r="P65" i="13"/>
  <c r="L34" i="13"/>
  <c r="P19" i="13"/>
  <c r="L11" i="13"/>
  <c r="P27" i="13"/>
  <c r="L23" i="13"/>
  <c r="P14" i="13"/>
  <c r="L10" i="13"/>
  <c r="P30" i="13"/>
  <c r="L157" i="7"/>
  <c r="L153" i="7"/>
  <c r="N146" i="7"/>
  <c r="T142" i="7"/>
  <c r="T138" i="7"/>
  <c r="L135" i="7"/>
  <c r="N132" i="7"/>
  <c r="N128" i="7"/>
  <c r="Q159" i="7"/>
  <c r="Q151" i="7"/>
  <c r="Q145" i="7"/>
  <c r="P140" i="7"/>
  <c r="N155" i="7"/>
  <c r="M150" i="7"/>
  <c r="M146" i="7"/>
  <c r="N141" i="7"/>
  <c r="N135" i="7"/>
  <c r="M130" i="7"/>
  <c r="T126" i="7"/>
  <c r="P123" i="7"/>
  <c r="L121" i="7"/>
  <c r="P118" i="7"/>
  <c r="T115" i="7"/>
  <c r="N113" i="7"/>
  <c r="P110" i="7"/>
  <c r="T107" i="7"/>
  <c r="N105" i="7"/>
  <c r="P102" i="7"/>
  <c r="Q158" i="7"/>
  <c r="Q144" i="7"/>
  <c r="T133" i="7"/>
  <c r="P101" i="7"/>
  <c r="L99" i="7"/>
  <c r="L95" i="7"/>
  <c r="T92" i="7"/>
  <c r="N90" i="7"/>
  <c r="L87" i="7"/>
  <c r="L150" i="7"/>
  <c r="T147" i="7"/>
  <c r="L136" i="7"/>
  <c r="Q130" i="7"/>
  <c r="N123" i="7"/>
  <c r="N118" i="7"/>
  <c r="M113" i="7"/>
  <c r="M107" i="7"/>
  <c r="M157" i="7"/>
  <c r="M143" i="7"/>
  <c r="L132" i="7"/>
  <c r="M127" i="7"/>
  <c r="L124" i="7"/>
  <c r="T121" i="7"/>
  <c r="M119" i="7"/>
  <c r="M116" i="7"/>
  <c r="Q113" i="7"/>
  <c r="T155" i="7"/>
  <c r="Q106" i="7"/>
  <c r="N101" i="7"/>
  <c r="M92" i="7"/>
  <c r="N87" i="7"/>
  <c r="T83" i="7"/>
  <c r="N81" i="7"/>
  <c r="P78" i="7"/>
  <c r="P75" i="7"/>
  <c r="N73" i="7"/>
  <c r="T70" i="7"/>
  <c r="P67" i="7"/>
  <c r="N65" i="7"/>
  <c r="P62" i="7"/>
  <c r="T59" i="7"/>
  <c r="N57" i="7"/>
  <c r="L94" i="7"/>
  <c r="T89" i="7"/>
  <c r="T85" i="7"/>
  <c r="Q77" i="7"/>
  <c r="Q72" i="7"/>
  <c r="M68" i="7"/>
  <c r="Q59" i="7"/>
  <c r="N66" i="7"/>
  <c r="T60" i="7"/>
  <c r="T110" i="7"/>
  <c r="Q134" i="7"/>
  <c r="Q128" i="7"/>
  <c r="Q123" i="7"/>
  <c r="P117" i="7"/>
  <c r="Q112" i="7"/>
  <c r="Q107" i="7"/>
  <c r="T101" i="7"/>
  <c r="M99" i="7"/>
  <c r="Q94" i="7"/>
  <c r="L86" i="7"/>
  <c r="Q61" i="7"/>
  <c r="T62" i="7"/>
  <c r="L108" i="7"/>
  <c r="L152" i="7"/>
  <c r="T145" i="7"/>
  <c r="P107" i="7"/>
  <c r="Q101" i="7"/>
  <c r="P92" i="7"/>
  <c r="Q87" i="7"/>
  <c r="P83" i="7"/>
  <c r="L81" i="7"/>
  <c r="T78" i="7"/>
  <c r="T75" i="7"/>
  <c r="L73" i="7"/>
  <c r="P70" i="7"/>
  <c r="P65" i="7"/>
  <c r="L56" i="7"/>
  <c r="M78" i="7"/>
  <c r="M82" i="7"/>
  <c r="M62" i="7"/>
  <c r="Q67" i="7"/>
  <c r="M67" i="7"/>
  <c r="R77" i="7"/>
  <c r="R119" i="7"/>
  <c r="R82" i="7"/>
  <c r="R155" i="7"/>
  <c r="R57" i="7"/>
  <c r="R146" i="7"/>
  <c r="R143" i="7"/>
  <c r="R69" i="7"/>
  <c r="R159" i="7"/>
  <c r="R145" i="7"/>
  <c r="R134" i="7"/>
  <c r="R75" i="7"/>
  <c r="R99" i="7"/>
  <c r="R109" i="7"/>
  <c r="R107" i="7"/>
  <c r="R105" i="7"/>
  <c r="R116" i="7"/>
  <c r="R86" i="7"/>
  <c r="R126" i="7"/>
  <c r="R111" i="7"/>
  <c r="R136" i="7"/>
  <c r="R76" i="7"/>
  <c r="R133" i="7"/>
  <c r="R110" i="7"/>
  <c r="R153" i="7"/>
  <c r="R70" i="7"/>
  <c r="R117" i="7"/>
  <c r="R37" i="7"/>
  <c r="R49" i="7"/>
  <c r="R15" i="7"/>
  <c r="R48" i="7"/>
  <c r="R16" i="7"/>
  <c r="R32" i="7"/>
  <c r="R41" i="7"/>
  <c r="R24" i="7"/>
  <c r="R25" i="7"/>
  <c r="T55" i="7"/>
  <c r="P53" i="7"/>
  <c r="Q50" i="7"/>
  <c r="T47" i="7"/>
  <c r="L44" i="7"/>
  <c r="M41" i="7"/>
  <c r="N38" i="7"/>
  <c r="L36" i="7"/>
  <c r="P55" i="7"/>
  <c r="P52" i="7"/>
  <c r="Q48" i="7"/>
  <c r="M42" i="7"/>
  <c r="M39" i="7"/>
  <c r="M36" i="7"/>
  <c r="Q32" i="7"/>
  <c r="P54" i="7"/>
  <c r="P51" i="7"/>
  <c r="P48" i="7"/>
  <c r="Q43" i="7"/>
  <c r="T39" i="7"/>
  <c r="T36" i="7"/>
  <c r="Q33" i="7"/>
  <c r="T30" i="7"/>
  <c r="M28" i="7"/>
  <c r="N25" i="7"/>
  <c r="N22" i="7"/>
  <c r="T19" i="7"/>
  <c r="P17" i="7"/>
  <c r="P14" i="7"/>
  <c r="N11" i="7"/>
  <c r="L9" i="7"/>
  <c r="M6" i="7"/>
  <c r="N55" i="7"/>
  <c r="T46" i="7"/>
  <c r="N41" i="7"/>
  <c r="N32" i="7"/>
  <c r="M11" i="14"/>
  <c r="S32" i="14"/>
  <c r="L33" i="14"/>
  <c r="R5" i="14"/>
  <c r="R6" i="14"/>
  <c r="L91" i="13"/>
  <c r="L80" i="13"/>
  <c r="L66" i="13"/>
  <c r="L54" i="13"/>
  <c r="L45" i="13"/>
  <c r="L35" i="13"/>
  <c r="P83" i="13"/>
  <c r="P71" i="13"/>
  <c r="L58" i="13"/>
  <c r="P42" i="13"/>
  <c r="P90" i="13"/>
  <c r="L73" i="13"/>
  <c r="L64" i="13"/>
  <c r="L92" i="13"/>
  <c r="L87" i="13"/>
  <c r="L77" i="13"/>
  <c r="L61" i="13"/>
  <c r="L55" i="13"/>
  <c r="L46" i="13"/>
  <c r="L37" i="13"/>
  <c r="L89" i="13"/>
  <c r="L78" i="13"/>
  <c r="L68" i="13"/>
  <c r="P52" i="13"/>
  <c r="L40" i="13"/>
  <c r="P79" i="13"/>
  <c r="L70" i="13"/>
  <c r="P59" i="13"/>
  <c r="P34" i="13"/>
  <c r="L48" i="13"/>
  <c r="P20" i="13"/>
  <c r="P18" i="13"/>
  <c r="P8" i="13"/>
  <c r="P33" i="13"/>
  <c r="P29" i="13"/>
  <c r="P25" i="13"/>
  <c r="L19" i="13"/>
  <c r="L4" i="13"/>
  <c r="L26" i="13"/>
  <c r="M58" i="14"/>
  <c r="M54" i="14"/>
  <c r="M50" i="14"/>
  <c r="M32" i="14"/>
  <c r="M28" i="14"/>
  <c r="O31" i="14"/>
  <c r="O54" i="14"/>
  <c r="O29" i="14"/>
  <c r="R12" i="14"/>
  <c r="S11" i="14"/>
  <c r="R10" i="14"/>
  <c r="R9" i="14"/>
  <c r="M8" i="14"/>
  <c r="L7" i="14"/>
  <c r="O7" i="14"/>
  <c r="L6" i="14"/>
  <c r="L5" i="14"/>
  <c r="L86" i="13"/>
  <c r="P66" i="13"/>
  <c r="P50" i="13"/>
  <c r="L44" i="13"/>
  <c r="P84" i="13"/>
  <c r="P69" i="13"/>
  <c r="L52" i="13"/>
  <c r="P39" i="13"/>
  <c r="P72" i="13"/>
  <c r="L59" i="13"/>
  <c r="P87" i="13"/>
  <c r="P67" i="13"/>
  <c r="L57" i="13"/>
  <c r="P46" i="13"/>
  <c r="P36" i="13"/>
  <c r="L83" i="13"/>
  <c r="L69" i="13"/>
  <c r="L47" i="13"/>
  <c r="L90" i="13"/>
  <c r="L72" i="13"/>
  <c r="P49" i="13"/>
  <c r="L53" i="13"/>
  <c r="R53" i="7"/>
  <c r="L28" i="13"/>
  <c r="P24" i="13"/>
  <c r="L22" i="13"/>
  <c r="P15" i="13"/>
  <c r="P9" i="13"/>
  <c r="P4" i="13"/>
  <c r="L30" i="13"/>
  <c r="P31" i="13"/>
  <c r="L27" i="13"/>
  <c r="P17" i="13"/>
  <c r="P10" i="13"/>
  <c r="L6" i="13"/>
  <c r="T158" i="7"/>
  <c r="T156" i="7"/>
  <c r="T154" i="7"/>
  <c r="T152" i="7"/>
  <c r="T150" i="7"/>
  <c r="P147" i="7"/>
  <c r="P145" i="7"/>
  <c r="P143" i="7"/>
  <c r="P141" i="7"/>
  <c r="P139" i="7"/>
  <c r="P137" i="7"/>
  <c r="P135" i="7"/>
  <c r="P133" i="7"/>
  <c r="P131" i="7"/>
  <c r="P129" i="7"/>
  <c r="P156" i="7"/>
  <c r="P152" i="7"/>
  <c r="Q147" i="7"/>
  <c r="Q143" i="7"/>
  <c r="Q139" i="7"/>
  <c r="N157" i="7"/>
  <c r="N153" i="7"/>
  <c r="M148" i="7"/>
  <c r="M144" i="7"/>
  <c r="M140" i="7"/>
  <c r="M136" i="7"/>
  <c r="M132" i="7"/>
  <c r="M128" i="7"/>
  <c r="N126" i="7"/>
  <c r="N124" i="7"/>
  <c r="N122" i="7"/>
  <c r="N120" i="7"/>
  <c r="L118" i="7"/>
  <c r="L116" i="7"/>
  <c r="L114" i="7"/>
  <c r="L112" i="7"/>
  <c r="L110" i="7"/>
  <c r="N108" i="7"/>
  <c r="L106" i="7"/>
  <c r="L104" i="7"/>
  <c r="L102" i="7"/>
  <c r="M159" i="7"/>
  <c r="M151" i="7"/>
  <c r="M141" i="7"/>
  <c r="P134" i="7"/>
  <c r="T129" i="7"/>
  <c r="T100" i="7"/>
  <c r="T98" i="7"/>
  <c r="P95" i="7"/>
  <c r="P93" i="7"/>
  <c r="P91" i="7"/>
  <c r="P89" i="7"/>
  <c r="P87" i="7"/>
  <c r="P85" i="7"/>
  <c r="T157" i="7"/>
  <c r="L148" i="7"/>
  <c r="L140" i="7"/>
  <c r="L134" i="7"/>
  <c r="Q129" i="7"/>
  <c r="M124" i="7"/>
  <c r="M120" i="7"/>
  <c r="N116" i="7"/>
  <c r="N112" i="7"/>
  <c r="M108" i="7"/>
  <c r="M153" i="7"/>
  <c r="Q146" i="7"/>
  <c r="Q138" i="7"/>
  <c r="P130" i="7"/>
  <c r="Q126" i="7"/>
  <c r="Q124" i="7"/>
  <c r="Q122" i="7"/>
  <c r="Q120" i="7"/>
  <c r="T118" i="7"/>
  <c r="T116" i="7"/>
  <c r="T114" i="7"/>
  <c r="T112" i="7"/>
  <c r="Q110" i="7"/>
  <c r="P103" i="7"/>
  <c r="N99" i="7"/>
  <c r="M94" i="7"/>
  <c r="M90" i="7"/>
  <c r="L84" i="7"/>
  <c r="L82" i="7"/>
  <c r="L80" i="7"/>
  <c r="L78" i="7"/>
  <c r="L76" i="7"/>
  <c r="N74" i="7"/>
  <c r="N72" i="7"/>
  <c r="N70" i="7"/>
  <c r="N68" i="7"/>
  <c r="L66" i="7"/>
  <c r="L64" i="7"/>
  <c r="L62" i="7"/>
  <c r="L60" i="7"/>
  <c r="L58" i="7"/>
  <c r="N56" i="7"/>
  <c r="T93" i="7"/>
  <c r="Q90" i="7"/>
  <c r="M87" i="7"/>
  <c r="Q83" i="7"/>
  <c r="M77" i="7"/>
  <c r="M73" i="7"/>
  <c r="M70" i="7"/>
  <c r="M65" i="7"/>
  <c r="Q57" i="7"/>
  <c r="N67" i="7"/>
  <c r="L63" i="7"/>
  <c r="L59" i="7"/>
  <c r="L109" i="7"/>
  <c r="M135" i="7"/>
  <c r="Q131" i="7"/>
  <c r="P126" i="7"/>
  <c r="P122" i="7"/>
  <c r="Q118" i="7"/>
  <c r="Q114" i="7"/>
  <c r="M110" i="7"/>
  <c r="M106" i="7"/>
  <c r="M102" i="7"/>
  <c r="L100" i="7"/>
  <c r="L98" i="7"/>
  <c r="M93" i="7"/>
  <c r="T87" i="7"/>
  <c r="Q79" i="7"/>
  <c r="M57" i="7"/>
  <c r="L61" i="7"/>
  <c r="L111" i="7"/>
  <c r="L138" i="7"/>
  <c r="P108" i="7"/>
  <c r="L103" i="7"/>
  <c r="Q99" i="7"/>
  <c r="P94" i="7"/>
  <c r="P90" i="7"/>
  <c r="P86" i="7"/>
  <c r="N84" i="7"/>
  <c r="N82" i="7"/>
  <c r="N80" i="7"/>
  <c r="N78" i="7"/>
  <c r="N76" i="7"/>
  <c r="L74" i="7"/>
  <c r="L72" i="7"/>
  <c r="L70" i="7"/>
  <c r="T67" i="7"/>
  <c r="P59" i="7"/>
  <c r="M105" i="7"/>
  <c r="Q76" i="7"/>
  <c r="Q62" i="7"/>
  <c r="M71" i="7"/>
  <c r="Q80" i="7"/>
  <c r="M60" i="7"/>
  <c r="Q78" i="7"/>
  <c r="L58" i="14"/>
  <c r="S57" i="14"/>
  <c r="M56" i="14"/>
  <c r="L54" i="14"/>
  <c r="S53" i="14"/>
  <c r="M52" i="14"/>
  <c r="L50" i="14"/>
  <c r="S35" i="14"/>
  <c r="M34" i="14"/>
  <c r="L32" i="14"/>
  <c r="S31" i="14"/>
  <c r="M30" i="14"/>
  <c r="L28" i="14"/>
  <c r="S27" i="14"/>
  <c r="O33" i="14"/>
  <c r="O53" i="14"/>
  <c r="R11" i="14"/>
  <c r="L9" i="14"/>
  <c r="M5" i="14"/>
  <c r="O6" i="14"/>
  <c r="O10" i="14"/>
  <c r="R8" i="14"/>
  <c r="O52" i="14"/>
  <c r="S28" i="14"/>
  <c r="L29" i="14"/>
  <c r="S50" i="14"/>
  <c r="L51" i="14"/>
  <c r="S58" i="14"/>
  <c r="L84" i="13"/>
  <c r="L38" i="13"/>
  <c r="P55" i="13"/>
  <c r="P77" i="13"/>
  <c r="P88" i="13"/>
  <c r="P70" i="13"/>
  <c r="P40" i="13"/>
  <c r="L62" i="13"/>
  <c r="P82" i="13"/>
  <c r="P44" i="13"/>
  <c r="L60" i="13"/>
  <c r="P80" i="13"/>
  <c r="S5" i="14"/>
  <c r="O5" i="14"/>
  <c r="M12" i="14"/>
  <c r="O30" i="14"/>
  <c r="O27" i="14"/>
  <c r="L27" i="14"/>
  <c r="M33" i="14"/>
  <c r="S34" i="14"/>
  <c r="L35" i="14"/>
  <c r="M55" i="14"/>
  <c r="S56" i="14"/>
  <c r="L57" i="14"/>
  <c r="N58" i="14"/>
  <c r="N54" i="14"/>
  <c r="N50" i="14"/>
  <c r="N32" i="14"/>
  <c r="N28" i="14"/>
  <c r="N10" i="14"/>
  <c r="N6" i="14"/>
  <c r="N53" i="14"/>
  <c r="BL53" i="14" s="1"/>
  <c r="BO53" i="14" s="1"/>
  <c r="N31" i="14"/>
  <c r="N9" i="14"/>
  <c r="N55" i="14"/>
  <c r="N51" i="14"/>
  <c r="N33" i="14"/>
  <c r="N29" i="14"/>
  <c r="BL29" i="14" s="1"/>
  <c r="BO29" i="14" s="1"/>
  <c r="N11" i="14"/>
  <c r="N7" i="14"/>
  <c r="N57" i="14"/>
  <c r="N35" i="14"/>
  <c r="N27" i="14"/>
  <c r="N4" i="14"/>
  <c r="BL4" i="14" s="1"/>
  <c r="BO4" i="14" s="1"/>
  <c r="N56" i="14"/>
  <c r="N52" i="14"/>
  <c r="N34" i="14"/>
  <c r="N30" i="14"/>
  <c r="BL30" i="14" s="1"/>
  <c r="BO30" i="14" s="1"/>
  <c r="N12" i="14"/>
  <c r="N8" i="14"/>
  <c r="N5" i="14"/>
  <c r="BL5" i="14" s="1"/>
  <c r="BO5" i="14" s="1"/>
  <c r="R58" i="14"/>
  <c r="R57" i="14"/>
  <c r="R56" i="14"/>
  <c r="R55" i="14"/>
  <c r="R54" i="14"/>
  <c r="R53" i="14"/>
  <c r="R52" i="14"/>
  <c r="R51" i="14"/>
  <c r="R50" i="14"/>
  <c r="R35" i="14"/>
  <c r="R34" i="14"/>
  <c r="R33" i="14"/>
  <c r="R32" i="14"/>
  <c r="R31" i="14"/>
  <c r="R30" i="14"/>
  <c r="R29" i="14"/>
  <c r="R28" i="14"/>
  <c r="R27" i="14"/>
  <c r="O28" i="14"/>
  <c r="O56" i="14"/>
  <c r="O51" i="14"/>
  <c r="O55" i="14"/>
  <c r="O32" i="14"/>
  <c r="S12" i="14"/>
  <c r="L12" i="14"/>
  <c r="S10" i="14"/>
  <c r="L10" i="14"/>
  <c r="S8" i="14"/>
  <c r="L8" i="14"/>
  <c r="M4" i="14"/>
  <c r="O11" i="14"/>
  <c r="O8" i="14"/>
  <c r="O9" i="14"/>
  <c r="R7" i="14"/>
  <c r="M9" i="14"/>
  <c r="M10" i="14"/>
  <c r="L11" i="14"/>
  <c r="O34" i="14"/>
  <c r="O57" i="14"/>
  <c r="O50" i="14"/>
  <c r="M27" i="14"/>
  <c r="S29" i="14"/>
  <c r="L30" i="14"/>
  <c r="M31" i="14"/>
  <c r="S33" i="14"/>
  <c r="L34" i="14"/>
  <c r="M35" i="14"/>
  <c r="S51" i="14"/>
  <c r="L52" i="14"/>
  <c r="M53" i="14"/>
  <c r="S55" i="14"/>
  <c r="L56" i="14"/>
  <c r="M57" i="14"/>
  <c r="W51" i="6"/>
  <c r="AC51" i="6" s="1"/>
  <c r="W30" i="6"/>
  <c r="X30" i="6" s="1"/>
  <c r="Z30" i="6" s="1"/>
  <c r="W49" i="6"/>
  <c r="AC49" i="6" s="1"/>
  <c r="BK29" i="6"/>
  <c r="W19" i="6"/>
  <c r="AC19" i="6" s="1"/>
  <c r="W43" i="6"/>
  <c r="X43" i="6" s="1"/>
  <c r="Y43" i="6" s="1"/>
  <c r="BK63" i="6"/>
  <c r="W31" i="6"/>
  <c r="W18" i="6"/>
  <c r="W40" i="6"/>
  <c r="AC40" i="6" s="1"/>
  <c r="BK45" i="6"/>
  <c r="W33" i="6"/>
  <c r="X33" i="6" s="1"/>
  <c r="Z33" i="6" s="1"/>
  <c r="W13" i="6"/>
  <c r="W5" i="6"/>
  <c r="X5" i="6" s="1"/>
  <c r="Z5" i="6" s="1"/>
  <c r="BK28" i="6"/>
  <c r="BK35" i="6"/>
  <c r="W15" i="6"/>
  <c r="W60" i="6"/>
  <c r="W4" i="6"/>
  <c r="W34" i="6"/>
  <c r="X34" i="6" s="1"/>
  <c r="Z34" i="6" s="1"/>
  <c r="W42" i="6"/>
  <c r="X42" i="6" s="1"/>
  <c r="Z42" i="6" s="1"/>
  <c r="W24" i="6"/>
  <c r="BK47" i="6"/>
  <c r="BK27" i="6"/>
  <c r="BK62" i="6"/>
  <c r="W54" i="6"/>
  <c r="AC54" i="6" s="1"/>
  <c r="BK44" i="6"/>
  <c r="W22" i="6"/>
  <c r="W55" i="6"/>
  <c r="AC55" i="6" s="1"/>
  <c r="W38" i="6"/>
  <c r="BK10" i="6"/>
  <c r="W14" i="6"/>
  <c r="W61" i="6"/>
  <c r="BK32" i="6"/>
  <c r="BK50" i="6"/>
  <c r="BK17" i="6"/>
  <c r="BK52" i="6"/>
  <c r="W41" i="6"/>
  <c r="W37" i="6"/>
  <c r="W23" i="6"/>
  <c r="W58" i="6"/>
  <c r="W25" i="6"/>
  <c r="W59" i="6"/>
  <c r="B4" i="6"/>
  <c r="X71" i="14" l="1"/>
  <c r="AC71" i="14"/>
  <c r="AC48" i="14"/>
  <c r="X48" i="14"/>
  <c r="AC26" i="14"/>
  <c r="X26" i="14"/>
  <c r="AC25" i="14"/>
  <c r="X25" i="14"/>
  <c r="X72" i="14"/>
  <c r="AC72" i="14"/>
  <c r="X49" i="14"/>
  <c r="AC49" i="14"/>
  <c r="BL64" i="14"/>
  <c r="BO64" i="14" s="1"/>
  <c r="BL66" i="14"/>
  <c r="BO66" i="14" s="1"/>
  <c r="BL20" i="14"/>
  <c r="BO20" i="14" s="1"/>
  <c r="BL61" i="14"/>
  <c r="BO61" i="14" s="1"/>
  <c r="BL65" i="14"/>
  <c r="BO65" i="14" s="1"/>
  <c r="C115" i="2"/>
  <c r="C118" i="2" s="1"/>
  <c r="C94" i="2"/>
  <c r="C97" i="2" s="1"/>
  <c r="D97" i="2" s="1"/>
  <c r="C129" i="2"/>
  <c r="C132" i="2" s="1"/>
  <c r="D132" i="2" s="1"/>
  <c r="C80" i="2"/>
  <c r="C83" i="2" s="1"/>
  <c r="BL49" i="14"/>
  <c r="BO49" i="14" s="1"/>
  <c r="BL32" i="14"/>
  <c r="BO32" i="14" s="1"/>
  <c r="BL11" i="14"/>
  <c r="BO11" i="14" s="1"/>
  <c r="BL7" i="14"/>
  <c r="BO7" i="14" s="1"/>
  <c r="BL34" i="14"/>
  <c r="BO34" i="14" s="1"/>
  <c r="BL27" i="14"/>
  <c r="BO27" i="14" s="1"/>
  <c r="BP27" i="14" s="1"/>
  <c r="BL55" i="14"/>
  <c r="BO55" i="14" s="1"/>
  <c r="BL60" i="14"/>
  <c r="BO60" i="14" s="1"/>
  <c r="BL17" i="14"/>
  <c r="BO17" i="14" s="1"/>
  <c r="BL14" i="14"/>
  <c r="BO14" i="14" s="1"/>
  <c r="BP14" i="14" s="1"/>
  <c r="BL35" i="14"/>
  <c r="BO35" i="14" s="1"/>
  <c r="BL12" i="14"/>
  <c r="BO12" i="14" s="1"/>
  <c r="BL57" i="14"/>
  <c r="BO57" i="14" s="1"/>
  <c r="BL31" i="14"/>
  <c r="BO31" i="14" s="1"/>
  <c r="BL28" i="14"/>
  <c r="BO28" i="14" s="1"/>
  <c r="BL58" i="14"/>
  <c r="BO58" i="14" s="1"/>
  <c r="BL23" i="14"/>
  <c r="BO23" i="14" s="1"/>
  <c r="BL18" i="14"/>
  <c r="BO18" i="14" s="1"/>
  <c r="BL39" i="14"/>
  <c r="BO39" i="14" s="1"/>
  <c r="BL16" i="14"/>
  <c r="BO16" i="14" s="1"/>
  <c r="BL6" i="14"/>
  <c r="BO6" i="14" s="1"/>
  <c r="AD33" i="13"/>
  <c r="AD91" i="7"/>
  <c r="AE53" i="7"/>
  <c r="AE134" i="7"/>
  <c r="AD52" i="14"/>
  <c r="AE31" i="7"/>
  <c r="AE36" i="13"/>
  <c r="AE71" i="13"/>
  <c r="AD128" i="7"/>
  <c r="AE43" i="13"/>
  <c r="AD49" i="6"/>
  <c r="AD4" i="13"/>
  <c r="AE72" i="7"/>
  <c r="AD43" i="7"/>
  <c r="AE12" i="6"/>
  <c r="AE8" i="13"/>
  <c r="AE81" i="7"/>
  <c r="AD93" i="13"/>
  <c r="AE15" i="13"/>
  <c r="AD54" i="6"/>
  <c r="AD40" i="6"/>
  <c r="AD15" i="7"/>
  <c r="AD61" i="7"/>
  <c r="AD13" i="7"/>
  <c r="AE48" i="6"/>
  <c r="AE27" i="13"/>
  <c r="AE65" i="7"/>
  <c r="AE30" i="7"/>
  <c r="AD91" i="13"/>
  <c r="AE49" i="13"/>
  <c r="AE147" i="7"/>
  <c r="AD19" i="6"/>
  <c r="AE51" i="6"/>
  <c r="AE18" i="13"/>
  <c r="AE11" i="6"/>
  <c r="AE7" i="7"/>
  <c r="AD51" i="14"/>
  <c r="AE80" i="13"/>
  <c r="AE29" i="7"/>
  <c r="AD28" i="13"/>
  <c r="BL59" i="14"/>
  <c r="BO59" i="14" s="1"/>
  <c r="BL47" i="14"/>
  <c r="BO47" i="14" s="1"/>
  <c r="BL15" i="14"/>
  <c r="BO15" i="14" s="1"/>
  <c r="BL8" i="14"/>
  <c r="BO8" i="14" s="1"/>
  <c r="BL52" i="14"/>
  <c r="BO52" i="14" s="1"/>
  <c r="BL9" i="14"/>
  <c r="BO9" i="14" s="1"/>
  <c r="BL10" i="14"/>
  <c r="BO10" i="14" s="1"/>
  <c r="BL54" i="14"/>
  <c r="BO54" i="14" s="1"/>
  <c r="BL37" i="14"/>
  <c r="BO37" i="14" s="1"/>
  <c r="BL42" i="14"/>
  <c r="BO42" i="14" s="1"/>
  <c r="BL40" i="14"/>
  <c r="BO40" i="14" s="1"/>
  <c r="BL44" i="14"/>
  <c r="BO44" i="14" s="1"/>
  <c r="BL46" i="14"/>
  <c r="BO46" i="14" s="1"/>
  <c r="BL43" i="14"/>
  <c r="BO43" i="14" s="1"/>
  <c r="BL50" i="14"/>
  <c r="BO50" i="14" s="1"/>
  <c r="BL56" i="14"/>
  <c r="BO56" i="14" s="1"/>
  <c r="BL33" i="14"/>
  <c r="BO33" i="14" s="1"/>
  <c r="BL13" i="14"/>
  <c r="BO13" i="14" s="1"/>
  <c r="BL62" i="14"/>
  <c r="BO62" i="14" s="1"/>
  <c r="BL21" i="14"/>
  <c r="BO21" i="14" s="1"/>
  <c r="BL63" i="14"/>
  <c r="BO63" i="14" s="1"/>
  <c r="BL19" i="14"/>
  <c r="BO19" i="14" s="1"/>
  <c r="BL68" i="14"/>
  <c r="BO68" i="14" s="1"/>
  <c r="BL25" i="14"/>
  <c r="BO25" i="14" s="1"/>
  <c r="BL72" i="14"/>
  <c r="BO72" i="14" s="1"/>
  <c r="BL51" i="14"/>
  <c r="BO51" i="14" s="1"/>
  <c r="BL36" i="14"/>
  <c r="BO36" i="14" s="1"/>
  <c r="BL69" i="14"/>
  <c r="BO69" i="14" s="1"/>
  <c r="BL41" i="14"/>
  <c r="BO41" i="14" s="1"/>
  <c r="BL38" i="14"/>
  <c r="BO38" i="14" s="1"/>
  <c r="BL71" i="14"/>
  <c r="BO71" i="14" s="1"/>
  <c r="BL48" i="14"/>
  <c r="BO48" i="14" s="1"/>
  <c r="BL26" i="14"/>
  <c r="BO26" i="14" s="1"/>
  <c r="BL22" i="6"/>
  <c r="BL16" i="6"/>
  <c r="BL63" i="6"/>
  <c r="BL45" i="6"/>
  <c r="BL55" i="6"/>
  <c r="BL31" i="6"/>
  <c r="BL58" i="6"/>
  <c r="BL38" i="6"/>
  <c r="BL6" i="6"/>
  <c r="BL61" i="6"/>
  <c r="BL29" i="6"/>
  <c r="BL13" i="6"/>
  <c r="BL35" i="6"/>
  <c r="BL54" i="6"/>
  <c r="BL48" i="6"/>
  <c r="BL32" i="6"/>
  <c r="BL23" i="6"/>
  <c r="BL50" i="6"/>
  <c r="BL34" i="6"/>
  <c r="BL18" i="6"/>
  <c r="BL57" i="6"/>
  <c r="BL41" i="6"/>
  <c r="BL25" i="6"/>
  <c r="BL9" i="6"/>
  <c r="BL59" i="6"/>
  <c r="BL27" i="6"/>
  <c r="BL60" i="6"/>
  <c r="BL44" i="6"/>
  <c r="BL28" i="6"/>
  <c r="BL12" i="6"/>
  <c r="BL47" i="6"/>
  <c r="BL15" i="6"/>
  <c r="BL46" i="6"/>
  <c r="BL30" i="6"/>
  <c r="BL14" i="6"/>
  <c r="BL53" i="6"/>
  <c r="BL37" i="6"/>
  <c r="BL21" i="6"/>
  <c r="BL5" i="6"/>
  <c r="BL51" i="6"/>
  <c r="BL19" i="6"/>
  <c r="BL56" i="6"/>
  <c r="BL40" i="6"/>
  <c r="BL24" i="6"/>
  <c r="BL8" i="6"/>
  <c r="BL4" i="6"/>
  <c r="BL39" i="6"/>
  <c r="BL7" i="6"/>
  <c r="BL62" i="6"/>
  <c r="BL42" i="6"/>
  <c r="BL26" i="6"/>
  <c r="BL10" i="6"/>
  <c r="BL49" i="6"/>
  <c r="BL33" i="6"/>
  <c r="BL17" i="6"/>
  <c r="BL43" i="6"/>
  <c r="BL11" i="6"/>
  <c r="BL52" i="6"/>
  <c r="BL36" i="6"/>
  <c r="BL20" i="6"/>
  <c r="BP64" i="14"/>
  <c r="T48" i="14"/>
  <c r="U48" i="14" s="1"/>
  <c r="AP48" i="14" s="1"/>
  <c r="AQ48" i="14" s="1"/>
  <c r="T71" i="14"/>
  <c r="T25" i="14"/>
  <c r="T49" i="14"/>
  <c r="T26" i="14"/>
  <c r="T72" i="14"/>
  <c r="U4" i="6"/>
  <c r="AL29" i="6"/>
  <c r="AK43" i="6"/>
  <c r="AL60" i="6"/>
  <c r="AL13" i="6"/>
  <c r="AL23" i="6"/>
  <c r="AK21" i="6"/>
  <c r="AK20" i="6"/>
  <c r="AK42" i="6"/>
  <c r="AK11" i="6"/>
  <c r="AK61" i="6"/>
  <c r="AK33" i="6"/>
  <c r="AL19" i="6"/>
  <c r="AL62" i="6"/>
  <c r="AL22" i="6"/>
  <c r="AK63" i="6"/>
  <c r="AL10" i="6"/>
  <c r="AL52" i="6"/>
  <c r="AL40" i="6"/>
  <c r="AL39" i="6"/>
  <c r="AL31" i="6"/>
  <c r="T62" i="14"/>
  <c r="AI62" i="14" s="1"/>
  <c r="T44" i="14"/>
  <c r="T69" i="14"/>
  <c r="U69" i="14" s="1"/>
  <c r="AP69" i="14" s="1"/>
  <c r="AQ69" i="14" s="1"/>
  <c r="T15" i="14"/>
  <c r="AI15" i="14" s="1"/>
  <c r="T61" i="14"/>
  <c r="T45" i="14"/>
  <c r="T39" i="14"/>
  <c r="T43" i="14"/>
  <c r="T47" i="14"/>
  <c r="T64" i="14"/>
  <c r="X67" i="14"/>
  <c r="AC67" i="14"/>
  <c r="X64" i="14"/>
  <c r="AC64" i="14"/>
  <c r="X70" i="14"/>
  <c r="AC70" i="14"/>
  <c r="X45" i="14"/>
  <c r="AC45" i="14"/>
  <c r="X47" i="14"/>
  <c r="AC47" i="14"/>
  <c r="X42" i="14"/>
  <c r="AC42" i="14"/>
  <c r="T22" i="14"/>
  <c r="T41" i="14"/>
  <c r="T65" i="14"/>
  <c r="T68" i="14"/>
  <c r="T24" i="14"/>
  <c r="X38" i="14"/>
  <c r="AC38" i="14"/>
  <c r="X39" i="14"/>
  <c r="AC39" i="14"/>
  <c r="X43" i="14"/>
  <c r="AC43" i="14"/>
  <c r="T66" i="14"/>
  <c r="T17" i="14"/>
  <c r="T19" i="14"/>
  <c r="AC44" i="14"/>
  <c r="X44" i="14"/>
  <c r="AC65" i="14"/>
  <c r="X65" i="14"/>
  <c r="AC61" i="14"/>
  <c r="X61" i="14"/>
  <c r="X41" i="14"/>
  <c r="AC41" i="14"/>
  <c r="AC46" i="14"/>
  <c r="X46" i="14"/>
  <c r="T40" i="14"/>
  <c r="T20" i="14"/>
  <c r="T18" i="14"/>
  <c r="T38" i="14"/>
  <c r="T42" i="14"/>
  <c r="T46" i="14"/>
  <c r="T63" i="14"/>
  <c r="T67" i="14"/>
  <c r="T21" i="14"/>
  <c r="T70" i="14"/>
  <c r="T16" i="14"/>
  <c r="T23" i="14"/>
  <c r="AC69" i="14"/>
  <c r="X69" i="14"/>
  <c r="X62" i="14"/>
  <c r="AC62" i="14"/>
  <c r="AC66" i="14"/>
  <c r="X66" i="14"/>
  <c r="AC63" i="14"/>
  <c r="X63" i="14"/>
  <c r="AC68" i="14"/>
  <c r="X68" i="14"/>
  <c r="X40" i="14"/>
  <c r="AC40" i="14"/>
  <c r="X21" i="14"/>
  <c r="AC21" i="14"/>
  <c r="X23" i="14"/>
  <c r="AC23" i="14"/>
  <c r="AC17" i="14"/>
  <c r="X17" i="14"/>
  <c r="X22" i="14"/>
  <c r="AC22" i="14"/>
  <c r="AC18" i="14"/>
  <c r="X18" i="14"/>
  <c r="X19" i="14"/>
  <c r="AC19" i="14"/>
  <c r="X20" i="14"/>
  <c r="AC20" i="14"/>
  <c r="AC15" i="14"/>
  <c r="X15" i="14"/>
  <c r="X24" i="14"/>
  <c r="AC24" i="14"/>
  <c r="X16" i="14"/>
  <c r="AC16" i="14"/>
  <c r="U149" i="7"/>
  <c r="AI149" i="7" s="1"/>
  <c r="AJ149" i="7" s="1"/>
  <c r="AC17" i="13"/>
  <c r="X43" i="13"/>
  <c r="Y43" i="13" s="1"/>
  <c r="AD43" i="13"/>
  <c r="AD71" i="13"/>
  <c r="AC97" i="7"/>
  <c r="X97" i="7"/>
  <c r="X45" i="7"/>
  <c r="AC45" i="7"/>
  <c r="AC149" i="7"/>
  <c r="X149" i="7"/>
  <c r="AC57" i="14"/>
  <c r="U97" i="7"/>
  <c r="AI97" i="7" s="1"/>
  <c r="Z74" i="7"/>
  <c r="AA74" i="7" s="1"/>
  <c r="AB74" i="7" s="1"/>
  <c r="X36" i="7"/>
  <c r="T59" i="14"/>
  <c r="U59" i="14" s="1"/>
  <c r="AP59" i="14" s="1"/>
  <c r="AQ59" i="14" s="1"/>
  <c r="U45" i="7"/>
  <c r="AI45" i="7" s="1"/>
  <c r="AE52" i="14"/>
  <c r="X83" i="7"/>
  <c r="Y51" i="13"/>
  <c r="AA51" i="13" s="1"/>
  <c r="AB51" i="13" s="1"/>
  <c r="AC51" i="13"/>
  <c r="AE28" i="13"/>
  <c r="AC12" i="7"/>
  <c r="AD83" i="7"/>
  <c r="AC107" i="7"/>
  <c r="AC56" i="7"/>
  <c r="BP19" i="7"/>
  <c r="Y39" i="6"/>
  <c r="AA39" i="6" s="1"/>
  <c r="AB39" i="6" s="1"/>
  <c r="AC39" i="6"/>
  <c r="AD136" i="7"/>
  <c r="AC84" i="13"/>
  <c r="X72" i="7"/>
  <c r="T16" i="6"/>
  <c r="AI16" i="6" s="1"/>
  <c r="U16" i="6"/>
  <c r="T56" i="6"/>
  <c r="AI56" i="6" s="1"/>
  <c r="U56" i="6"/>
  <c r="T26" i="6"/>
  <c r="AI26" i="6" s="1"/>
  <c r="U26" i="6"/>
  <c r="T36" i="14"/>
  <c r="T60" i="14"/>
  <c r="T14" i="14"/>
  <c r="T37" i="14"/>
  <c r="T46" i="6"/>
  <c r="AI46" i="6" s="1"/>
  <c r="U46" i="6"/>
  <c r="T6" i="6"/>
  <c r="AI6" i="6" s="1"/>
  <c r="U6" i="6"/>
  <c r="T13" i="14"/>
  <c r="U36" i="6"/>
  <c r="T36" i="6"/>
  <c r="AI36" i="6" s="1"/>
  <c r="X108" i="7"/>
  <c r="X6" i="6"/>
  <c r="AC6" i="6"/>
  <c r="X26" i="6"/>
  <c r="AC26" i="6"/>
  <c r="X14" i="14"/>
  <c r="AC14" i="14"/>
  <c r="AC46" i="6"/>
  <c r="X46" i="6"/>
  <c r="X37" i="14"/>
  <c r="AC37" i="14"/>
  <c r="X36" i="6"/>
  <c r="AC36" i="6"/>
  <c r="X16" i="6"/>
  <c r="AC16" i="6"/>
  <c r="AC36" i="14"/>
  <c r="X36" i="14"/>
  <c r="AC59" i="14"/>
  <c r="X59" i="14"/>
  <c r="X13" i="14"/>
  <c r="AC13" i="14"/>
  <c r="AC56" i="6"/>
  <c r="X56" i="6"/>
  <c r="X60" i="14"/>
  <c r="AC60" i="14"/>
  <c r="AC6" i="7"/>
  <c r="Z38" i="7"/>
  <c r="AA38" i="7" s="1"/>
  <c r="AB38" i="7" s="1"/>
  <c r="Z84" i="13"/>
  <c r="AA84" i="13" s="1"/>
  <c r="AB84" i="13" s="1"/>
  <c r="Z94" i="7"/>
  <c r="AC35" i="14"/>
  <c r="AC77" i="13"/>
  <c r="AC32" i="7"/>
  <c r="Z74" i="13"/>
  <c r="Y84" i="7"/>
  <c r="AA84" i="7" s="1"/>
  <c r="AB84" i="7" s="1"/>
  <c r="AC94" i="7"/>
  <c r="AC46" i="7"/>
  <c r="X28" i="13"/>
  <c r="Y28" i="13" s="1"/>
  <c r="X120" i="7"/>
  <c r="Y7" i="6"/>
  <c r="AA7" i="6" s="1"/>
  <c r="AB7" i="6" s="1"/>
  <c r="X52" i="14"/>
  <c r="AC125" i="7"/>
  <c r="Y58" i="14"/>
  <c r="AA58" i="14" s="1"/>
  <c r="AB58" i="14" s="1"/>
  <c r="Z89" i="7"/>
  <c r="AE83" i="7"/>
  <c r="AC59" i="13"/>
  <c r="AC84" i="7"/>
  <c r="X91" i="13"/>
  <c r="Y91" i="13" s="1"/>
  <c r="X128" i="7"/>
  <c r="Z128" i="7" s="1"/>
  <c r="Z125" i="7"/>
  <c r="AA125" i="7" s="1"/>
  <c r="AB125" i="7" s="1"/>
  <c r="AC129" i="7"/>
  <c r="AC58" i="14"/>
  <c r="X147" i="7"/>
  <c r="Y147" i="7" s="1"/>
  <c r="AC65" i="13"/>
  <c r="X93" i="13"/>
  <c r="Y93" i="13" s="1"/>
  <c r="AE128" i="7"/>
  <c r="X29" i="7"/>
  <c r="Z29" i="7" s="1"/>
  <c r="Z34" i="13"/>
  <c r="Z141" i="7"/>
  <c r="X80" i="13"/>
  <c r="Y74" i="13"/>
  <c r="AE136" i="7"/>
  <c r="AC85" i="13"/>
  <c r="AC20" i="13"/>
  <c r="Y53" i="6"/>
  <c r="AA53" i="6" s="1"/>
  <c r="AB53" i="6" s="1"/>
  <c r="X71" i="13"/>
  <c r="Y71" i="13" s="1"/>
  <c r="AC76" i="13"/>
  <c r="Z9" i="7"/>
  <c r="AA9" i="7" s="1"/>
  <c r="AB9" i="7" s="1"/>
  <c r="Z57" i="14"/>
  <c r="AA57" i="14" s="1"/>
  <c r="AB57" i="14" s="1"/>
  <c r="Y34" i="13"/>
  <c r="Y17" i="13"/>
  <c r="AA17" i="13" s="1"/>
  <c r="AB17" i="13" s="1"/>
  <c r="Y89" i="7"/>
  <c r="AD29" i="7"/>
  <c r="X61" i="7"/>
  <c r="Z61" i="7" s="1"/>
  <c r="AE108" i="7"/>
  <c r="AD25" i="7"/>
  <c r="AC9" i="7"/>
  <c r="X36" i="13"/>
  <c r="Z76" i="13"/>
  <c r="AA76" i="13" s="1"/>
  <c r="AB76" i="13" s="1"/>
  <c r="X136" i="7"/>
  <c r="AC7" i="6"/>
  <c r="AC115" i="7"/>
  <c r="X49" i="13"/>
  <c r="X22" i="13"/>
  <c r="Y22" i="13" s="1"/>
  <c r="Z56" i="7"/>
  <c r="AC89" i="7"/>
  <c r="Y64" i="7"/>
  <c r="AA64" i="7" s="1"/>
  <c r="AB64" i="7" s="1"/>
  <c r="AC57" i="7"/>
  <c r="X18" i="13"/>
  <c r="Y18" i="13" s="1"/>
  <c r="AC34" i="13"/>
  <c r="AE25" i="7"/>
  <c r="AC74" i="13"/>
  <c r="AC52" i="13"/>
  <c r="X5" i="14"/>
  <c r="Z5" i="14" s="1"/>
  <c r="Y14" i="7"/>
  <c r="AA14" i="7" s="1"/>
  <c r="AB14" i="7" s="1"/>
  <c r="BP156" i="7"/>
  <c r="BP118" i="7"/>
  <c r="BP107" i="7"/>
  <c r="BP48" i="7"/>
  <c r="BP143" i="7"/>
  <c r="BP89" i="7"/>
  <c r="BP33" i="13"/>
  <c r="BP54" i="13"/>
  <c r="BP70" i="13"/>
  <c r="BP86" i="13"/>
  <c r="X33" i="14"/>
  <c r="X91" i="7"/>
  <c r="Y91" i="7" s="1"/>
  <c r="BP23" i="7"/>
  <c r="BP105" i="7"/>
  <c r="BP37" i="7"/>
  <c r="BP51" i="7"/>
  <c r="BP85" i="13"/>
  <c r="BP8" i="13"/>
  <c r="BP10" i="13"/>
  <c r="BP58" i="13"/>
  <c r="BP74" i="13"/>
  <c r="BP90" i="13"/>
  <c r="BP41" i="7"/>
  <c r="BP155" i="7"/>
  <c r="BP147" i="7"/>
  <c r="BP93" i="7"/>
  <c r="BP69" i="13"/>
  <c r="BP35" i="13"/>
  <c r="BP51" i="13"/>
  <c r="X30" i="14"/>
  <c r="X86" i="13"/>
  <c r="Z86" i="13" s="1"/>
  <c r="BP126" i="7"/>
  <c r="BP27" i="7"/>
  <c r="BP42" i="7"/>
  <c r="BP159" i="7"/>
  <c r="BP50" i="13"/>
  <c r="BP66" i="13"/>
  <c r="X52" i="6"/>
  <c r="Y52" i="6" s="1"/>
  <c r="AC35" i="6"/>
  <c r="X27" i="6"/>
  <c r="Z27" i="6" s="1"/>
  <c r="Z150" i="7"/>
  <c r="AC42" i="7"/>
  <c r="AC38" i="7"/>
  <c r="Y118" i="7"/>
  <c r="AA118" i="7" s="1"/>
  <c r="AB118" i="7" s="1"/>
  <c r="Z41" i="7"/>
  <c r="AA41" i="7" s="1"/>
  <c r="AB41" i="7" s="1"/>
  <c r="Y56" i="7"/>
  <c r="AC143" i="7"/>
  <c r="AC64" i="7"/>
  <c r="Y32" i="7"/>
  <c r="AA32" i="7" s="1"/>
  <c r="AB32" i="7" s="1"/>
  <c r="Y107" i="7"/>
  <c r="AA107" i="7" s="1"/>
  <c r="AB107" i="7" s="1"/>
  <c r="Y141" i="7"/>
  <c r="Y115" i="7"/>
  <c r="AA115" i="7" s="1"/>
  <c r="AB115" i="7" s="1"/>
  <c r="Y46" i="7"/>
  <c r="AA46" i="7" s="1"/>
  <c r="AB46" i="7" s="1"/>
  <c r="AC101" i="7"/>
  <c r="X43" i="7"/>
  <c r="Z43" i="7" s="1"/>
  <c r="X25" i="7"/>
  <c r="X134" i="7"/>
  <c r="Z134" i="7" s="1"/>
  <c r="X7" i="7"/>
  <c r="X53" i="7"/>
  <c r="AC55" i="7"/>
  <c r="AD108" i="7"/>
  <c r="AC156" i="7"/>
  <c r="Y143" i="7"/>
  <c r="AA143" i="7" s="1"/>
  <c r="AB143" i="7" s="1"/>
  <c r="X30" i="7"/>
  <c r="X80" i="7"/>
  <c r="X13" i="7"/>
  <c r="X15" i="7"/>
  <c r="Z15" i="7" s="1"/>
  <c r="Z68" i="7"/>
  <c r="AA68" i="7" s="1"/>
  <c r="AB68" i="7" s="1"/>
  <c r="Y156" i="7"/>
  <c r="AA156" i="7" s="1"/>
  <c r="AB156" i="7" s="1"/>
  <c r="X152" i="7"/>
  <c r="Y152" i="7" s="1"/>
  <c r="X62" i="6"/>
  <c r="Z62" i="6" s="1"/>
  <c r="AC74" i="7"/>
  <c r="Z52" i="13"/>
  <c r="Y52" i="13"/>
  <c r="Z62" i="13"/>
  <c r="AA62" i="13" s="1"/>
  <c r="AB62" i="13" s="1"/>
  <c r="Y63" i="13"/>
  <c r="AA63" i="13" s="1"/>
  <c r="AB63" i="13" s="1"/>
  <c r="Y158" i="7"/>
  <c r="AA158" i="7" s="1"/>
  <c r="AB158" i="7" s="1"/>
  <c r="Y94" i="7"/>
  <c r="AC88" i="7"/>
  <c r="AC45" i="6"/>
  <c r="AC57" i="6"/>
  <c r="AC9" i="6"/>
  <c r="U36" i="7"/>
  <c r="AI36" i="7" s="1"/>
  <c r="AP36" i="7" s="1"/>
  <c r="AQ36" i="7" s="1"/>
  <c r="AR36" i="7" s="1"/>
  <c r="AC14" i="7"/>
  <c r="AC141" i="7"/>
  <c r="X8" i="13"/>
  <c r="X8" i="14"/>
  <c r="Y8" i="14" s="1"/>
  <c r="AC150" i="7"/>
  <c r="X51" i="14"/>
  <c r="Y51" i="14" s="1"/>
  <c r="X81" i="7"/>
  <c r="Y81" i="7" s="1"/>
  <c r="X31" i="7"/>
  <c r="Z31" i="7" s="1"/>
  <c r="AD36" i="13"/>
  <c r="Y150" i="7"/>
  <c r="Z88" i="7"/>
  <c r="AA88" i="7" s="1"/>
  <c r="AB88" i="7" s="1"/>
  <c r="X4" i="13"/>
  <c r="AC25" i="13"/>
  <c r="AC132" i="7"/>
  <c r="X60" i="7"/>
  <c r="Y60" i="7" s="1"/>
  <c r="X33" i="13"/>
  <c r="AC93" i="7"/>
  <c r="AC118" i="7"/>
  <c r="AC158" i="7"/>
  <c r="X58" i="7"/>
  <c r="X48" i="13"/>
  <c r="AC68" i="7"/>
  <c r="X15" i="13"/>
  <c r="X54" i="14"/>
  <c r="Y54" i="14" s="1"/>
  <c r="AC62" i="13"/>
  <c r="AC4" i="14"/>
  <c r="Y21" i="7"/>
  <c r="AA21" i="7" s="1"/>
  <c r="AB21" i="7" s="1"/>
  <c r="Z23" i="7"/>
  <c r="AA23" i="7" s="1"/>
  <c r="AB23" i="7" s="1"/>
  <c r="Z6" i="7"/>
  <c r="AA6" i="7" s="1"/>
  <c r="AB6" i="7" s="1"/>
  <c r="AC63" i="13"/>
  <c r="AC23" i="7"/>
  <c r="AC41" i="7"/>
  <c r="X27" i="13"/>
  <c r="X65" i="7"/>
  <c r="Z21" i="6"/>
  <c r="AA21" i="6" s="1"/>
  <c r="AB21" i="6" s="1"/>
  <c r="AC47" i="6"/>
  <c r="AC21" i="6"/>
  <c r="Z8" i="6"/>
  <c r="AA8" i="6" s="1"/>
  <c r="AB8" i="6" s="1"/>
  <c r="AC8" i="6"/>
  <c r="AC33" i="6"/>
  <c r="X44" i="6"/>
  <c r="Z44" i="6" s="1"/>
  <c r="X32" i="6"/>
  <c r="X17" i="6"/>
  <c r="X29" i="6"/>
  <c r="Y29" i="6" s="1"/>
  <c r="Y45" i="6"/>
  <c r="AA45" i="6" s="1"/>
  <c r="AB45" i="6" s="1"/>
  <c r="X12" i="6"/>
  <c r="AC53" i="6"/>
  <c r="X28" i="6"/>
  <c r="Z28" i="6" s="1"/>
  <c r="X48" i="6"/>
  <c r="X10" i="6"/>
  <c r="AC43" i="6"/>
  <c r="AC50" i="6"/>
  <c r="X11" i="6"/>
  <c r="AD48" i="6"/>
  <c r="AL63" i="6"/>
  <c r="T25" i="6"/>
  <c r="AI25" i="6" s="1"/>
  <c r="AL42" i="6"/>
  <c r="U124" i="7"/>
  <c r="AI124" i="7" s="1"/>
  <c r="U51" i="7"/>
  <c r="AI51" i="7" s="1"/>
  <c r="AP51" i="7" s="1"/>
  <c r="AQ51" i="7" s="1"/>
  <c r="AR51" i="7" s="1"/>
  <c r="U100" i="7"/>
  <c r="AI100" i="7" s="1"/>
  <c r="AK100" i="7" s="1"/>
  <c r="AK40" i="6"/>
  <c r="AL41" i="6"/>
  <c r="AL21" i="6"/>
  <c r="AK49" i="6"/>
  <c r="U54" i="7"/>
  <c r="AI54" i="7" s="1"/>
  <c r="U13" i="6"/>
  <c r="AL49" i="6"/>
  <c r="U23" i="6"/>
  <c r="U45" i="6"/>
  <c r="AK52" i="6"/>
  <c r="U10" i="6"/>
  <c r="U40" i="6"/>
  <c r="U9" i="6"/>
  <c r="T33" i="6"/>
  <c r="U39" i="7"/>
  <c r="AI39" i="7" s="1"/>
  <c r="AP39" i="7" s="1"/>
  <c r="AQ39" i="7" s="1"/>
  <c r="AR39" i="7" s="1"/>
  <c r="AK13" i="6"/>
  <c r="U19" i="7"/>
  <c r="AI19" i="7" s="1"/>
  <c r="AK60" i="6"/>
  <c r="AK50" i="6"/>
  <c r="U21" i="6"/>
  <c r="T15" i="6"/>
  <c r="AI15" i="6" s="1"/>
  <c r="U7" i="7"/>
  <c r="AI7" i="7" s="1"/>
  <c r="AK7" i="7" s="1"/>
  <c r="U30" i="6"/>
  <c r="U44" i="13"/>
  <c r="AI44" i="13" s="1"/>
  <c r="AK44" i="13" s="1"/>
  <c r="U115" i="7"/>
  <c r="AI115" i="7" s="1"/>
  <c r="AJ115" i="7" s="1"/>
  <c r="U26" i="13"/>
  <c r="AI26" i="13" s="1"/>
  <c r="T40" i="6"/>
  <c r="U33" i="6"/>
  <c r="U24" i="7"/>
  <c r="AI24" i="7" s="1"/>
  <c r="AJ24" i="7" s="1"/>
  <c r="U10" i="7"/>
  <c r="AI10" i="7" s="1"/>
  <c r="AK10" i="7" s="1"/>
  <c r="U91" i="7"/>
  <c r="AI91" i="7" s="1"/>
  <c r="AK91" i="7" s="1"/>
  <c r="AL50" i="6"/>
  <c r="AL33" i="6"/>
  <c r="U4" i="7"/>
  <c r="AI4" i="7" s="1"/>
  <c r="AP4" i="7" s="1"/>
  <c r="AQ4" i="7" s="1"/>
  <c r="AR4" i="7" s="1"/>
  <c r="T63" i="6"/>
  <c r="T9" i="6"/>
  <c r="U159" i="7"/>
  <c r="AI159" i="7" s="1"/>
  <c r="AP159" i="7" s="1"/>
  <c r="AQ159" i="7" s="1"/>
  <c r="AR159" i="7" s="1"/>
  <c r="U52" i="7"/>
  <c r="AI52" i="7" s="1"/>
  <c r="AP52" i="7" s="1"/>
  <c r="AQ52" i="7" s="1"/>
  <c r="AR52" i="7" s="1"/>
  <c r="U119" i="7"/>
  <c r="AI119" i="7" s="1"/>
  <c r="AK119" i="7" s="1"/>
  <c r="U114" i="7"/>
  <c r="AI114" i="7" s="1"/>
  <c r="AP114" i="7" s="1"/>
  <c r="AQ114" i="7" s="1"/>
  <c r="AR114" i="7" s="1"/>
  <c r="U92" i="7"/>
  <c r="AI92" i="7" s="1"/>
  <c r="AJ92" i="7" s="1"/>
  <c r="U47" i="6"/>
  <c r="U27" i="7"/>
  <c r="AI27" i="7" s="1"/>
  <c r="AJ27" i="7" s="1"/>
  <c r="U8" i="7"/>
  <c r="AI8" i="7" s="1"/>
  <c r="AJ8" i="7" s="1"/>
  <c r="U51" i="6"/>
  <c r="T54" i="6"/>
  <c r="AI54" i="6" s="1"/>
  <c r="U60" i="7"/>
  <c r="AI60" i="7" s="1"/>
  <c r="AJ60" i="7" s="1"/>
  <c r="U35" i="7"/>
  <c r="AI35" i="7" s="1"/>
  <c r="AK35" i="7" s="1"/>
  <c r="U22" i="7"/>
  <c r="AI22" i="7" s="1"/>
  <c r="T52" i="6"/>
  <c r="U21" i="13"/>
  <c r="AI21" i="13" s="1"/>
  <c r="AK21" i="13" s="1"/>
  <c r="U60" i="6"/>
  <c r="T23" i="6"/>
  <c r="U83" i="7"/>
  <c r="AI83" i="7" s="1"/>
  <c r="AJ83" i="7" s="1"/>
  <c r="U148" i="7"/>
  <c r="AI148" i="7" s="1"/>
  <c r="T47" i="6"/>
  <c r="AI47" i="6" s="1"/>
  <c r="T10" i="6"/>
  <c r="U29" i="6"/>
  <c r="T51" i="6"/>
  <c r="U50" i="6"/>
  <c r="AK41" i="6"/>
  <c r="AL9" i="6"/>
  <c r="T62" i="6"/>
  <c r="U42" i="6"/>
  <c r="T5" i="6"/>
  <c r="AI5" i="6" s="1"/>
  <c r="T41" i="6"/>
  <c r="U105" i="7"/>
  <c r="AI105" i="7" s="1"/>
  <c r="AP105" i="7" s="1"/>
  <c r="AQ105" i="7" s="1"/>
  <c r="U65" i="7"/>
  <c r="AI65" i="7" s="1"/>
  <c r="AK65" i="7" s="1"/>
  <c r="U6" i="13"/>
  <c r="AI6" i="13" s="1"/>
  <c r="AP6" i="13" s="1"/>
  <c r="AQ6" i="13" s="1"/>
  <c r="AR6" i="13" s="1"/>
  <c r="T13" i="6"/>
  <c r="U121" i="7"/>
  <c r="AI121" i="7" s="1"/>
  <c r="AP121" i="7" s="1"/>
  <c r="AQ121" i="7" s="1"/>
  <c r="U77" i="7"/>
  <c r="AI77" i="7" s="1"/>
  <c r="AJ77" i="7" s="1"/>
  <c r="U98" i="7"/>
  <c r="AI98" i="7" s="1"/>
  <c r="AP98" i="7" s="1"/>
  <c r="AQ98" i="7" s="1"/>
  <c r="T61" i="6"/>
  <c r="U31" i="6"/>
  <c r="U18" i="7"/>
  <c r="AI18" i="7" s="1"/>
  <c r="AK9" i="6"/>
  <c r="AK62" i="6"/>
  <c r="AK23" i="6"/>
  <c r="T21" i="6"/>
  <c r="U34" i="6"/>
  <c r="U39" i="6"/>
  <c r="U18" i="6"/>
  <c r="U23" i="7"/>
  <c r="AI23" i="7" s="1"/>
  <c r="AK12" i="6"/>
  <c r="AK31" i="6"/>
  <c r="AL11" i="6"/>
  <c r="AK51" i="6"/>
  <c r="AL59" i="6"/>
  <c r="AL51" i="6"/>
  <c r="AL61" i="6"/>
  <c r="AK32" i="6"/>
  <c r="AK10" i="6"/>
  <c r="AL32" i="6"/>
  <c r="AK39" i="6"/>
  <c r="AD30" i="7"/>
  <c r="AD147" i="7"/>
  <c r="AE15" i="7"/>
  <c r="AD5" i="14"/>
  <c r="AD80" i="7"/>
  <c r="AD8" i="13"/>
  <c r="AD81" i="7"/>
  <c r="AD7" i="7"/>
  <c r="AD134" i="7"/>
  <c r="AE80" i="7"/>
  <c r="AE5" i="14"/>
  <c r="AD15" i="13"/>
  <c r="AE43" i="7"/>
  <c r="AD65" i="7"/>
  <c r="AE51" i="14"/>
  <c r="AD48" i="13"/>
  <c r="AD80" i="13"/>
  <c r="AE48" i="13"/>
  <c r="AD49" i="13"/>
  <c r="AD11" i="6"/>
  <c r="AD54" i="14"/>
  <c r="AE93" i="13"/>
  <c r="AE58" i="7"/>
  <c r="AD8" i="14"/>
  <c r="AE8" i="14"/>
  <c r="AE22" i="13"/>
  <c r="AD58" i="7"/>
  <c r="AD12" i="6"/>
  <c r="AE120" i="7"/>
  <c r="AE91" i="13"/>
  <c r="AD22" i="13"/>
  <c r="AD36" i="7"/>
  <c r="AD27" i="13"/>
  <c r="AE54" i="14"/>
  <c r="AD31" i="7"/>
  <c r="U15" i="6"/>
  <c r="U61" i="6"/>
  <c r="U26" i="7"/>
  <c r="AI26" i="7" s="1"/>
  <c r="AP26" i="7" s="1"/>
  <c r="AQ26" i="7" s="1"/>
  <c r="U130" i="7"/>
  <c r="AI130" i="7" s="1"/>
  <c r="AP130" i="7" s="1"/>
  <c r="AQ130" i="7" s="1"/>
  <c r="AR130" i="7" s="1"/>
  <c r="U43" i="6"/>
  <c r="U7" i="13"/>
  <c r="AI7" i="13" s="1"/>
  <c r="AP7" i="13" s="1"/>
  <c r="AQ7" i="13" s="1"/>
  <c r="AR7" i="13" s="1"/>
  <c r="AL12" i="6"/>
  <c r="AK59" i="6"/>
  <c r="AK22" i="6"/>
  <c r="U54" i="6"/>
  <c r="U77" i="13"/>
  <c r="AI77" i="13" s="1"/>
  <c r="T45" i="6"/>
  <c r="AI45" i="6" s="1"/>
  <c r="U50" i="13"/>
  <c r="AI50" i="13" s="1"/>
  <c r="AK50" i="13" s="1"/>
  <c r="U16" i="7"/>
  <c r="AI16" i="7" s="1"/>
  <c r="AP16" i="7" s="1"/>
  <c r="AQ16" i="7" s="1"/>
  <c r="U133" i="7"/>
  <c r="AI133" i="7" s="1"/>
  <c r="AJ133" i="7" s="1"/>
  <c r="U20" i="13"/>
  <c r="AI20" i="13" s="1"/>
  <c r="AP20" i="13" s="1"/>
  <c r="AQ20" i="13" s="1"/>
  <c r="AR20" i="13" s="1"/>
  <c r="T19" i="6"/>
  <c r="U74" i="7"/>
  <c r="AI74" i="7" s="1"/>
  <c r="AP74" i="7" s="1"/>
  <c r="AQ74" i="7" s="1"/>
  <c r="U66" i="7"/>
  <c r="AI66" i="7" s="1"/>
  <c r="AK66" i="7" s="1"/>
  <c r="T29" i="14"/>
  <c r="U29" i="14" s="1"/>
  <c r="AP29" i="14" s="1"/>
  <c r="AQ29" i="14" s="1"/>
  <c r="U49" i="13"/>
  <c r="AI49" i="13" s="1"/>
  <c r="AP49" i="13" s="1"/>
  <c r="AQ49" i="13" s="1"/>
  <c r="AR49" i="13" s="1"/>
  <c r="U38" i="7"/>
  <c r="AI38" i="7" s="1"/>
  <c r="AP38" i="7" s="1"/>
  <c r="AQ38" i="7" s="1"/>
  <c r="U156" i="7"/>
  <c r="AI156" i="7" s="1"/>
  <c r="AP156" i="7" s="1"/>
  <c r="AQ156" i="7" s="1"/>
  <c r="T60" i="6"/>
  <c r="U78" i="7"/>
  <c r="AI78" i="7" s="1"/>
  <c r="AJ78" i="7" s="1"/>
  <c r="U49" i="6"/>
  <c r="U75" i="13"/>
  <c r="AI75" i="13" s="1"/>
  <c r="AD120" i="7"/>
  <c r="U113" i="7"/>
  <c r="AI113" i="7" s="1"/>
  <c r="AK113" i="7" s="1"/>
  <c r="AE86" i="13"/>
  <c r="AD86" i="13"/>
  <c r="Y5" i="6"/>
  <c r="AA5" i="6" s="1"/>
  <c r="AB5" i="6" s="1"/>
  <c r="U110" i="7"/>
  <c r="AI110" i="7" s="1"/>
  <c r="AK110" i="7" s="1"/>
  <c r="Y42" i="6"/>
  <c r="AA42" i="6" s="1"/>
  <c r="AB42" i="6" s="1"/>
  <c r="X124" i="7"/>
  <c r="AC124" i="7"/>
  <c r="Y30" i="6"/>
  <c r="AA30" i="6" s="1"/>
  <c r="AB30" i="6" s="1"/>
  <c r="U13" i="7"/>
  <c r="AI13" i="7" s="1"/>
  <c r="AP13" i="7" s="1"/>
  <c r="AQ13" i="7" s="1"/>
  <c r="AR13" i="7" s="1"/>
  <c r="X11" i="14"/>
  <c r="AC11" i="14"/>
  <c r="AC40" i="7"/>
  <c r="X40" i="7"/>
  <c r="X48" i="7"/>
  <c r="AC48" i="7"/>
  <c r="AC50" i="7"/>
  <c r="X50" i="7"/>
  <c r="U28" i="6"/>
  <c r="X4" i="7"/>
  <c r="AC4" i="7"/>
  <c r="X30" i="13"/>
  <c r="AC30" i="13"/>
  <c r="X54" i="6"/>
  <c r="Y54" i="6" s="1"/>
  <c r="AE54" i="6"/>
  <c r="AD29" i="6"/>
  <c r="AE29" i="6"/>
  <c r="AE152" i="7"/>
  <c r="AC32" i="14"/>
  <c r="X32" i="14"/>
  <c r="X68" i="13"/>
  <c r="AC68" i="13"/>
  <c r="X29" i="13"/>
  <c r="AC29" i="13"/>
  <c r="AC146" i="7"/>
  <c r="X146" i="7"/>
  <c r="AC52" i="7"/>
  <c r="X52" i="7"/>
  <c r="AC54" i="13"/>
  <c r="X54" i="13"/>
  <c r="X11" i="13"/>
  <c r="AC11" i="13"/>
  <c r="AC117" i="7"/>
  <c r="X117" i="7"/>
  <c r="X155" i="7"/>
  <c r="AC155" i="7"/>
  <c r="AC63" i="6"/>
  <c r="Z59" i="13"/>
  <c r="Z4" i="14"/>
  <c r="AA4" i="14" s="1"/>
  <c r="AB4" i="14" s="1"/>
  <c r="Z137" i="7"/>
  <c r="AA137" i="7" s="1"/>
  <c r="AB137" i="7" s="1"/>
  <c r="AC109" i="7"/>
  <c r="AC10" i="14"/>
  <c r="X19" i="7"/>
  <c r="AC19" i="7"/>
  <c r="AC10" i="7"/>
  <c r="X10" i="7"/>
  <c r="AC55" i="14"/>
  <c r="X55" i="14"/>
  <c r="AC60" i="13"/>
  <c r="X60" i="13"/>
  <c r="X44" i="13"/>
  <c r="AC44" i="13"/>
  <c r="AC85" i="7"/>
  <c r="X85" i="7"/>
  <c r="AC116" i="7"/>
  <c r="X116" i="7"/>
  <c r="AC54" i="7"/>
  <c r="X54" i="7"/>
  <c r="X37" i="7"/>
  <c r="AC37" i="7"/>
  <c r="AC20" i="7"/>
  <c r="X20" i="7"/>
  <c r="AC31" i="14"/>
  <c r="X31" i="14"/>
  <c r="AC56" i="13"/>
  <c r="X56" i="13"/>
  <c r="X37" i="13"/>
  <c r="AC37" i="13"/>
  <c r="X41" i="13"/>
  <c r="AC41" i="13"/>
  <c r="AC79" i="13"/>
  <c r="X79" i="13"/>
  <c r="X23" i="13"/>
  <c r="AC23" i="13"/>
  <c r="AC13" i="13"/>
  <c r="X13" i="13"/>
  <c r="AC77" i="7"/>
  <c r="X77" i="7"/>
  <c r="X90" i="7"/>
  <c r="AC90" i="7"/>
  <c r="X112" i="7"/>
  <c r="AC112" i="7"/>
  <c r="AC159" i="7"/>
  <c r="X159" i="7"/>
  <c r="X131" i="7"/>
  <c r="AC131" i="7"/>
  <c r="AC103" i="7"/>
  <c r="X103" i="7"/>
  <c r="AC24" i="7"/>
  <c r="X24" i="7"/>
  <c r="AC51" i="7"/>
  <c r="X51" i="7"/>
  <c r="AC39" i="7"/>
  <c r="X39" i="7"/>
  <c r="X27" i="14"/>
  <c r="AC27" i="14"/>
  <c r="X90" i="13"/>
  <c r="AC90" i="13"/>
  <c r="X75" i="13"/>
  <c r="AC75" i="13"/>
  <c r="X72" i="13"/>
  <c r="AC72" i="13"/>
  <c r="X88" i="13"/>
  <c r="AC88" i="13"/>
  <c r="AC21" i="13"/>
  <c r="X21" i="13"/>
  <c r="AC148" i="7"/>
  <c r="X148" i="7"/>
  <c r="X145" i="7"/>
  <c r="AC145" i="7"/>
  <c r="X139" i="7"/>
  <c r="AC139" i="7"/>
  <c r="X100" i="7"/>
  <c r="AC100" i="7"/>
  <c r="X144" i="7"/>
  <c r="AC144" i="7"/>
  <c r="AC105" i="7"/>
  <c r="X105" i="7"/>
  <c r="X75" i="7"/>
  <c r="AC75" i="7"/>
  <c r="X49" i="7"/>
  <c r="AC49" i="7"/>
  <c r="X17" i="7"/>
  <c r="AC17" i="7"/>
  <c r="X8" i="7"/>
  <c r="AC8" i="7"/>
  <c r="AC33" i="7"/>
  <c r="X33" i="7"/>
  <c r="AC92" i="7"/>
  <c r="X92" i="7"/>
  <c r="X28" i="14"/>
  <c r="AC28" i="14"/>
  <c r="X53" i="13"/>
  <c r="AC53" i="13"/>
  <c r="X98" i="7"/>
  <c r="AC98" i="7"/>
  <c r="AC82" i="7"/>
  <c r="X82" i="7"/>
  <c r="X39" i="13"/>
  <c r="AC39" i="13"/>
  <c r="AC70" i="13"/>
  <c r="X70" i="13"/>
  <c r="AC140" i="7"/>
  <c r="X140" i="7"/>
  <c r="X106" i="7"/>
  <c r="AC106" i="7"/>
  <c r="AC96" i="7"/>
  <c r="X96" i="7"/>
  <c r="X16" i="7"/>
  <c r="AC16" i="7"/>
  <c r="Z20" i="6"/>
  <c r="AA20" i="6" s="1"/>
  <c r="AB20" i="6" s="1"/>
  <c r="AE49" i="6"/>
  <c r="AC26" i="7"/>
  <c r="Y26" i="7"/>
  <c r="AA26" i="7" s="1"/>
  <c r="AB26" i="7" s="1"/>
  <c r="AC83" i="13"/>
  <c r="AC113" i="7"/>
  <c r="AC18" i="7"/>
  <c r="X18" i="7"/>
  <c r="AC89" i="13"/>
  <c r="X89" i="13"/>
  <c r="AC87" i="13"/>
  <c r="X87" i="13"/>
  <c r="AC24" i="13"/>
  <c r="X24" i="13"/>
  <c r="AE4" i="13"/>
  <c r="X111" i="7"/>
  <c r="AC111" i="7"/>
  <c r="X63" i="7"/>
  <c r="AC63" i="7"/>
  <c r="X34" i="7"/>
  <c r="AC34" i="7"/>
  <c r="X50" i="14"/>
  <c r="AC50" i="14"/>
  <c r="X82" i="13"/>
  <c r="AC82" i="13"/>
  <c r="X92" i="13"/>
  <c r="AC92" i="13"/>
  <c r="AC61" i="13"/>
  <c r="X61" i="13"/>
  <c r="AC81" i="13"/>
  <c r="X81" i="13"/>
  <c r="X10" i="13"/>
  <c r="AC10" i="13"/>
  <c r="X26" i="13"/>
  <c r="AC26" i="13"/>
  <c r="AC62" i="7"/>
  <c r="X62" i="7"/>
  <c r="X86" i="7"/>
  <c r="AC86" i="7"/>
  <c r="X154" i="7"/>
  <c r="AC154" i="7"/>
  <c r="X126" i="7"/>
  <c r="AC126" i="7"/>
  <c r="X73" i="7"/>
  <c r="AC73" i="7"/>
  <c r="AC95" i="7"/>
  <c r="X95" i="7"/>
  <c r="AC27" i="7"/>
  <c r="X27" i="7"/>
  <c r="X56" i="14"/>
  <c r="AC56" i="14"/>
  <c r="AC12" i="14"/>
  <c r="X12" i="14"/>
  <c r="AC58" i="13"/>
  <c r="X58" i="13"/>
  <c r="AC47" i="13"/>
  <c r="X47" i="13"/>
  <c r="X45" i="13"/>
  <c r="AC45" i="13"/>
  <c r="X9" i="13"/>
  <c r="AC9" i="13"/>
  <c r="AC7" i="13"/>
  <c r="X7" i="13"/>
  <c r="X67" i="7"/>
  <c r="AC67" i="7"/>
  <c r="X119" i="7"/>
  <c r="AC119" i="7"/>
  <c r="AC121" i="7"/>
  <c r="X121" i="7"/>
  <c r="X104" i="7"/>
  <c r="AC104" i="7"/>
  <c r="X114" i="7"/>
  <c r="AC114" i="7"/>
  <c r="X122" i="7"/>
  <c r="AC122" i="7"/>
  <c r="AC6" i="14"/>
  <c r="X6" i="14"/>
  <c r="X73" i="13"/>
  <c r="AC73" i="13"/>
  <c r="AC67" i="13"/>
  <c r="X67" i="13"/>
  <c r="X22" i="7"/>
  <c r="AC22" i="7"/>
  <c r="AC28" i="7"/>
  <c r="X28" i="7"/>
  <c r="AC46" i="13"/>
  <c r="X46" i="13"/>
  <c r="X16" i="13"/>
  <c r="AC16" i="13"/>
  <c r="X130" i="7"/>
  <c r="AC130" i="7"/>
  <c r="AC59" i="7"/>
  <c r="X59" i="7"/>
  <c r="X99" i="7"/>
  <c r="AC99" i="7"/>
  <c r="X110" i="7"/>
  <c r="AC110" i="7"/>
  <c r="X34" i="14"/>
  <c r="AC34" i="14"/>
  <c r="X57" i="13"/>
  <c r="AC57" i="13"/>
  <c r="X31" i="13"/>
  <c r="AC31" i="13"/>
  <c r="AC69" i="7"/>
  <c r="X69" i="7"/>
  <c r="AE40" i="6"/>
  <c r="AC20" i="6"/>
  <c r="Y59" i="13"/>
  <c r="AC21" i="7"/>
  <c r="AC137" i="7"/>
  <c r="AC44" i="7"/>
  <c r="X44" i="7"/>
  <c r="X42" i="13"/>
  <c r="AC42" i="13"/>
  <c r="X50" i="13"/>
  <c r="AC50" i="13"/>
  <c r="AC19" i="13"/>
  <c r="X19" i="13"/>
  <c r="X5" i="13"/>
  <c r="AC5" i="13"/>
  <c r="AC127" i="7"/>
  <c r="X127" i="7"/>
  <c r="AC138" i="7"/>
  <c r="X138" i="7"/>
  <c r="X66" i="7"/>
  <c r="AC66" i="7"/>
  <c r="AC70" i="7"/>
  <c r="X70" i="7"/>
  <c r="AC79" i="7"/>
  <c r="X79" i="7"/>
  <c r="AC9" i="14"/>
  <c r="X9" i="14"/>
  <c r="AC11" i="7"/>
  <c r="X11" i="7"/>
  <c r="X29" i="14"/>
  <c r="AC29" i="14"/>
  <c r="AC66" i="13"/>
  <c r="X66" i="13"/>
  <c r="AC64" i="13"/>
  <c r="X64" i="13"/>
  <c r="AC55" i="13"/>
  <c r="X55" i="13"/>
  <c r="AC78" i="13"/>
  <c r="X78" i="13"/>
  <c r="X14" i="13"/>
  <c r="AC14" i="13"/>
  <c r="X32" i="13"/>
  <c r="AC32" i="13"/>
  <c r="AC123" i="7"/>
  <c r="X123" i="7"/>
  <c r="X153" i="7"/>
  <c r="AC153" i="7"/>
  <c r="AC151" i="7"/>
  <c r="X151" i="7"/>
  <c r="X142" i="7"/>
  <c r="AC142" i="7"/>
  <c r="AC135" i="7"/>
  <c r="X135" i="7"/>
  <c r="X71" i="7"/>
  <c r="AC71" i="7"/>
  <c r="AC35" i="7"/>
  <c r="X35" i="7"/>
  <c r="AC5" i="7"/>
  <c r="X5" i="7"/>
  <c r="X47" i="7"/>
  <c r="AC47" i="7"/>
  <c r="AC53" i="14"/>
  <c r="X53" i="14"/>
  <c r="AC40" i="13"/>
  <c r="X40" i="13"/>
  <c r="AC69" i="13"/>
  <c r="X69" i="13"/>
  <c r="AC35" i="13"/>
  <c r="X35" i="13"/>
  <c r="X38" i="13"/>
  <c r="AC38" i="13"/>
  <c r="AC6" i="13"/>
  <c r="X6" i="13"/>
  <c r="AC12" i="13"/>
  <c r="X12" i="13"/>
  <c r="AC157" i="7"/>
  <c r="X157" i="7"/>
  <c r="AC102" i="7"/>
  <c r="X102" i="7"/>
  <c r="X76" i="7"/>
  <c r="AC76" i="7"/>
  <c r="AC133" i="7"/>
  <c r="X133" i="7"/>
  <c r="X78" i="7"/>
  <c r="AC78" i="7"/>
  <c r="X87" i="7"/>
  <c r="AC87" i="7"/>
  <c r="AC7" i="14"/>
  <c r="X7" i="14"/>
  <c r="U53" i="13"/>
  <c r="AI53" i="13" s="1"/>
  <c r="U5" i="6"/>
  <c r="Z43" i="6"/>
  <c r="AA43" i="6" s="1"/>
  <c r="AB43" i="6" s="1"/>
  <c r="AE36" i="7"/>
  <c r="AD53" i="7"/>
  <c r="AD152" i="7"/>
  <c r="Z55" i="7"/>
  <c r="Y55" i="7"/>
  <c r="Z93" i="7"/>
  <c r="AD72" i="7"/>
  <c r="AD18" i="13"/>
  <c r="AE33" i="13"/>
  <c r="U94" i="7"/>
  <c r="AI94" i="7" s="1"/>
  <c r="AP94" i="7" s="1"/>
  <c r="AQ94" i="7" s="1"/>
  <c r="AR94" i="7" s="1"/>
  <c r="T18" i="6"/>
  <c r="AI18" i="6" s="1"/>
  <c r="AJ18" i="6" s="1"/>
  <c r="T34" i="6"/>
  <c r="AI34" i="6" s="1"/>
  <c r="Y93" i="7"/>
  <c r="Z101" i="7"/>
  <c r="AA101" i="7" s="1"/>
  <c r="AB101" i="7" s="1"/>
  <c r="Y113" i="7"/>
  <c r="Z113" i="7"/>
  <c r="AD33" i="14"/>
  <c r="AE33" i="14"/>
  <c r="Y35" i="14"/>
  <c r="Z35" i="14"/>
  <c r="AE30" i="14"/>
  <c r="AD30" i="14"/>
  <c r="Y85" i="13"/>
  <c r="Z85" i="13"/>
  <c r="Z83" i="13"/>
  <c r="Y83" i="13"/>
  <c r="Y65" i="13"/>
  <c r="Z65" i="13"/>
  <c r="Y77" i="13"/>
  <c r="AA77" i="13" s="1"/>
  <c r="AB77" i="13" s="1"/>
  <c r="Y25" i="13"/>
  <c r="AA25" i="13" s="1"/>
  <c r="AB25" i="13" s="1"/>
  <c r="Y20" i="13"/>
  <c r="Z20" i="13"/>
  <c r="AE61" i="7"/>
  <c r="Z132" i="7"/>
  <c r="Y132" i="7"/>
  <c r="AE91" i="7"/>
  <c r="Z57" i="7"/>
  <c r="AA57" i="7" s="1"/>
  <c r="AB57" i="7" s="1"/>
  <c r="Z109" i="7"/>
  <c r="Y109" i="7"/>
  <c r="AD60" i="7"/>
  <c r="AE60" i="7"/>
  <c r="Z129" i="7"/>
  <c r="AA129" i="7" s="1"/>
  <c r="AB129" i="7" s="1"/>
  <c r="AE13" i="7"/>
  <c r="Z12" i="7"/>
  <c r="Y12" i="7"/>
  <c r="Y10" i="14"/>
  <c r="Z10" i="14"/>
  <c r="Y42" i="7"/>
  <c r="Z42" i="7"/>
  <c r="T42" i="6"/>
  <c r="U147" i="7"/>
  <c r="AI147" i="7" s="1"/>
  <c r="AP147" i="7" s="1"/>
  <c r="AQ147" i="7" s="1"/>
  <c r="AC30" i="6"/>
  <c r="Y33" i="6"/>
  <c r="AA33" i="6" s="1"/>
  <c r="AB33" i="6" s="1"/>
  <c r="Y9" i="6"/>
  <c r="AA9" i="6" s="1"/>
  <c r="AB9" i="6" s="1"/>
  <c r="X49" i="6"/>
  <c r="Y49" i="6" s="1"/>
  <c r="T35" i="14"/>
  <c r="AI35" i="14" s="1"/>
  <c r="T31" i="14"/>
  <c r="AI31" i="14" s="1"/>
  <c r="T27" i="14"/>
  <c r="U27" i="14" s="1"/>
  <c r="AP27" i="14" s="1"/>
  <c r="AQ27" i="14" s="1"/>
  <c r="U62" i="13"/>
  <c r="AI62" i="13" s="1"/>
  <c r="U59" i="13"/>
  <c r="AI59" i="13" s="1"/>
  <c r="U47" i="13"/>
  <c r="AI47" i="13" s="1"/>
  <c r="U45" i="13"/>
  <c r="AI45" i="13" s="1"/>
  <c r="U91" i="13"/>
  <c r="AI91" i="13" s="1"/>
  <c r="AP91" i="13" s="1"/>
  <c r="AQ91" i="13" s="1"/>
  <c r="AR91" i="13" s="1"/>
  <c r="U42" i="13"/>
  <c r="AI42" i="13" s="1"/>
  <c r="T4" i="14"/>
  <c r="U4" i="14" s="1"/>
  <c r="AP4" i="14" s="1"/>
  <c r="AQ4" i="14" s="1"/>
  <c r="T20" i="6"/>
  <c r="U38" i="6"/>
  <c r="T12" i="14"/>
  <c r="U12" i="14" s="1"/>
  <c r="AP12" i="14" s="1"/>
  <c r="AQ12" i="14" s="1"/>
  <c r="T37" i="6"/>
  <c r="AI37" i="6" s="1"/>
  <c r="T39" i="6"/>
  <c r="T53" i="6"/>
  <c r="U39" i="13"/>
  <c r="AI39" i="13" s="1"/>
  <c r="AK39" i="13" s="1"/>
  <c r="U93" i="13"/>
  <c r="AI93" i="13" s="1"/>
  <c r="T30" i="14"/>
  <c r="AI30" i="14" s="1"/>
  <c r="T52" i="14"/>
  <c r="U52" i="14" s="1"/>
  <c r="AP52" i="14" s="1"/>
  <c r="AQ52" i="14" s="1"/>
  <c r="T56" i="14"/>
  <c r="AI56" i="14" s="1"/>
  <c r="U93" i="7"/>
  <c r="AI93" i="7" s="1"/>
  <c r="U128" i="7"/>
  <c r="AI128" i="7" s="1"/>
  <c r="AJ128" i="7" s="1"/>
  <c r="U144" i="7"/>
  <c r="AI144" i="7" s="1"/>
  <c r="AP144" i="7" s="1"/>
  <c r="AQ144" i="7" s="1"/>
  <c r="U9" i="13"/>
  <c r="AI9" i="13" s="1"/>
  <c r="AJ9" i="13" s="1"/>
  <c r="U66" i="13"/>
  <c r="AI66" i="13" s="1"/>
  <c r="U86" i="7"/>
  <c r="AI86" i="7" s="1"/>
  <c r="AP86" i="7" s="1"/>
  <c r="AQ86" i="7" s="1"/>
  <c r="U134" i="7"/>
  <c r="AI134" i="7" s="1"/>
  <c r="AK134" i="7" s="1"/>
  <c r="U82" i="7"/>
  <c r="AI82" i="7" s="1"/>
  <c r="AJ82" i="7" s="1"/>
  <c r="U101" i="7"/>
  <c r="AI101" i="7" s="1"/>
  <c r="AJ101" i="7" s="1"/>
  <c r="T48" i="6"/>
  <c r="AI48" i="6" s="1"/>
  <c r="AJ48" i="6" s="1"/>
  <c r="U63" i="6"/>
  <c r="T22" i="6"/>
  <c r="U17" i="7"/>
  <c r="AI17" i="7" s="1"/>
  <c r="AP17" i="7" s="1"/>
  <c r="AQ17" i="7" s="1"/>
  <c r="AR17" i="7" s="1"/>
  <c r="U9" i="7"/>
  <c r="AI9" i="7" s="1"/>
  <c r="AJ9" i="7" s="1"/>
  <c r="U34" i="7"/>
  <c r="AI34" i="7" s="1"/>
  <c r="AJ34" i="7" s="1"/>
  <c r="U15" i="7"/>
  <c r="AI15" i="7" s="1"/>
  <c r="AP15" i="7" s="1"/>
  <c r="AQ15" i="7" s="1"/>
  <c r="U46" i="7"/>
  <c r="AI46" i="7" s="1"/>
  <c r="U33" i="7"/>
  <c r="AI33" i="7" s="1"/>
  <c r="AJ33" i="7" s="1"/>
  <c r="U72" i="7"/>
  <c r="AI72" i="7" s="1"/>
  <c r="U58" i="7"/>
  <c r="AI58" i="7" s="1"/>
  <c r="AJ58" i="7" s="1"/>
  <c r="U64" i="7"/>
  <c r="AI64" i="7" s="1"/>
  <c r="AJ64" i="7" s="1"/>
  <c r="U63" i="7"/>
  <c r="AI63" i="7" s="1"/>
  <c r="AP63" i="7" s="1"/>
  <c r="AQ63" i="7" s="1"/>
  <c r="U108" i="7"/>
  <c r="AI108" i="7" s="1"/>
  <c r="AJ108" i="7" s="1"/>
  <c r="U109" i="7"/>
  <c r="AI109" i="7" s="1"/>
  <c r="AK109" i="7" s="1"/>
  <c r="U131" i="7"/>
  <c r="AI131" i="7" s="1"/>
  <c r="AJ131" i="7" s="1"/>
  <c r="U23" i="13"/>
  <c r="AI23" i="13" s="1"/>
  <c r="U5" i="13"/>
  <c r="AI5" i="13" s="1"/>
  <c r="U12" i="7"/>
  <c r="AI12" i="7" s="1"/>
  <c r="AJ12" i="7" s="1"/>
  <c r="U37" i="7"/>
  <c r="AI37" i="7" s="1"/>
  <c r="AP37" i="7" s="1"/>
  <c r="AQ37" i="7" s="1"/>
  <c r="AR37" i="7" s="1"/>
  <c r="T7" i="14"/>
  <c r="U7" i="14" s="1"/>
  <c r="AP7" i="14" s="1"/>
  <c r="AQ7" i="14" s="1"/>
  <c r="U5" i="7"/>
  <c r="AI5" i="7" s="1"/>
  <c r="AJ5" i="7" s="1"/>
  <c r="U89" i="7"/>
  <c r="AI89" i="7" s="1"/>
  <c r="AP89" i="7" s="1"/>
  <c r="AQ89" i="7" s="1"/>
  <c r="U117" i="7"/>
  <c r="AI117" i="7" s="1"/>
  <c r="AK117" i="7" s="1"/>
  <c r="U28" i="13"/>
  <c r="AI28" i="13" s="1"/>
  <c r="AJ28" i="13" s="1"/>
  <c r="U158" i="7"/>
  <c r="AI158" i="7" s="1"/>
  <c r="AP158" i="7" s="1"/>
  <c r="AQ158" i="7" s="1"/>
  <c r="T10" i="14"/>
  <c r="AI10" i="14" s="1"/>
  <c r="U79" i="13"/>
  <c r="AI79" i="13" s="1"/>
  <c r="AP79" i="13" s="1"/>
  <c r="AQ79" i="13" s="1"/>
  <c r="AR79" i="13" s="1"/>
  <c r="U83" i="13"/>
  <c r="AI83" i="13" s="1"/>
  <c r="U138" i="7"/>
  <c r="AI138" i="7" s="1"/>
  <c r="AP138" i="7" s="1"/>
  <c r="AQ138" i="7" s="1"/>
  <c r="AR138" i="7" s="1"/>
  <c r="U151" i="7"/>
  <c r="AI151" i="7" s="1"/>
  <c r="AP151" i="7" s="1"/>
  <c r="AQ151" i="7" s="1"/>
  <c r="U22" i="13"/>
  <c r="AI22" i="13" s="1"/>
  <c r="U55" i="13"/>
  <c r="AI55" i="13" s="1"/>
  <c r="U136" i="7"/>
  <c r="AI136" i="7" s="1"/>
  <c r="AP136" i="7" s="1"/>
  <c r="AQ136" i="7" s="1"/>
  <c r="U62" i="7"/>
  <c r="AI62" i="7" s="1"/>
  <c r="AJ62" i="7" s="1"/>
  <c r="U127" i="7"/>
  <c r="AI127" i="7" s="1"/>
  <c r="AP127" i="7" s="1"/>
  <c r="AQ127" i="7" s="1"/>
  <c r="AR127" i="7" s="1"/>
  <c r="U157" i="7"/>
  <c r="AI157" i="7" s="1"/>
  <c r="U34" i="13"/>
  <c r="AI34" i="13" s="1"/>
  <c r="AP34" i="13" s="1"/>
  <c r="AQ34" i="13" s="1"/>
  <c r="AR34" i="13" s="1"/>
  <c r="U44" i="6"/>
  <c r="U20" i="7"/>
  <c r="AI20" i="7" s="1"/>
  <c r="AP20" i="7" s="1"/>
  <c r="AQ20" i="7" s="1"/>
  <c r="AR20" i="7" s="1"/>
  <c r="U65" i="13"/>
  <c r="AI65" i="13" s="1"/>
  <c r="U71" i="13"/>
  <c r="AI71" i="13" s="1"/>
  <c r="AP71" i="13" s="1"/>
  <c r="AQ71" i="13" s="1"/>
  <c r="AR71" i="13" s="1"/>
  <c r="U47" i="7"/>
  <c r="AI47" i="7" s="1"/>
  <c r="T50" i="14"/>
  <c r="U50" i="14" s="1"/>
  <c r="AP50" i="14" s="1"/>
  <c r="AQ50" i="14" s="1"/>
  <c r="AL20" i="6"/>
  <c r="AK19" i="6"/>
  <c r="T35" i="6"/>
  <c r="AI35" i="6" s="1"/>
  <c r="U35" i="6"/>
  <c r="U18" i="13"/>
  <c r="AI18" i="13" s="1"/>
  <c r="AP18" i="13" s="1"/>
  <c r="AQ18" i="13" s="1"/>
  <c r="AR18" i="13" s="1"/>
  <c r="U40" i="7"/>
  <c r="AI40" i="7" s="1"/>
  <c r="AP40" i="7" s="1"/>
  <c r="AQ40" i="7" s="1"/>
  <c r="AR40" i="7" s="1"/>
  <c r="U152" i="7"/>
  <c r="AI152" i="7" s="1"/>
  <c r="AJ152" i="7" s="1"/>
  <c r="U33" i="13"/>
  <c r="AI33" i="13" s="1"/>
  <c r="U85" i="7"/>
  <c r="AI85" i="7" s="1"/>
  <c r="AK85" i="7" s="1"/>
  <c r="AI30" i="6"/>
  <c r="AJ30" i="6" s="1"/>
  <c r="T30" i="6"/>
  <c r="U48" i="6"/>
  <c r="U73" i="7"/>
  <c r="AI73" i="7" s="1"/>
  <c r="AP73" i="7" s="1"/>
  <c r="AQ73" i="7" s="1"/>
  <c r="AR73" i="7" s="1"/>
  <c r="U40" i="13"/>
  <c r="AI40" i="13" s="1"/>
  <c r="AJ40" i="13" s="1"/>
  <c r="U7" i="6"/>
  <c r="T7" i="6"/>
  <c r="AI7" i="6" s="1"/>
  <c r="T8" i="6"/>
  <c r="AI8" i="6" s="1"/>
  <c r="AJ8" i="6" s="1"/>
  <c r="U8" i="6"/>
  <c r="U57" i="7"/>
  <c r="AI57" i="7" s="1"/>
  <c r="AK57" i="7" s="1"/>
  <c r="U88" i="7"/>
  <c r="AI88" i="7" s="1"/>
  <c r="AK88" i="7" s="1"/>
  <c r="U55" i="6"/>
  <c r="T55" i="6"/>
  <c r="AI55" i="6" s="1"/>
  <c r="U81" i="13"/>
  <c r="AI81" i="13" s="1"/>
  <c r="AK81" i="13" s="1"/>
  <c r="U64" i="13"/>
  <c r="AI64" i="13" s="1"/>
  <c r="AP64" i="13" s="1"/>
  <c r="AQ64" i="13" s="1"/>
  <c r="AR64" i="13" s="1"/>
  <c r="U35" i="13"/>
  <c r="AI35" i="13" s="1"/>
  <c r="AP35" i="13" s="1"/>
  <c r="AQ35" i="13" s="1"/>
  <c r="AR35" i="13" s="1"/>
  <c r="U11" i="7"/>
  <c r="AI11" i="7" s="1"/>
  <c r="AJ11" i="7" s="1"/>
  <c r="U53" i="6"/>
  <c r="U28" i="7"/>
  <c r="AI28" i="7" s="1"/>
  <c r="AP28" i="7" s="1"/>
  <c r="AQ28" i="7" s="1"/>
  <c r="AR28" i="7" s="1"/>
  <c r="U19" i="6"/>
  <c r="U68" i="13"/>
  <c r="AI68" i="13" s="1"/>
  <c r="AK68" i="13" s="1"/>
  <c r="U37" i="13"/>
  <c r="AI37" i="13" s="1"/>
  <c r="U61" i="13"/>
  <c r="AI61" i="13" s="1"/>
  <c r="U59" i="6"/>
  <c r="T59" i="6"/>
  <c r="U22" i="6"/>
  <c r="U58" i="6"/>
  <c r="T58" i="6"/>
  <c r="AI58" i="6" s="1"/>
  <c r="AJ58" i="6" s="1"/>
  <c r="U90" i="13"/>
  <c r="AI90" i="13" s="1"/>
  <c r="U99" i="7"/>
  <c r="AI99" i="7" s="1"/>
  <c r="U120" i="7"/>
  <c r="AI120" i="7" s="1"/>
  <c r="U53" i="7"/>
  <c r="AI53" i="7" s="1"/>
  <c r="AP53" i="7" s="1"/>
  <c r="AQ53" i="7" s="1"/>
  <c r="T58" i="14"/>
  <c r="U58" i="14" s="1"/>
  <c r="AP58" i="14" s="1"/>
  <c r="AQ58" i="14" s="1"/>
  <c r="T11" i="14"/>
  <c r="U11" i="14" s="1"/>
  <c r="AP11" i="14" s="1"/>
  <c r="AQ11" i="14" s="1"/>
  <c r="U55" i="7"/>
  <c r="AI55" i="7" s="1"/>
  <c r="U41" i="7"/>
  <c r="AI41" i="7" s="1"/>
  <c r="AJ41" i="7" s="1"/>
  <c r="U32" i="7"/>
  <c r="AI32" i="7" s="1"/>
  <c r="AJ32" i="7" s="1"/>
  <c r="U87" i="7"/>
  <c r="AI87" i="7" s="1"/>
  <c r="AK87" i="7" s="1"/>
  <c r="U123" i="7"/>
  <c r="AI123" i="7" s="1"/>
  <c r="AP123" i="7" s="1"/>
  <c r="AQ123" i="7" s="1"/>
  <c r="AR123" i="7" s="1"/>
  <c r="U17" i="6"/>
  <c r="T17" i="6"/>
  <c r="AI17" i="6" s="1"/>
  <c r="U37" i="6"/>
  <c r="U44" i="7"/>
  <c r="AI44" i="7" s="1"/>
  <c r="U61" i="7"/>
  <c r="AI61" i="7" s="1"/>
  <c r="AK61" i="7" s="1"/>
  <c r="U154" i="7"/>
  <c r="AI154" i="7" s="1"/>
  <c r="T44" i="6"/>
  <c r="AI44" i="6" s="1"/>
  <c r="U111" i="7"/>
  <c r="AI111" i="7" s="1"/>
  <c r="AJ111" i="7" s="1"/>
  <c r="U57" i="13"/>
  <c r="AI57" i="13" s="1"/>
  <c r="AK57" i="13" s="1"/>
  <c r="U52" i="13"/>
  <c r="AI52" i="13" s="1"/>
  <c r="U142" i="7"/>
  <c r="AI142" i="7" s="1"/>
  <c r="AP142" i="7" s="1"/>
  <c r="AQ142" i="7" s="1"/>
  <c r="U71" i="7"/>
  <c r="AI71" i="7" s="1"/>
  <c r="U20" i="6"/>
  <c r="U137" i="7"/>
  <c r="AI137" i="7" s="1"/>
  <c r="AP137" i="7" s="1"/>
  <c r="AQ137" i="7" s="1"/>
  <c r="U41" i="6"/>
  <c r="U48" i="13"/>
  <c r="AI48" i="13" s="1"/>
  <c r="T5" i="14"/>
  <c r="U5" i="14" s="1"/>
  <c r="AP5" i="14" s="1"/>
  <c r="AQ5" i="14" s="1"/>
  <c r="T34" i="14"/>
  <c r="AI34" i="14" s="1"/>
  <c r="U78" i="13"/>
  <c r="AI78" i="13" s="1"/>
  <c r="U56" i="13"/>
  <c r="AI56" i="13" s="1"/>
  <c r="U38" i="13"/>
  <c r="AI38" i="13" s="1"/>
  <c r="AJ38" i="13" s="1"/>
  <c r="U51" i="13"/>
  <c r="AI51" i="13" s="1"/>
  <c r="AJ51" i="13" s="1"/>
  <c r="U60" i="13"/>
  <c r="AI60" i="13" s="1"/>
  <c r="T57" i="14"/>
  <c r="U57" i="14" s="1"/>
  <c r="AP57" i="14" s="1"/>
  <c r="AQ57" i="14" s="1"/>
  <c r="T32" i="6"/>
  <c r="T51" i="14"/>
  <c r="U51" i="14" s="1"/>
  <c r="AP51" i="14" s="1"/>
  <c r="AQ51" i="14" s="1"/>
  <c r="T9" i="14"/>
  <c r="U9" i="14" s="1"/>
  <c r="AP9" i="14" s="1"/>
  <c r="AQ9" i="14" s="1"/>
  <c r="T33" i="14"/>
  <c r="U33" i="14" s="1"/>
  <c r="AP33" i="14" s="1"/>
  <c r="AQ33" i="14" s="1"/>
  <c r="U70" i="13"/>
  <c r="AI70" i="13" s="1"/>
  <c r="AP70" i="13" s="1"/>
  <c r="AQ70" i="13" s="1"/>
  <c r="AR70" i="13" s="1"/>
  <c r="T53" i="14"/>
  <c r="U53" i="14" s="1"/>
  <c r="AP53" i="14" s="1"/>
  <c r="AQ53" i="14" s="1"/>
  <c r="U102" i="7"/>
  <c r="AI102" i="7" s="1"/>
  <c r="AJ102" i="7" s="1"/>
  <c r="U118" i="7"/>
  <c r="AI118" i="7" s="1"/>
  <c r="AK118" i="7" s="1"/>
  <c r="U135" i="7"/>
  <c r="AI135" i="7" s="1"/>
  <c r="AP135" i="7" s="1"/>
  <c r="AQ135" i="7" s="1"/>
  <c r="U90" i="7"/>
  <c r="AI90" i="7" s="1"/>
  <c r="AP90" i="7" s="1"/>
  <c r="AQ90" i="7" s="1"/>
  <c r="U129" i="7"/>
  <c r="AI129" i="7" s="1"/>
  <c r="AK129" i="7" s="1"/>
  <c r="U141" i="7"/>
  <c r="AI141" i="7" s="1"/>
  <c r="AP141" i="7" s="1"/>
  <c r="AQ141" i="7" s="1"/>
  <c r="U140" i="7"/>
  <c r="AI140" i="7" s="1"/>
  <c r="AJ140" i="7" s="1"/>
  <c r="U139" i="7"/>
  <c r="AI139" i="7" s="1"/>
  <c r="AJ139" i="7" s="1"/>
  <c r="U12" i="13"/>
  <c r="AI12" i="13" s="1"/>
  <c r="U43" i="13"/>
  <c r="AI43" i="13" s="1"/>
  <c r="AK43" i="13" s="1"/>
  <c r="U41" i="13"/>
  <c r="AI41" i="13" s="1"/>
  <c r="AP41" i="13" s="1"/>
  <c r="AQ41" i="13" s="1"/>
  <c r="AR41" i="13" s="1"/>
  <c r="U58" i="13"/>
  <c r="AI58" i="13" s="1"/>
  <c r="AK58" i="13" s="1"/>
  <c r="U80" i="13"/>
  <c r="AI80" i="13" s="1"/>
  <c r="AJ80" i="13" s="1"/>
  <c r="U87" i="13"/>
  <c r="AI87" i="13" s="1"/>
  <c r="AK87" i="13" s="1"/>
  <c r="T32" i="14"/>
  <c r="U32" i="14" s="1"/>
  <c r="AP32" i="14" s="1"/>
  <c r="AQ32" i="14" s="1"/>
  <c r="T54" i="14"/>
  <c r="U54" i="14" s="1"/>
  <c r="AP54" i="14" s="1"/>
  <c r="AQ54" i="14" s="1"/>
  <c r="U10" i="13"/>
  <c r="AI10" i="13" s="1"/>
  <c r="AP10" i="13" s="1"/>
  <c r="AQ10" i="13" s="1"/>
  <c r="AR10" i="13" s="1"/>
  <c r="U27" i="13"/>
  <c r="AI27" i="13" s="1"/>
  <c r="AP27" i="13" s="1"/>
  <c r="AQ27" i="13" s="1"/>
  <c r="AR27" i="13" s="1"/>
  <c r="U73" i="13"/>
  <c r="AI73" i="13" s="1"/>
  <c r="AK73" i="13" s="1"/>
  <c r="U70" i="7"/>
  <c r="AI70" i="7" s="1"/>
  <c r="AP70" i="7" s="1"/>
  <c r="AQ70" i="7" s="1"/>
  <c r="AR70" i="7" s="1"/>
  <c r="U76" i="7"/>
  <c r="AI76" i="7" s="1"/>
  <c r="AP76" i="7" s="1"/>
  <c r="AQ76" i="7" s="1"/>
  <c r="AR76" i="7" s="1"/>
  <c r="U107" i="7"/>
  <c r="AI107" i="7" s="1"/>
  <c r="U75" i="7"/>
  <c r="AI75" i="7" s="1"/>
  <c r="U69" i="7"/>
  <c r="AI69" i="7" s="1"/>
  <c r="AK69" i="7" s="1"/>
  <c r="U155" i="7"/>
  <c r="AI155" i="7" s="1"/>
  <c r="U67" i="7"/>
  <c r="AI67" i="7" s="1"/>
  <c r="AJ67" i="7" s="1"/>
  <c r="U59" i="7"/>
  <c r="AI59" i="7" s="1"/>
  <c r="AP59" i="7" s="1"/>
  <c r="AQ59" i="7" s="1"/>
  <c r="U143" i="7"/>
  <c r="AI143" i="7" s="1"/>
  <c r="AK143" i="7" s="1"/>
  <c r="U150" i="7"/>
  <c r="AI150" i="7" s="1"/>
  <c r="T6" i="14"/>
  <c r="U6" i="14" s="1"/>
  <c r="AP6" i="14" s="1"/>
  <c r="AQ6" i="14" s="1"/>
  <c r="T11" i="6"/>
  <c r="T38" i="6"/>
  <c r="AI38" i="6" s="1"/>
  <c r="AJ38" i="6" s="1"/>
  <c r="T27" i="6"/>
  <c r="AI27" i="6" s="1"/>
  <c r="T57" i="6"/>
  <c r="AI57" i="6" s="1"/>
  <c r="T28" i="6"/>
  <c r="AI28" i="6" s="1"/>
  <c r="AJ28" i="6" s="1"/>
  <c r="U62" i="6"/>
  <c r="U21" i="7"/>
  <c r="AI21" i="7" s="1"/>
  <c r="U25" i="7"/>
  <c r="AI25" i="7" s="1"/>
  <c r="AP25" i="7" s="1"/>
  <c r="AQ25" i="7" s="1"/>
  <c r="AR25" i="7" s="1"/>
  <c r="U31" i="7"/>
  <c r="AI31" i="7" s="1"/>
  <c r="AP31" i="7" s="1"/>
  <c r="AQ31" i="7" s="1"/>
  <c r="AR31" i="7" s="1"/>
  <c r="U49" i="7"/>
  <c r="AI49" i="7" s="1"/>
  <c r="U14" i="7"/>
  <c r="AI14" i="7" s="1"/>
  <c r="AP14" i="7" s="1"/>
  <c r="AQ14" i="7" s="1"/>
  <c r="AR14" i="7" s="1"/>
  <c r="U29" i="7"/>
  <c r="AI29" i="7" s="1"/>
  <c r="AP29" i="7" s="1"/>
  <c r="AQ29" i="7" s="1"/>
  <c r="U50" i="7"/>
  <c r="AI50" i="7" s="1"/>
  <c r="U42" i="7"/>
  <c r="AI42" i="7" s="1"/>
  <c r="U6" i="7"/>
  <c r="AI6" i="7" s="1"/>
  <c r="AP6" i="7" s="1"/>
  <c r="AQ6" i="7" s="1"/>
  <c r="AR6" i="7" s="1"/>
  <c r="U104" i="7"/>
  <c r="AI104" i="7" s="1"/>
  <c r="AJ104" i="7" s="1"/>
  <c r="U106" i="7"/>
  <c r="AI106" i="7" s="1"/>
  <c r="U96" i="7"/>
  <c r="AI96" i="7" s="1"/>
  <c r="U103" i="7"/>
  <c r="AI103" i="7" s="1"/>
  <c r="AP103" i="7" s="1"/>
  <c r="AQ103" i="7" s="1"/>
  <c r="U95" i="7"/>
  <c r="AI95" i="7" s="1"/>
  <c r="AJ95" i="7" s="1"/>
  <c r="U125" i="7"/>
  <c r="AI125" i="7" s="1"/>
  <c r="U145" i="7"/>
  <c r="AI145" i="7" s="1"/>
  <c r="U13" i="13"/>
  <c r="AI13" i="13" s="1"/>
  <c r="AK13" i="13" s="1"/>
  <c r="U14" i="13"/>
  <c r="AI14" i="13" s="1"/>
  <c r="AP14" i="13" s="1"/>
  <c r="AQ14" i="13" s="1"/>
  <c r="AR14" i="13" s="1"/>
  <c r="U15" i="13"/>
  <c r="AI15" i="13" s="1"/>
  <c r="U36" i="13"/>
  <c r="AI36" i="13" s="1"/>
  <c r="AP36" i="13" s="1"/>
  <c r="AQ36" i="13" s="1"/>
  <c r="AR36" i="13" s="1"/>
  <c r="U30" i="13"/>
  <c r="AI30" i="13" s="1"/>
  <c r="U24" i="13"/>
  <c r="AI24" i="13" s="1"/>
  <c r="U153" i="7"/>
  <c r="AI153" i="7" s="1"/>
  <c r="AP153" i="7" s="1"/>
  <c r="AQ153" i="7" s="1"/>
  <c r="AR153" i="7" s="1"/>
  <c r="U19" i="13"/>
  <c r="AI19" i="13" s="1"/>
  <c r="U8" i="13"/>
  <c r="AI8" i="13" s="1"/>
  <c r="AP8" i="13" s="1"/>
  <c r="AQ8" i="13" s="1"/>
  <c r="AR8" i="13" s="1"/>
  <c r="U16" i="13"/>
  <c r="AI16" i="13" s="1"/>
  <c r="U31" i="13"/>
  <c r="AI31" i="13" s="1"/>
  <c r="T14" i="6"/>
  <c r="AI14" i="6" s="1"/>
  <c r="U14" i="6"/>
  <c r="U126" i="7"/>
  <c r="AI126" i="7" s="1"/>
  <c r="AP126" i="7" s="1"/>
  <c r="AQ126" i="7" s="1"/>
  <c r="U32" i="6"/>
  <c r="U89" i="13"/>
  <c r="AI89" i="13" s="1"/>
  <c r="T49" i="6"/>
  <c r="T50" i="6"/>
  <c r="AL43" i="6"/>
  <c r="U74" i="13"/>
  <c r="AI74" i="13" s="1"/>
  <c r="AK74" i="13" s="1"/>
  <c r="U29" i="13"/>
  <c r="AI29" i="13" s="1"/>
  <c r="U132" i="7"/>
  <c r="AI132" i="7" s="1"/>
  <c r="AP132" i="7" s="1"/>
  <c r="AQ132" i="7" s="1"/>
  <c r="AR132" i="7" s="1"/>
  <c r="T31" i="6"/>
  <c r="U11" i="13"/>
  <c r="AI11" i="13" s="1"/>
  <c r="T12" i="6"/>
  <c r="U12" i="6"/>
  <c r="U80" i="7"/>
  <c r="AI80" i="7" s="1"/>
  <c r="U122" i="7"/>
  <c r="AI122" i="7" s="1"/>
  <c r="T8" i="14"/>
  <c r="AI8" i="14" s="1"/>
  <c r="U63" i="13"/>
  <c r="AI63" i="13" s="1"/>
  <c r="U146" i="7"/>
  <c r="AI146" i="7" s="1"/>
  <c r="U82" i="13"/>
  <c r="AI82" i="13" s="1"/>
  <c r="U43" i="7"/>
  <c r="AI43" i="7" s="1"/>
  <c r="AJ43" i="7" s="1"/>
  <c r="U48" i="7"/>
  <c r="AI48" i="7" s="1"/>
  <c r="AK48" i="7" s="1"/>
  <c r="U68" i="7"/>
  <c r="AI68" i="7" s="1"/>
  <c r="U27" i="6"/>
  <c r="U112" i="7"/>
  <c r="AI112" i="7" s="1"/>
  <c r="AP112" i="7" s="1"/>
  <c r="AQ112" i="7" s="1"/>
  <c r="U88" i="13"/>
  <c r="AI88" i="13" s="1"/>
  <c r="AK88" i="13" s="1"/>
  <c r="U72" i="13"/>
  <c r="AI72" i="13" s="1"/>
  <c r="AP72" i="13" s="1"/>
  <c r="AQ72" i="13" s="1"/>
  <c r="AR72" i="13" s="1"/>
  <c r="U25" i="13"/>
  <c r="AI25" i="13" s="1"/>
  <c r="U67" i="13"/>
  <c r="AI67" i="13" s="1"/>
  <c r="AP67" i="13" s="1"/>
  <c r="AQ67" i="13" s="1"/>
  <c r="AR67" i="13" s="1"/>
  <c r="U57" i="6"/>
  <c r="U84" i="7"/>
  <c r="AI84" i="7" s="1"/>
  <c r="AJ84" i="7" s="1"/>
  <c r="AK29" i="6"/>
  <c r="U46" i="13"/>
  <c r="AI46" i="13" s="1"/>
  <c r="U69" i="13"/>
  <c r="AI69" i="13" s="1"/>
  <c r="AJ69" i="13" s="1"/>
  <c r="U24" i="6"/>
  <c r="T24" i="6"/>
  <c r="AI24" i="6" s="1"/>
  <c r="U76" i="13"/>
  <c r="AI76" i="13" s="1"/>
  <c r="AK76" i="13" s="1"/>
  <c r="U56" i="7"/>
  <c r="AI56" i="7" s="1"/>
  <c r="AP56" i="7" s="1"/>
  <c r="AQ56" i="7" s="1"/>
  <c r="AR56" i="7" s="1"/>
  <c r="U17" i="13"/>
  <c r="AI17" i="13" s="1"/>
  <c r="T28" i="14"/>
  <c r="U28" i="14" s="1"/>
  <c r="AP28" i="14" s="1"/>
  <c r="AQ28" i="14" s="1"/>
  <c r="U86" i="13"/>
  <c r="AI86" i="13" s="1"/>
  <c r="U25" i="6"/>
  <c r="U54" i="13"/>
  <c r="AI54" i="13" s="1"/>
  <c r="U32" i="13"/>
  <c r="AI32" i="13" s="1"/>
  <c r="U52" i="6"/>
  <c r="U4" i="13"/>
  <c r="AI4" i="13" s="1"/>
  <c r="AP4" i="13" s="1"/>
  <c r="AQ4" i="13" s="1"/>
  <c r="AR4" i="13" s="1"/>
  <c r="T29" i="6"/>
  <c r="T43" i="6"/>
  <c r="U92" i="13"/>
  <c r="AI92" i="13" s="1"/>
  <c r="U84" i="13"/>
  <c r="AI84" i="13" s="1"/>
  <c r="T4" i="6"/>
  <c r="AI4" i="6" s="1"/>
  <c r="U11" i="6"/>
  <c r="U85" i="13"/>
  <c r="AI85" i="13" s="1"/>
  <c r="AP85" i="13" s="1"/>
  <c r="AQ85" i="13" s="1"/>
  <c r="AR85" i="13" s="1"/>
  <c r="U81" i="7"/>
  <c r="AI81" i="7" s="1"/>
  <c r="U30" i="7"/>
  <c r="AI30" i="7" s="1"/>
  <c r="AJ30" i="7" s="1"/>
  <c r="U79" i="7"/>
  <c r="AI79" i="7" s="1"/>
  <c r="T55" i="14"/>
  <c r="U55" i="14" s="1"/>
  <c r="AP55" i="14" s="1"/>
  <c r="AQ55" i="14" s="1"/>
  <c r="U116" i="7"/>
  <c r="AI116" i="7" s="1"/>
  <c r="AJ116" i="7" s="1"/>
  <c r="AC42" i="6"/>
  <c r="AD51" i="6"/>
  <c r="AE19" i="6"/>
  <c r="X51" i="6"/>
  <c r="X19" i="6"/>
  <c r="AC13" i="6"/>
  <c r="X13" i="6"/>
  <c r="X40" i="6"/>
  <c r="Z47" i="6"/>
  <c r="AA47" i="6" s="1"/>
  <c r="AB47" i="6" s="1"/>
  <c r="AC18" i="6"/>
  <c r="X18" i="6"/>
  <c r="AC5" i="6"/>
  <c r="X31" i="6"/>
  <c r="AC31" i="6"/>
  <c r="AE55" i="6"/>
  <c r="AC15" i="6"/>
  <c r="X15" i="6"/>
  <c r="AC34" i="6"/>
  <c r="AD55" i="6"/>
  <c r="X60" i="6"/>
  <c r="AC60" i="6"/>
  <c r="Y34" i="6"/>
  <c r="AA34" i="6" s="1"/>
  <c r="AB34" i="6" s="1"/>
  <c r="X4" i="6"/>
  <c r="AC4" i="6"/>
  <c r="X55" i="6"/>
  <c r="Y55" i="6" s="1"/>
  <c r="AC24" i="6"/>
  <c r="X24" i="6"/>
  <c r="AC38" i="6"/>
  <c r="X38" i="6"/>
  <c r="X22" i="6"/>
  <c r="AC22" i="6"/>
  <c r="X25" i="6"/>
  <c r="AC25" i="6"/>
  <c r="AD32" i="6"/>
  <c r="AE32" i="6"/>
  <c r="AE10" i="6"/>
  <c r="AD10" i="6"/>
  <c r="Z50" i="6"/>
  <c r="Y50" i="6"/>
  <c r="AD62" i="6"/>
  <c r="AE62" i="6"/>
  <c r="AE27" i="6"/>
  <c r="AD27" i="6"/>
  <c r="AC14" i="6"/>
  <c r="X14" i="6"/>
  <c r="Y63" i="6"/>
  <c r="Z63" i="6"/>
  <c r="AC41" i="6"/>
  <c r="X41" i="6"/>
  <c r="AC61" i="6"/>
  <c r="X61" i="6"/>
  <c r="Z35" i="6"/>
  <c r="Y35" i="6"/>
  <c r="X58" i="6"/>
  <c r="AC58" i="6"/>
  <c r="X23" i="6"/>
  <c r="AC23" i="6"/>
  <c r="X59" i="6"/>
  <c r="AC59" i="6"/>
  <c r="X37" i="6"/>
  <c r="AC37" i="6"/>
  <c r="AD52" i="6"/>
  <c r="AE52" i="6"/>
  <c r="AE44" i="6"/>
  <c r="AD44" i="6"/>
  <c r="AE28" i="6"/>
  <c r="AD28" i="6"/>
  <c r="Y57" i="6"/>
  <c r="Z57" i="6"/>
  <c r="AD17" i="6"/>
  <c r="AE17" i="6"/>
  <c r="AK53" i="6"/>
  <c r="AL53" i="6"/>
  <c r="Z49" i="14" l="1"/>
  <c r="Y49" i="14"/>
  <c r="AA49" i="14"/>
  <c r="AB49" i="14" s="1"/>
  <c r="AD25" i="14"/>
  <c r="AE25" i="14"/>
  <c r="AD48" i="14"/>
  <c r="AE48" i="14"/>
  <c r="AE72" i="14"/>
  <c r="AD72" i="14"/>
  <c r="Z26" i="14"/>
  <c r="Y26" i="14"/>
  <c r="AE71" i="14"/>
  <c r="AD71" i="14"/>
  <c r="Z72" i="14"/>
  <c r="Y72" i="14"/>
  <c r="AE26" i="14"/>
  <c r="AD26" i="14"/>
  <c r="Y71" i="14"/>
  <c r="Z71" i="14"/>
  <c r="AE49" i="14"/>
  <c r="AD49" i="14"/>
  <c r="Y25" i="14"/>
  <c r="Z25" i="14"/>
  <c r="AA25" i="14"/>
  <c r="AB25" i="14" s="1"/>
  <c r="Y48" i="14"/>
  <c r="Z48" i="14"/>
  <c r="AF29" i="7"/>
  <c r="BO20" i="6"/>
  <c r="BM20" i="6"/>
  <c r="BO36" i="6"/>
  <c r="BM36" i="6"/>
  <c r="BO52" i="6"/>
  <c r="BM52" i="6"/>
  <c r="BO11" i="6"/>
  <c r="BM11" i="6"/>
  <c r="BO43" i="6"/>
  <c r="BM43" i="6"/>
  <c r="BO17" i="6"/>
  <c r="BM17" i="6"/>
  <c r="BO33" i="6"/>
  <c r="BM33" i="6"/>
  <c r="BO49" i="6"/>
  <c r="BM49" i="6"/>
  <c r="BO10" i="6"/>
  <c r="BM10" i="6"/>
  <c r="BO26" i="6"/>
  <c r="BM26" i="6"/>
  <c r="BO42" i="6"/>
  <c r="BM42" i="6"/>
  <c r="BO62" i="6"/>
  <c r="BM62" i="6"/>
  <c r="BO7" i="6"/>
  <c r="BM7" i="6"/>
  <c r="BO39" i="6"/>
  <c r="BM39" i="6"/>
  <c r="BM4" i="6"/>
  <c r="BO4" i="6"/>
  <c r="BO8" i="6"/>
  <c r="BM8" i="6"/>
  <c r="BO24" i="6"/>
  <c r="BM24" i="6"/>
  <c r="BO40" i="6"/>
  <c r="BM40" i="6"/>
  <c r="BO56" i="6"/>
  <c r="BM56" i="6"/>
  <c r="BO19" i="6"/>
  <c r="BM19" i="6"/>
  <c r="BO51" i="6"/>
  <c r="BM51" i="6"/>
  <c r="BO5" i="6"/>
  <c r="BM5" i="6"/>
  <c r="BO21" i="6"/>
  <c r="BM21" i="6"/>
  <c r="BO37" i="6"/>
  <c r="BM37" i="6"/>
  <c r="BO53" i="6"/>
  <c r="BM53" i="6"/>
  <c r="BO14" i="6"/>
  <c r="BM14" i="6"/>
  <c r="BO30" i="6"/>
  <c r="BM30" i="6"/>
  <c r="BO46" i="6"/>
  <c r="BM46" i="6"/>
  <c r="BO15" i="6"/>
  <c r="BM15" i="6"/>
  <c r="BO47" i="6"/>
  <c r="BM47" i="6"/>
  <c r="BO12" i="6"/>
  <c r="BM12" i="6"/>
  <c r="BO28" i="6"/>
  <c r="BM28" i="6"/>
  <c r="BO44" i="6"/>
  <c r="BM44" i="6"/>
  <c r="BO60" i="6"/>
  <c r="BM60" i="6"/>
  <c r="BO27" i="6"/>
  <c r="BM27" i="6"/>
  <c r="BO59" i="6"/>
  <c r="BM59" i="6"/>
  <c r="BO9" i="6"/>
  <c r="BM9" i="6"/>
  <c r="BO25" i="6"/>
  <c r="BM25" i="6"/>
  <c r="BO41" i="6"/>
  <c r="BM41" i="6"/>
  <c r="BO57" i="6"/>
  <c r="BM57" i="6"/>
  <c r="BO18" i="6"/>
  <c r="BM18" i="6"/>
  <c r="BO34" i="6"/>
  <c r="BM34" i="6"/>
  <c r="BO50" i="6"/>
  <c r="BM50" i="6"/>
  <c r="BO23" i="6"/>
  <c r="BM23" i="6"/>
  <c r="BO32" i="6"/>
  <c r="BM32" i="6"/>
  <c r="BO48" i="6"/>
  <c r="BM48" i="6"/>
  <c r="BO54" i="6"/>
  <c r="BM54" i="6"/>
  <c r="BO35" i="6"/>
  <c r="BM35" i="6"/>
  <c r="BO13" i="6"/>
  <c r="BM13" i="6"/>
  <c r="BO29" i="6"/>
  <c r="BM29" i="6"/>
  <c r="BO61" i="6"/>
  <c r="BM61" i="6"/>
  <c r="BO6" i="6"/>
  <c r="BM6" i="6"/>
  <c r="BO38" i="6"/>
  <c r="BM38" i="6"/>
  <c r="BO58" i="6"/>
  <c r="BM58" i="6"/>
  <c r="BO31" i="6"/>
  <c r="BM31" i="6"/>
  <c r="BO55" i="6"/>
  <c r="BM55" i="6"/>
  <c r="BO45" i="6"/>
  <c r="BM45" i="6"/>
  <c r="BO63" i="6"/>
  <c r="BM63" i="6"/>
  <c r="BO16" i="6"/>
  <c r="BM16" i="6"/>
  <c r="BO22" i="6"/>
  <c r="BM22" i="6"/>
  <c r="AJ36" i="6"/>
  <c r="AJ16" i="6"/>
  <c r="AJ56" i="6"/>
  <c r="AJ44" i="6"/>
  <c r="AJ46" i="6"/>
  <c r="AJ4" i="6"/>
  <c r="AJ24" i="6"/>
  <c r="AJ6" i="6"/>
  <c r="AJ26" i="6"/>
  <c r="AJ14" i="6"/>
  <c r="AJ34" i="6"/>
  <c r="AJ54" i="6"/>
  <c r="BP49" i="14"/>
  <c r="C85" i="2"/>
  <c r="D85" i="2" s="1"/>
  <c r="C84" i="2"/>
  <c r="D84" i="2" s="1"/>
  <c r="D83" i="2"/>
  <c r="D118" i="2"/>
  <c r="C120" i="2"/>
  <c r="D120" i="2" s="1"/>
  <c r="C119" i="2"/>
  <c r="D119" i="2" s="1"/>
  <c r="BP60" i="14"/>
  <c r="BP39" i="14"/>
  <c r="BP31" i="14"/>
  <c r="BP35" i="14"/>
  <c r="AF61" i="7"/>
  <c r="AF91" i="13"/>
  <c r="AF48" i="6"/>
  <c r="BP26" i="14"/>
  <c r="BP72" i="14"/>
  <c r="BP41" i="14"/>
  <c r="BP25" i="14"/>
  <c r="BP37" i="14"/>
  <c r="BP48" i="14"/>
  <c r="BP71" i="14"/>
  <c r="BP38" i="14"/>
  <c r="BP43" i="14"/>
  <c r="BP42" i="14"/>
  <c r="BP47" i="14"/>
  <c r="AF30" i="7"/>
  <c r="AF18" i="13"/>
  <c r="AF91" i="7"/>
  <c r="AF72" i="7"/>
  <c r="AF40" i="6"/>
  <c r="AF49" i="6"/>
  <c r="AF49" i="13"/>
  <c r="AF80" i="13"/>
  <c r="AF15" i="13"/>
  <c r="AF134" i="7"/>
  <c r="AF7" i="7"/>
  <c r="AF4" i="13"/>
  <c r="AF65" i="7"/>
  <c r="AF51" i="6"/>
  <c r="AF33" i="13"/>
  <c r="AF53" i="7"/>
  <c r="AF54" i="6"/>
  <c r="AF31" i="7"/>
  <c r="AF147" i="7"/>
  <c r="AF71" i="13"/>
  <c r="AF11" i="6"/>
  <c r="AF51" i="14"/>
  <c r="AF43" i="7"/>
  <c r="AF8" i="13"/>
  <c r="AF43" i="13"/>
  <c r="AF13" i="7"/>
  <c r="AF15" i="7"/>
  <c r="AF36" i="13"/>
  <c r="AF128" i="7"/>
  <c r="AF28" i="13"/>
  <c r="AF52" i="14"/>
  <c r="AF19" i="6"/>
  <c r="AF27" i="13"/>
  <c r="AF12" i="6"/>
  <c r="AF93" i="13"/>
  <c r="AF81" i="7"/>
  <c r="AD20" i="6"/>
  <c r="AD26" i="7"/>
  <c r="AD63" i="6"/>
  <c r="AD43" i="6"/>
  <c r="AE53" i="6"/>
  <c r="AD8" i="6"/>
  <c r="AE93" i="7"/>
  <c r="AE88" i="7"/>
  <c r="AD55" i="7"/>
  <c r="AD7" i="6"/>
  <c r="AD94" i="7"/>
  <c r="AD32" i="7"/>
  <c r="AE5" i="6"/>
  <c r="AE10" i="14"/>
  <c r="AE41" i="7"/>
  <c r="AD63" i="13"/>
  <c r="AD9" i="6"/>
  <c r="AE38" i="7"/>
  <c r="AD9" i="7"/>
  <c r="AD65" i="13"/>
  <c r="AD129" i="7"/>
  <c r="AD84" i="7"/>
  <c r="AD77" i="13"/>
  <c r="AD30" i="6"/>
  <c r="AE76" i="13"/>
  <c r="AD58" i="14"/>
  <c r="AD39" i="6"/>
  <c r="AE109" i="7"/>
  <c r="AE21" i="6"/>
  <c r="AD23" i="7"/>
  <c r="AE62" i="13"/>
  <c r="AE158" i="7"/>
  <c r="AE141" i="7"/>
  <c r="AE84" i="13"/>
  <c r="AD35" i="6"/>
  <c r="AD85" i="13"/>
  <c r="AE6" i="7"/>
  <c r="AE57" i="14"/>
  <c r="AD50" i="6"/>
  <c r="AE47" i="6"/>
  <c r="AD68" i="7"/>
  <c r="AD118" i="7"/>
  <c r="AD132" i="7"/>
  <c r="AE14" i="7"/>
  <c r="AD101" i="7"/>
  <c r="AD115" i="7"/>
  <c r="AE46" i="7"/>
  <c r="AE35" i="14"/>
  <c r="AI48" i="14"/>
  <c r="AK48" i="14" s="1"/>
  <c r="AR5" i="14"/>
  <c r="AU5" i="14" s="1"/>
  <c r="AR48" i="14"/>
  <c r="AU48" i="14" s="1"/>
  <c r="AR55" i="14"/>
  <c r="AU55" i="14" s="1"/>
  <c r="AR28" i="14"/>
  <c r="AU28" i="14" s="1"/>
  <c r="AR54" i="14"/>
  <c r="AU54" i="14" s="1"/>
  <c r="AR53" i="14"/>
  <c r="AU53" i="14" s="1"/>
  <c r="AR51" i="14"/>
  <c r="AU51" i="14" s="1"/>
  <c r="AR7" i="14"/>
  <c r="AU7" i="14" s="1"/>
  <c r="AR27" i="14"/>
  <c r="AU27" i="14" s="1"/>
  <c r="AR59" i="14"/>
  <c r="AU59" i="14" s="1"/>
  <c r="AR11" i="14"/>
  <c r="AU11" i="14" s="1"/>
  <c r="AR29" i="14"/>
  <c r="AU29" i="14" s="1"/>
  <c r="AR6" i="14"/>
  <c r="AU6" i="14" s="1"/>
  <c r="AR33" i="14"/>
  <c r="AU33" i="14" s="1"/>
  <c r="AR57" i="14"/>
  <c r="AU57" i="14" s="1"/>
  <c r="AR58" i="14"/>
  <c r="AU58" i="14" s="1"/>
  <c r="AR12" i="14"/>
  <c r="AU12" i="14" s="1"/>
  <c r="AR32" i="14"/>
  <c r="AU32" i="14" s="1"/>
  <c r="AR4" i="14"/>
  <c r="AU4" i="14" s="1"/>
  <c r="AR9" i="14"/>
  <c r="AU9" i="14" s="1"/>
  <c r="AR50" i="14"/>
  <c r="AU50" i="14" s="1"/>
  <c r="AR52" i="14"/>
  <c r="AU52" i="14" s="1"/>
  <c r="AR69" i="14"/>
  <c r="AU69" i="14" s="1"/>
  <c r="AI26" i="14"/>
  <c r="U26" i="14"/>
  <c r="AP26" i="14" s="1"/>
  <c r="AQ26" i="14" s="1"/>
  <c r="AR26" i="14" s="1"/>
  <c r="U25" i="14"/>
  <c r="AP25" i="14" s="1"/>
  <c r="AQ25" i="14" s="1"/>
  <c r="AI25" i="14"/>
  <c r="AI72" i="14"/>
  <c r="U72" i="14"/>
  <c r="AP72" i="14" s="1"/>
  <c r="AQ72" i="14" s="1"/>
  <c r="AR72" i="14" s="1"/>
  <c r="AI49" i="14"/>
  <c r="U49" i="14"/>
  <c r="AP49" i="14" s="1"/>
  <c r="AQ49" i="14" s="1"/>
  <c r="AR49" i="14" s="1"/>
  <c r="AI71" i="14"/>
  <c r="U71" i="14"/>
  <c r="AP71" i="14" s="1"/>
  <c r="AQ71" i="14" s="1"/>
  <c r="AI61" i="14"/>
  <c r="AJ61" i="14" s="1"/>
  <c r="U61" i="14"/>
  <c r="AP61" i="14" s="1"/>
  <c r="AQ61" i="14" s="1"/>
  <c r="U44" i="14"/>
  <c r="AP44" i="14" s="1"/>
  <c r="AQ44" i="14" s="1"/>
  <c r="AI44" i="14"/>
  <c r="AK44" i="14" s="1"/>
  <c r="U62" i="14"/>
  <c r="AP62" i="14" s="1"/>
  <c r="AQ62" i="14" s="1"/>
  <c r="BP46" i="14"/>
  <c r="BP9" i="14"/>
  <c r="BP57" i="14"/>
  <c r="BP59" i="14"/>
  <c r="BP36" i="14"/>
  <c r="BP13" i="14"/>
  <c r="AK14" i="6"/>
  <c r="AK38" i="6"/>
  <c r="AK48" i="6"/>
  <c r="AK26" i="6"/>
  <c r="AK55" i="6"/>
  <c r="AK45" i="6"/>
  <c r="AK25" i="6"/>
  <c r="AK46" i="6"/>
  <c r="AK4" i="6"/>
  <c r="AK54" i="6"/>
  <c r="AK16" i="6"/>
  <c r="AK58" i="6"/>
  <c r="AK37" i="6"/>
  <c r="AK27" i="6"/>
  <c r="AK18" i="6"/>
  <c r="AL18" i="6" s="1"/>
  <c r="AN18" i="6" s="1"/>
  <c r="BP33" i="7"/>
  <c r="BP138" i="7"/>
  <c r="BP65" i="7"/>
  <c r="BP60" i="7"/>
  <c r="BP10" i="7"/>
  <c r="BP7" i="7"/>
  <c r="U15" i="14"/>
  <c r="AP15" i="14" s="1"/>
  <c r="AQ15" i="14" s="1"/>
  <c r="AI69" i="14"/>
  <c r="AK69" i="14" s="1"/>
  <c r="BP66" i="14"/>
  <c r="BP65" i="14"/>
  <c r="BP68" i="14"/>
  <c r="Z68" i="14"/>
  <c r="Y68" i="14"/>
  <c r="Z66" i="14"/>
  <c r="Y66" i="14"/>
  <c r="Y69" i="14"/>
  <c r="Z69" i="14"/>
  <c r="U23" i="14"/>
  <c r="AP23" i="14" s="1"/>
  <c r="AQ23" i="14" s="1"/>
  <c r="AI23" i="14"/>
  <c r="AI67" i="14"/>
  <c r="U67" i="14"/>
  <c r="AP67" i="14" s="1"/>
  <c r="AQ67" i="14" s="1"/>
  <c r="U20" i="14"/>
  <c r="AP20" i="14" s="1"/>
  <c r="AQ20" i="14" s="1"/>
  <c r="AI20" i="14"/>
  <c r="Z46" i="14"/>
  <c r="Y46" i="14"/>
  <c r="Z61" i="14"/>
  <c r="Y61" i="14"/>
  <c r="Y44" i="14"/>
  <c r="Z44" i="14"/>
  <c r="U17" i="14"/>
  <c r="AP17" i="14" s="1"/>
  <c r="AQ17" i="14" s="1"/>
  <c r="AI17" i="14"/>
  <c r="BP62" i="14"/>
  <c r="AE43" i="14"/>
  <c r="AD43" i="14"/>
  <c r="AD38" i="14"/>
  <c r="AE38" i="14"/>
  <c r="BP24" i="14"/>
  <c r="AI68" i="14"/>
  <c r="U68" i="14"/>
  <c r="AP68" i="14" s="1"/>
  <c r="AQ68" i="14" s="1"/>
  <c r="BP61" i="14"/>
  <c r="U41" i="14"/>
  <c r="AP41" i="14" s="1"/>
  <c r="AQ41" i="14" s="1"/>
  <c r="AI41" i="14"/>
  <c r="AE42" i="14"/>
  <c r="AD42" i="14"/>
  <c r="AE45" i="14"/>
  <c r="AD45" i="14"/>
  <c r="AD64" i="14"/>
  <c r="AE64" i="14"/>
  <c r="BP20" i="14"/>
  <c r="U45" i="14"/>
  <c r="AP45" i="14" s="1"/>
  <c r="AQ45" i="14" s="1"/>
  <c r="AI45" i="14"/>
  <c r="AD68" i="14"/>
  <c r="AE68" i="14"/>
  <c r="AD66" i="14"/>
  <c r="AE66" i="14"/>
  <c r="AE69" i="14"/>
  <c r="AD69" i="14"/>
  <c r="BP16" i="14"/>
  <c r="AI70" i="14"/>
  <c r="U70" i="14"/>
  <c r="AP70" i="14" s="1"/>
  <c r="AQ70" i="14" s="1"/>
  <c r="AI21" i="14"/>
  <c r="U21" i="14"/>
  <c r="AP21" i="14" s="1"/>
  <c r="AQ21" i="14" s="1"/>
  <c r="AI46" i="14"/>
  <c r="U46" i="14"/>
  <c r="AP46" i="14" s="1"/>
  <c r="AQ46" i="14" s="1"/>
  <c r="AI38" i="14"/>
  <c r="U38" i="14"/>
  <c r="AP38" i="14" s="1"/>
  <c r="AQ38" i="14" s="1"/>
  <c r="U40" i="14"/>
  <c r="AP40" i="14" s="1"/>
  <c r="AQ40" i="14" s="1"/>
  <c r="AR40" i="14" s="1"/>
  <c r="AI40" i="14"/>
  <c r="AD46" i="14"/>
  <c r="AE46" i="14"/>
  <c r="AE61" i="14"/>
  <c r="AD61" i="14"/>
  <c r="AD44" i="14"/>
  <c r="AE44" i="14"/>
  <c r="BP69" i="14"/>
  <c r="AJ15" i="14"/>
  <c r="AK15" i="14"/>
  <c r="Z43" i="14"/>
  <c r="Y43" i="14"/>
  <c r="Y38" i="14"/>
  <c r="Z38" i="14"/>
  <c r="U22" i="14"/>
  <c r="AP22" i="14" s="1"/>
  <c r="AQ22" i="14" s="1"/>
  <c r="AI22" i="14"/>
  <c r="Z42" i="14"/>
  <c r="Y42" i="14"/>
  <c r="Z45" i="14"/>
  <c r="Y45" i="14"/>
  <c r="Z64" i="14"/>
  <c r="Y64" i="14"/>
  <c r="AI47" i="14"/>
  <c r="U47" i="14"/>
  <c r="AP47" i="14" s="1"/>
  <c r="AQ47" i="14" s="1"/>
  <c r="U39" i="14"/>
  <c r="AP39" i="14" s="1"/>
  <c r="AQ39" i="14" s="1"/>
  <c r="AI39" i="14"/>
  <c r="AD40" i="14"/>
  <c r="AE40" i="14"/>
  <c r="Z63" i="14"/>
  <c r="Y63" i="14"/>
  <c r="AE62" i="14"/>
  <c r="AD62" i="14"/>
  <c r="BP23" i="14"/>
  <c r="BP70" i="14"/>
  <c r="AI63" i="14"/>
  <c r="U63" i="14"/>
  <c r="AP63" i="14" s="1"/>
  <c r="AQ63" i="14" s="1"/>
  <c r="BP18" i="14"/>
  <c r="AD41" i="14"/>
  <c r="AE41" i="14"/>
  <c r="Y65" i="14"/>
  <c r="Z65" i="14"/>
  <c r="BP19" i="14"/>
  <c r="BP17" i="14"/>
  <c r="AI66" i="14"/>
  <c r="U66" i="14"/>
  <c r="AP66" i="14" s="1"/>
  <c r="AQ66" i="14" s="1"/>
  <c r="AR66" i="14" s="1"/>
  <c r="BP45" i="14"/>
  <c r="AE39" i="14"/>
  <c r="AD39" i="14"/>
  <c r="BP15" i="14"/>
  <c r="AI24" i="14"/>
  <c r="U24" i="14"/>
  <c r="AP24" i="14" s="1"/>
  <c r="AQ24" i="14" s="1"/>
  <c r="AI65" i="14"/>
  <c r="U65" i="14"/>
  <c r="AP65" i="14" s="1"/>
  <c r="AQ65" i="14" s="1"/>
  <c r="BP44" i="14"/>
  <c r="AE47" i="14"/>
  <c r="AD47" i="14"/>
  <c r="AD70" i="14"/>
  <c r="AE70" i="14"/>
  <c r="AD67" i="14"/>
  <c r="AE67" i="14"/>
  <c r="BP22" i="14"/>
  <c r="AK62" i="14"/>
  <c r="AJ62" i="14"/>
  <c r="Z40" i="14"/>
  <c r="Y40" i="14"/>
  <c r="AD63" i="14"/>
  <c r="AE63" i="14"/>
  <c r="Z62" i="14"/>
  <c r="Y62" i="14"/>
  <c r="AI16" i="14"/>
  <c r="U16" i="14"/>
  <c r="AP16" i="14" s="1"/>
  <c r="AQ16" i="14" s="1"/>
  <c r="BP21" i="14"/>
  <c r="BP67" i="14"/>
  <c r="BP63" i="14"/>
  <c r="AI42" i="14"/>
  <c r="U42" i="14"/>
  <c r="AP42" i="14" s="1"/>
  <c r="AQ42" i="14" s="1"/>
  <c r="AI18" i="14"/>
  <c r="U18" i="14"/>
  <c r="AP18" i="14" s="1"/>
  <c r="AQ18" i="14" s="1"/>
  <c r="Y41" i="14"/>
  <c r="Z41" i="14"/>
  <c r="AD65" i="14"/>
  <c r="AE65" i="14"/>
  <c r="AI19" i="14"/>
  <c r="U19" i="14"/>
  <c r="AP19" i="14" s="1"/>
  <c r="AQ19" i="14" s="1"/>
  <c r="AR19" i="14" s="1"/>
  <c r="Z39" i="14"/>
  <c r="Y39" i="14"/>
  <c r="BP40" i="14"/>
  <c r="Z47" i="14"/>
  <c r="Y47" i="14"/>
  <c r="Z70" i="14"/>
  <c r="Y70" i="14"/>
  <c r="Y67" i="14"/>
  <c r="Z67" i="14"/>
  <c r="AI64" i="14"/>
  <c r="U64" i="14"/>
  <c r="AP64" i="14" s="1"/>
  <c r="AQ64" i="14" s="1"/>
  <c r="U43" i="14"/>
  <c r="AP43" i="14" s="1"/>
  <c r="AQ43" i="14" s="1"/>
  <c r="AI43" i="14"/>
  <c r="Z30" i="14"/>
  <c r="AE16" i="14"/>
  <c r="AD16" i="14"/>
  <c r="AD19" i="14"/>
  <c r="AE19" i="14"/>
  <c r="AE22" i="14"/>
  <c r="AD22" i="14"/>
  <c r="Z19" i="14"/>
  <c r="Y19" i="14"/>
  <c r="Y23" i="14"/>
  <c r="Z23" i="14"/>
  <c r="AD17" i="13"/>
  <c r="AD24" i="14"/>
  <c r="AE24" i="14"/>
  <c r="AE20" i="14"/>
  <c r="AD20" i="14"/>
  <c r="Z18" i="14"/>
  <c r="Y18" i="14"/>
  <c r="Z17" i="14"/>
  <c r="Y17" i="14"/>
  <c r="AD21" i="14"/>
  <c r="AE21" i="14"/>
  <c r="Z15" i="14"/>
  <c r="Y15" i="14"/>
  <c r="AD23" i="14"/>
  <c r="AE23" i="14"/>
  <c r="Z16" i="14"/>
  <c r="Y16" i="14"/>
  <c r="AD15" i="14"/>
  <c r="AE15" i="14"/>
  <c r="Z22" i="14"/>
  <c r="Y22" i="14"/>
  <c r="AE17" i="13"/>
  <c r="Z28" i="13"/>
  <c r="AA28" i="13" s="1"/>
  <c r="AB28" i="13" s="1"/>
  <c r="Y36" i="7"/>
  <c r="AD56" i="7"/>
  <c r="Z24" i="14"/>
  <c r="Y24" i="14"/>
  <c r="Z20" i="14"/>
  <c r="Y20" i="14"/>
  <c r="AD18" i="14"/>
  <c r="AE18" i="14"/>
  <c r="AD17" i="14"/>
  <c r="AE17" i="14"/>
  <c r="Z21" i="14"/>
  <c r="Y21" i="14"/>
  <c r="AP149" i="7"/>
  <c r="AQ149" i="7" s="1"/>
  <c r="AR149" i="7" s="1"/>
  <c r="AK149" i="7"/>
  <c r="AL149" i="7" s="1"/>
  <c r="AI59" i="14"/>
  <c r="AK59" i="14" s="1"/>
  <c r="Z43" i="13"/>
  <c r="AA43" i="13" s="1"/>
  <c r="AB43" i="13" s="1"/>
  <c r="Z8" i="14"/>
  <c r="AA8" i="14" s="1"/>
  <c r="AB8" i="14" s="1"/>
  <c r="Z93" i="13"/>
  <c r="AA93" i="13" s="1"/>
  <c r="AB93" i="13" s="1"/>
  <c r="Y52" i="14"/>
  <c r="Y30" i="14"/>
  <c r="AE39" i="6"/>
  <c r="AE12" i="7"/>
  <c r="AD57" i="14"/>
  <c r="AE45" i="7"/>
  <c r="AD45" i="7"/>
  <c r="Y72" i="7"/>
  <c r="Y45" i="7"/>
  <c r="Z45" i="7"/>
  <c r="Z149" i="7"/>
  <c r="Y149" i="7"/>
  <c r="Z97" i="7"/>
  <c r="Y97" i="7"/>
  <c r="AD149" i="7"/>
  <c r="AE149" i="7"/>
  <c r="AE97" i="7"/>
  <c r="AD97" i="7"/>
  <c r="AJ97" i="7"/>
  <c r="AP97" i="7"/>
  <c r="AQ97" i="7" s="1"/>
  <c r="AR97" i="7" s="1"/>
  <c r="AK97" i="7"/>
  <c r="BP149" i="7"/>
  <c r="BP97" i="7"/>
  <c r="AD41" i="7"/>
  <c r="Z36" i="7"/>
  <c r="BP45" i="7"/>
  <c r="Y83" i="7"/>
  <c r="Z83" i="7"/>
  <c r="AK6" i="6"/>
  <c r="AK36" i="6"/>
  <c r="AK56" i="6"/>
  <c r="AJ45" i="7"/>
  <c r="AP45" i="7"/>
  <c r="AQ45" i="7" s="1"/>
  <c r="AR45" i="7" s="1"/>
  <c r="AK45" i="7"/>
  <c r="AE143" i="7"/>
  <c r="AD84" i="13"/>
  <c r="AD107" i="7"/>
  <c r="AD12" i="7"/>
  <c r="AE51" i="13"/>
  <c r="AD51" i="13"/>
  <c r="AF83" i="7"/>
  <c r="Z52" i="14"/>
  <c r="AD156" i="7"/>
  <c r="Z54" i="14"/>
  <c r="AA54" i="14" s="1"/>
  <c r="AB54" i="14" s="1"/>
  <c r="Z53" i="7"/>
  <c r="AE56" i="7"/>
  <c r="Z72" i="7"/>
  <c r="Z108" i="7"/>
  <c r="Y31" i="7"/>
  <c r="AA31" i="7" s="1"/>
  <c r="AB31" i="7" s="1"/>
  <c r="Z91" i="13"/>
  <c r="AA91" i="13" s="1"/>
  <c r="AB91" i="13" s="1"/>
  <c r="Y108" i="7"/>
  <c r="AE156" i="7"/>
  <c r="AD25" i="13"/>
  <c r="AD20" i="13"/>
  <c r="AD35" i="14"/>
  <c r="AE25" i="13"/>
  <c r="AD74" i="13"/>
  <c r="AD38" i="7"/>
  <c r="AA150" i="7"/>
  <c r="AB150" i="7" s="1"/>
  <c r="AE115" i="7"/>
  <c r="AE107" i="7"/>
  <c r="AF108" i="7"/>
  <c r="AE125" i="7"/>
  <c r="AD46" i="7"/>
  <c r="AD143" i="7"/>
  <c r="AD93" i="7"/>
  <c r="Y43" i="7"/>
  <c r="AA43" i="7" s="1"/>
  <c r="AB43" i="7" s="1"/>
  <c r="AE129" i="7"/>
  <c r="AD88" i="7"/>
  <c r="AA56" i="7"/>
  <c r="AB56" i="7" s="1"/>
  <c r="AF136" i="7"/>
  <c r="Z36" i="13"/>
  <c r="AD76" i="13"/>
  <c r="AD89" i="7"/>
  <c r="Y136" i="7"/>
  <c r="AA141" i="7"/>
  <c r="AB141" i="7" s="1"/>
  <c r="AE32" i="7"/>
  <c r="AD6" i="7"/>
  <c r="AE85" i="13"/>
  <c r="AE84" i="7"/>
  <c r="Y36" i="13"/>
  <c r="AE94" i="7"/>
  <c r="AP6" i="6"/>
  <c r="AQ6" i="6" s="1"/>
  <c r="AR6" i="6" s="1"/>
  <c r="AU6" i="6" s="1"/>
  <c r="U60" i="14"/>
  <c r="AP60" i="14" s="1"/>
  <c r="AQ60" i="14" s="1"/>
  <c r="AI60" i="14"/>
  <c r="AP56" i="6"/>
  <c r="AQ56" i="6" s="1"/>
  <c r="AR56" i="6" s="1"/>
  <c r="AU56" i="6" s="1"/>
  <c r="AP36" i="6"/>
  <c r="AQ36" i="6" s="1"/>
  <c r="AR36" i="6" s="1"/>
  <c r="AU36" i="6" s="1"/>
  <c r="U37" i="14"/>
  <c r="AP37" i="14" s="1"/>
  <c r="AQ37" i="14" s="1"/>
  <c r="AI37" i="14"/>
  <c r="U36" i="14"/>
  <c r="AP36" i="14" s="1"/>
  <c r="AQ36" i="14" s="1"/>
  <c r="AI36" i="14"/>
  <c r="U13" i="14"/>
  <c r="AP13" i="14" s="1"/>
  <c r="AQ13" i="14" s="1"/>
  <c r="AI13" i="14"/>
  <c r="AP26" i="6"/>
  <c r="AQ26" i="6" s="1"/>
  <c r="AR26" i="6" s="1"/>
  <c r="AU26" i="6" s="1"/>
  <c r="AP16" i="6"/>
  <c r="AQ16" i="6" s="1"/>
  <c r="AR16" i="6" s="1"/>
  <c r="AU16" i="6" s="1"/>
  <c r="AE68" i="7"/>
  <c r="AP46" i="6"/>
  <c r="AQ46" i="6" s="1"/>
  <c r="AR46" i="6" s="1"/>
  <c r="AU46" i="6" s="1"/>
  <c r="U14" i="14"/>
  <c r="AP14" i="14" s="1"/>
  <c r="AQ14" i="14" s="1"/>
  <c r="AI14" i="14"/>
  <c r="AA94" i="7"/>
  <c r="AB94" i="7" s="1"/>
  <c r="AA89" i="7"/>
  <c r="AB89" i="7" s="1"/>
  <c r="Z8" i="13"/>
  <c r="Y4" i="13"/>
  <c r="AK154" i="7"/>
  <c r="AK80" i="7"/>
  <c r="AK93" i="7"/>
  <c r="AK145" i="7"/>
  <c r="AK81" i="7"/>
  <c r="AK50" i="7"/>
  <c r="AK49" i="7"/>
  <c r="BP35" i="7"/>
  <c r="BP142" i="7"/>
  <c r="AK11" i="13"/>
  <c r="AK78" i="13"/>
  <c r="AK99" i="7"/>
  <c r="AK5" i="13"/>
  <c r="AK19" i="13"/>
  <c r="AK42" i="13"/>
  <c r="AK55" i="13"/>
  <c r="AK25" i="13"/>
  <c r="AK150" i="7"/>
  <c r="AK12" i="13"/>
  <c r="AJ107" i="7"/>
  <c r="AJ66" i="13"/>
  <c r="AK75" i="7"/>
  <c r="AK106" i="7"/>
  <c r="AJ56" i="13"/>
  <c r="AJ48" i="13"/>
  <c r="AJ47" i="7"/>
  <c r="AK55" i="7"/>
  <c r="AK54" i="7"/>
  <c r="AJ37" i="13"/>
  <c r="AJ46" i="7"/>
  <c r="AJ86" i="13"/>
  <c r="AJ65" i="13"/>
  <c r="BP18" i="7"/>
  <c r="AD60" i="14"/>
  <c r="AE60" i="14"/>
  <c r="AE13" i="14"/>
  <c r="AD13" i="14"/>
  <c r="Z36" i="14"/>
  <c r="Y36" i="14"/>
  <c r="AE36" i="6"/>
  <c r="AD36" i="6"/>
  <c r="Z46" i="6"/>
  <c r="Y46" i="6"/>
  <c r="AE26" i="6"/>
  <c r="AD26" i="6"/>
  <c r="Y60" i="14"/>
  <c r="Z60" i="14"/>
  <c r="Y13" i="14"/>
  <c r="Z13" i="14"/>
  <c r="AD36" i="14"/>
  <c r="AE36" i="14"/>
  <c r="Z36" i="6"/>
  <c r="Y36" i="6"/>
  <c r="AD46" i="6"/>
  <c r="AE46" i="6"/>
  <c r="Z26" i="6"/>
  <c r="Y26" i="6"/>
  <c r="Y56" i="6"/>
  <c r="Z56" i="6"/>
  <c r="Z59" i="14"/>
  <c r="Y59" i="14"/>
  <c r="AE16" i="6"/>
  <c r="AD16" i="6"/>
  <c r="AE37" i="14"/>
  <c r="AD37" i="14"/>
  <c r="AE14" i="14"/>
  <c r="AD14" i="14"/>
  <c r="AD6" i="6"/>
  <c r="AE6" i="6"/>
  <c r="AE56" i="6"/>
  <c r="AD56" i="6"/>
  <c r="AD59" i="14"/>
  <c r="AE59" i="14"/>
  <c r="Z16" i="6"/>
  <c r="Y16" i="6"/>
  <c r="Z37" i="14"/>
  <c r="Y37" i="14"/>
  <c r="Z14" i="14"/>
  <c r="Y14" i="14"/>
  <c r="Z6" i="6"/>
  <c r="Y6" i="6"/>
  <c r="AE4" i="14"/>
  <c r="AD4" i="14"/>
  <c r="AE7" i="6"/>
  <c r="BP111" i="7"/>
  <c r="BP10" i="14"/>
  <c r="BP57" i="13"/>
  <c r="BP73" i="7"/>
  <c r="BP12" i="14"/>
  <c r="BP42" i="13"/>
  <c r="BP90" i="7"/>
  <c r="BP26" i="7"/>
  <c r="BP53" i="7"/>
  <c r="BP14" i="7"/>
  <c r="AD64" i="7"/>
  <c r="Y13" i="7"/>
  <c r="AE77" i="13"/>
  <c r="Z33" i="14"/>
  <c r="Z18" i="13"/>
  <c r="AA18" i="13" s="1"/>
  <c r="AB18" i="13" s="1"/>
  <c r="AE118" i="7"/>
  <c r="Z120" i="7"/>
  <c r="AE64" i="7"/>
  <c r="AD62" i="13"/>
  <c r="AE132" i="7"/>
  <c r="Z27" i="13"/>
  <c r="AD21" i="6"/>
  <c r="Z80" i="13"/>
  <c r="AD34" i="13"/>
  <c r="Z7" i="7"/>
  <c r="AE58" i="14"/>
  <c r="Z49" i="13"/>
  <c r="Z13" i="7"/>
  <c r="AE52" i="13"/>
  <c r="Y120" i="7"/>
  <c r="AA74" i="13"/>
  <c r="AB74" i="13" s="1"/>
  <c r="Y27" i="13"/>
  <c r="AE45" i="6"/>
  <c r="Z22" i="13"/>
  <c r="AA22" i="13" s="1"/>
  <c r="AB22" i="13" s="1"/>
  <c r="AD125" i="7"/>
  <c r="Z71" i="13"/>
  <c r="AA71" i="13" s="1"/>
  <c r="AB71" i="13" s="1"/>
  <c r="AE9" i="7"/>
  <c r="AD150" i="7"/>
  <c r="Z147" i="7"/>
  <c r="AA147" i="7" s="1"/>
  <c r="AB147" i="7" s="1"/>
  <c r="Y49" i="13"/>
  <c r="AE65" i="13"/>
  <c r="AD59" i="13"/>
  <c r="Y80" i="13"/>
  <c r="AA80" i="13" s="1"/>
  <c r="AB80" i="13" s="1"/>
  <c r="AE34" i="13"/>
  <c r="AE59" i="13"/>
  <c r="AE150" i="7"/>
  <c r="AD14" i="7"/>
  <c r="AD52" i="13"/>
  <c r="Y33" i="14"/>
  <c r="Z91" i="7"/>
  <c r="AA91" i="7" s="1"/>
  <c r="AB91" i="7" s="1"/>
  <c r="Y128" i="7"/>
  <c r="AA128" i="7" s="1"/>
  <c r="AB128" i="7" s="1"/>
  <c r="Y5" i="14"/>
  <c r="AA5" i="14" s="1"/>
  <c r="AB5" i="14" s="1"/>
  <c r="AE63" i="13"/>
  <c r="Z136" i="7"/>
  <c r="AA34" i="13"/>
  <c r="AB34" i="13" s="1"/>
  <c r="AF25" i="7"/>
  <c r="Y29" i="7"/>
  <c r="AA29" i="7" s="1"/>
  <c r="AB29" i="7" s="1"/>
  <c r="AD74" i="7"/>
  <c r="AE89" i="7"/>
  <c r="Z51" i="14"/>
  <c r="AA51" i="14" s="1"/>
  <c r="AB51" i="14" s="1"/>
  <c r="Y8" i="13"/>
  <c r="AD57" i="7"/>
  <c r="Y61" i="7"/>
  <c r="AA61" i="7" s="1"/>
  <c r="AB61" i="7" s="1"/>
  <c r="AE20" i="13"/>
  <c r="Z60" i="7"/>
  <c r="AA60" i="7" s="1"/>
  <c r="AB60" i="7" s="1"/>
  <c r="AE57" i="7"/>
  <c r="AE63" i="6"/>
  <c r="Z4" i="13"/>
  <c r="AE74" i="13"/>
  <c r="Y86" i="13"/>
  <c r="AA86" i="13" s="1"/>
  <c r="AB86" i="13" s="1"/>
  <c r="AA52" i="13"/>
  <c r="AB52" i="13" s="1"/>
  <c r="Z32" i="6"/>
  <c r="Z55" i="6"/>
  <c r="AA55" i="6" s="1"/>
  <c r="AB55" i="6" s="1"/>
  <c r="AE35" i="6"/>
  <c r="Z40" i="6"/>
  <c r="Z51" i="6"/>
  <c r="Y62" i="6"/>
  <c r="AA62" i="6" s="1"/>
  <c r="AB62" i="6" s="1"/>
  <c r="Y12" i="6"/>
  <c r="Z52" i="6"/>
  <c r="AA52" i="6" s="1"/>
  <c r="AB52" i="6" s="1"/>
  <c r="Z12" i="6"/>
  <c r="AE8" i="6"/>
  <c r="AE9" i="6"/>
  <c r="Y32" i="6"/>
  <c r="AD57" i="6"/>
  <c r="AE43" i="6"/>
  <c r="AD45" i="6"/>
  <c r="Y27" i="6"/>
  <c r="AA27" i="6" s="1"/>
  <c r="AB27" i="6" s="1"/>
  <c r="Y44" i="6"/>
  <c r="AA44" i="6" s="1"/>
  <c r="AB44" i="6" s="1"/>
  <c r="AE57" i="6"/>
  <c r="Z29" i="6"/>
  <c r="AA29" i="6" s="1"/>
  <c r="AB29" i="6" s="1"/>
  <c r="AD53" i="6"/>
  <c r="AE74" i="7"/>
  <c r="Z81" i="7"/>
  <c r="AA81" i="7" s="1"/>
  <c r="AB81" i="7" s="1"/>
  <c r="AE101" i="7"/>
  <c r="AE55" i="7"/>
  <c r="AE42" i="7"/>
  <c r="AD42" i="7"/>
  <c r="Y53" i="7"/>
  <c r="Z80" i="7"/>
  <c r="Y7" i="7"/>
  <c r="Y15" i="7"/>
  <c r="AA15" i="7" s="1"/>
  <c r="AB15" i="7" s="1"/>
  <c r="Z152" i="7"/>
  <c r="AA152" i="7" s="1"/>
  <c r="AB152" i="7" s="1"/>
  <c r="Z25" i="7"/>
  <c r="Y25" i="7"/>
  <c r="Y134" i="7"/>
  <c r="AA134" i="7" s="1"/>
  <c r="AB134" i="7" s="1"/>
  <c r="AD141" i="7"/>
  <c r="AD158" i="7"/>
  <c r="AE23" i="7"/>
  <c r="Y80" i="7"/>
  <c r="AR16" i="7"/>
  <c r="AR147" i="7"/>
  <c r="AR135" i="7"/>
  <c r="AR90" i="7"/>
  <c r="AR15" i="7"/>
  <c r="AR38" i="7"/>
  <c r="AR121" i="7"/>
  <c r="AR156" i="7"/>
  <c r="AR59" i="7"/>
  <c r="AR142" i="7"/>
  <c r="AR74" i="7"/>
  <c r="Y30" i="7"/>
  <c r="Z30" i="7"/>
  <c r="AR137" i="7"/>
  <c r="AR141" i="7"/>
  <c r="AR63" i="7"/>
  <c r="AR53" i="7"/>
  <c r="AR136" i="7"/>
  <c r="AR151" i="7"/>
  <c r="AR144" i="7"/>
  <c r="AR158" i="7"/>
  <c r="AR103" i="7"/>
  <c r="AR29" i="7"/>
  <c r="AR105" i="7"/>
  <c r="AR89" i="7"/>
  <c r="AR86" i="7"/>
  <c r="AR26" i="7"/>
  <c r="AR98" i="7"/>
  <c r="AR112" i="7"/>
  <c r="AR126" i="7"/>
  <c r="AP84" i="13"/>
  <c r="AQ84" i="13" s="1"/>
  <c r="AR84" i="13" s="1"/>
  <c r="AJ84" i="13"/>
  <c r="AJ30" i="13"/>
  <c r="AK54" i="13"/>
  <c r="AK84" i="13"/>
  <c r="AJ92" i="13"/>
  <c r="AK92" i="13"/>
  <c r="AP92" i="13"/>
  <c r="AQ92" i="13" s="1"/>
  <c r="AR92" i="13" s="1"/>
  <c r="AK22" i="13"/>
  <c r="AJ22" i="13"/>
  <c r="AP22" i="13"/>
  <c r="AQ22" i="13" s="1"/>
  <c r="AR22" i="13" s="1"/>
  <c r="AP29" i="13"/>
  <c r="AQ29" i="13" s="1"/>
  <c r="AR29" i="13" s="1"/>
  <c r="AJ29" i="13"/>
  <c r="AK29" i="13"/>
  <c r="AK24" i="13"/>
  <c r="AJ24" i="13"/>
  <c r="AP24" i="13"/>
  <c r="AQ24" i="13" s="1"/>
  <c r="AR24" i="13" s="1"/>
  <c r="AK60" i="13"/>
  <c r="AJ60" i="13"/>
  <c r="AP60" i="13"/>
  <c r="AQ60" i="13" s="1"/>
  <c r="AR60" i="13" s="1"/>
  <c r="AJ90" i="13"/>
  <c r="AP90" i="13"/>
  <c r="AQ90" i="13" s="1"/>
  <c r="AR90" i="13" s="1"/>
  <c r="AK90" i="13"/>
  <c r="AJ93" i="13"/>
  <c r="AP93" i="13"/>
  <c r="AQ93" i="13" s="1"/>
  <c r="AR93" i="13" s="1"/>
  <c r="AK93" i="13"/>
  <c r="AP31" i="13"/>
  <c r="AQ31" i="13" s="1"/>
  <c r="AR31" i="13" s="1"/>
  <c r="AK31" i="13"/>
  <c r="AJ31" i="13"/>
  <c r="AJ32" i="13"/>
  <c r="AK32" i="13"/>
  <c r="AP32" i="13"/>
  <c r="AQ32" i="13" s="1"/>
  <c r="AR32" i="13" s="1"/>
  <c r="AJ82" i="13"/>
  <c r="AK82" i="13"/>
  <c r="AP82" i="13"/>
  <c r="AQ82" i="13" s="1"/>
  <c r="AR82" i="13" s="1"/>
  <c r="AJ23" i="13"/>
  <c r="AP23" i="13"/>
  <c r="AQ23" i="13" s="1"/>
  <c r="AR23" i="13" s="1"/>
  <c r="AK23" i="13"/>
  <c r="AP53" i="13"/>
  <c r="AQ53" i="13" s="1"/>
  <c r="AR53" i="13" s="1"/>
  <c r="AJ53" i="13"/>
  <c r="AK53" i="13"/>
  <c r="AJ63" i="13"/>
  <c r="AP63" i="13"/>
  <c r="AQ63" i="13" s="1"/>
  <c r="AR63" i="13" s="1"/>
  <c r="AK63" i="13"/>
  <c r="AJ33" i="13"/>
  <c r="AK33" i="13"/>
  <c r="AP33" i="13"/>
  <c r="AQ33" i="13" s="1"/>
  <c r="AR33" i="13" s="1"/>
  <c r="AJ62" i="13"/>
  <c r="AK62" i="13"/>
  <c r="AP62" i="13"/>
  <c r="AQ62" i="13" s="1"/>
  <c r="AR62" i="13" s="1"/>
  <c r="AJ89" i="13"/>
  <c r="AK89" i="13"/>
  <c r="AP89" i="13"/>
  <c r="AQ89" i="13" s="1"/>
  <c r="AR89" i="13" s="1"/>
  <c r="AP52" i="13"/>
  <c r="AQ52" i="13" s="1"/>
  <c r="AR52" i="13" s="1"/>
  <c r="AJ52" i="13"/>
  <c r="AK52" i="13"/>
  <c r="AJ61" i="13"/>
  <c r="AK61" i="13"/>
  <c r="AP61" i="13"/>
  <c r="AQ61" i="13" s="1"/>
  <c r="AR61" i="13" s="1"/>
  <c r="AK83" i="13"/>
  <c r="AP83" i="13"/>
  <c r="AQ83" i="13" s="1"/>
  <c r="AR83" i="13" s="1"/>
  <c r="AJ83" i="13"/>
  <c r="AK30" i="13"/>
  <c r="AP59" i="13"/>
  <c r="AQ59" i="13" s="1"/>
  <c r="AR59" i="13" s="1"/>
  <c r="AP30" i="13"/>
  <c r="AQ30" i="13" s="1"/>
  <c r="AR30" i="13" s="1"/>
  <c r="AP54" i="13"/>
  <c r="AQ54" i="13" s="1"/>
  <c r="AR54" i="13" s="1"/>
  <c r="AJ59" i="13"/>
  <c r="AJ54" i="13"/>
  <c r="AK59" i="13"/>
  <c r="AK16" i="13"/>
  <c r="AJ16" i="13"/>
  <c r="AP16" i="13"/>
  <c r="AQ16" i="13" s="1"/>
  <c r="AR16" i="13" s="1"/>
  <c r="AK17" i="13"/>
  <c r="AJ17" i="13"/>
  <c r="AP17" i="13"/>
  <c r="AQ17" i="13" s="1"/>
  <c r="AR17" i="13" s="1"/>
  <c r="AJ45" i="13"/>
  <c r="AK45" i="13"/>
  <c r="AP45" i="13"/>
  <c r="AQ45" i="13" s="1"/>
  <c r="AR45" i="13" s="1"/>
  <c r="AJ75" i="13"/>
  <c r="AK75" i="13"/>
  <c r="AP75" i="13"/>
  <c r="AQ75" i="13" s="1"/>
  <c r="AR75" i="13" s="1"/>
  <c r="AJ15" i="13"/>
  <c r="AK15" i="13"/>
  <c r="AP15" i="13"/>
  <c r="AQ15" i="13" s="1"/>
  <c r="AR15" i="13" s="1"/>
  <c r="AJ47" i="13"/>
  <c r="AK47" i="13"/>
  <c r="AP47" i="13"/>
  <c r="AQ47" i="13" s="1"/>
  <c r="AR47" i="13" s="1"/>
  <c r="AP77" i="13"/>
  <c r="AQ77" i="13" s="1"/>
  <c r="AR77" i="13" s="1"/>
  <c r="AJ77" i="13"/>
  <c r="AK77" i="13"/>
  <c r="AP76" i="13"/>
  <c r="AQ76" i="13" s="1"/>
  <c r="AR76" i="13" s="1"/>
  <c r="AJ76" i="13"/>
  <c r="AL76" i="13" s="1"/>
  <c r="AP21" i="13"/>
  <c r="AQ21" i="13" s="1"/>
  <c r="AR21" i="13" s="1"/>
  <c r="AP26" i="13"/>
  <c r="AQ26" i="13" s="1"/>
  <c r="AR26" i="13" s="1"/>
  <c r="AK36" i="7"/>
  <c r="AJ36" i="7"/>
  <c r="AP34" i="7"/>
  <c r="AQ34" i="7" s="1"/>
  <c r="Y65" i="7"/>
  <c r="Z65" i="7"/>
  <c r="Z48" i="13"/>
  <c r="Y48" i="13"/>
  <c r="Y58" i="7"/>
  <c r="Z58" i="7"/>
  <c r="Y15" i="13"/>
  <c r="Z15" i="13"/>
  <c r="Z33" i="13"/>
  <c r="Y33" i="13"/>
  <c r="AE50" i="6"/>
  <c r="AP45" i="6"/>
  <c r="AQ45" i="6" s="1"/>
  <c r="AR45" i="6" s="1"/>
  <c r="AU45" i="6" s="1"/>
  <c r="Z49" i="6"/>
  <c r="AA49" i="6" s="1"/>
  <c r="AB49" i="6" s="1"/>
  <c r="Y28" i="6"/>
  <c r="AA28" i="6" s="1"/>
  <c r="AB28" i="6" s="1"/>
  <c r="Y17" i="6"/>
  <c r="Z17" i="6"/>
  <c r="AE33" i="6"/>
  <c r="AD47" i="6"/>
  <c r="AD33" i="6"/>
  <c r="Z10" i="6"/>
  <c r="Y10" i="6"/>
  <c r="Y11" i="6"/>
  <c r="Z11" i="6"/>
  <c r="Z54" i="6"/>
  <c r="AA54" i="6" s="1"/>
  <c r="AB54" i="6" s="1"/>
  <c r="Z48" i="6"/>
  <c r="Y48" i="6"/>
  <c r="AN63" i="6"/>
  <c r="AK60" i="7"/>
  <c r="AL60" i="7" s="1"/>
  <c r="AP54" i="7"/>
  <c r="AQ54" i="7" s="1"/>
  <c r="AN40" i="6"/>
  <c r="AP60" i="7"/>
  <c r="AQ60" i="7" s="1"/>
  <c r="AJ54" i="7"/>
  <c r="AP23" i="6"/>
  <c r="AQ23" i="6" s="1"/>
  <c r="AR23" i="6" s="1"/>
  <c r="AU23" i="6" s="1"/>
  <c r="AP29" i="6"/>
  <c r="AQ29" i="6" s="1"/>
  <c r="AR29" i="6" s="1"/>
  <c r="AU29" i="6" s="1"/>
  <c r="AK92" i="7"/>
  <c r="AL92" i="7" s="1"/>
  <c r="AJ7" i="7"/>
  <c r="AL7" i="7" s="1"/>
  <c r="AN33" i="6"/>
  <c r="U31" i="14"/>
  <c r="AP31" i="14" s="1"/>
  <c r="AQ31" i="14" s="1"/>
  <c r="AP7" i="7"/>
  <c r="AQ7" i="7" s="1"/>
  <c r="AP92" i="7"/>
  <c r="AQ92" i="7" s="1"/>
  <c r="AN13" i="6"/>
  <c r="AO13" i="6" s="1"/>
  <c r="AP19" i="7"/>
  <c r="AQ19" i="7" s="1"/>
  <c r="AJ114" i="7"/>
  <c r="AN21" i="6"/>
  <c r="AP60" i="6"/>
  <c r="AQ60" i="6" s="1"/>
  <c r="AR60" i="6" s="1"/>
  <c r="AU60" i="6" s="1"/>
  <c r="AP34" i="6"/>
  <c r="AQ34" i="6" s="1"/>
  <c r="AR34" i="6" s="1"/>
  <c r="AU34" i="6" s="1"/>
  <c r="AN60" i="6"/>
  <c r="AK47" i="7"/>
  <c r="AK15" i="6"/>
  <c r="AP33" i="6"/>
  <c r="AQ33" i="6" s="1"/>
  <c r="AR33" i="6" s="1"/>
  <c r="AU33" i="6" s="1"/>
  <c r="AN52" i="6"/>
  <c r="AJ109" i="7"/>
  <c r="AL109" i="7" s="1"/>
  <c r="AI27" i="14"/>
  <c r="AK27" i="14" s="1"/>
  <c r="AN42" i="6"/>
  <c r="AJ117" i="7"/>
  <c r="AL117" i="7" s="1"/>
  <c r="AJ44" i="13"/>
  <c r="AL44" i="13" s="1"/>
  <c r="AN49" i="6"/>
  <c r="AK47" i="6"/>
  <c r="AN41" i="6"/>
  <c r="AN50" i="6"/>
  <c r="AO50" i="6" s="1"/>
  <c r="AK159" i="7"/>
  <c r="AP9" i="6"/>
  <c r="AQ9" i="6" s="1"/>
  <c r="AR9" i="6" s="1"/>
  <c r="AU9" i="6" s="1"/>
  <c r="BP25" i="7"/>
  <c r="AP44" i="13"/>
  <c r="AQ44" i="13" s="1"/>
  <c r="AR44" i="13" s="1"/>
  <c r="U30" i="14"/>
  <c r="AP30" i="14" s="1"/>
  <c r="AQ30" i="14" s="1"/>
  <c r="AP18" i="7"/>
  <c r="AQ18" i="7" s="1"/>
  <c r="AP39" i="13"/>
  <c r="AQ39" i="13" s="1"/>
  <c r="AR39" i="13" s="1"/>
  <c r="AP124" i="7"/>
  <c r="AQ124" i="7" s="1"/>
  <c r="AP100" i="7"/>
  <c r="AQ100" i="7" s="1"/>
  <c r="AP8" i="7"/>
  <c r="AQ8" i="7" s="1"/>
  <c r="AJ39" i="13"/>
  <c r="AL39" i="13" s="1"/>
  <c r="AJ100" i="7"/>
  <c r="AL100" i="7" s="1"/>
  <c r="AJ144" i="7"/>
  <c r="AK131" i="7"/>
  <c r="AL131" i="7" s="1"/>
  <c r="AP46" i="7"/>
  <c r="AQ46" i="7" s="1"/>
  <c r="BP46" i="7"/>
  <c r="AP131" i="7"/>
  <c r="AQ131" i="7" s="1"/>
  <c r="AP13" i="6"/>
  <c r="AQ13" i="6" s="1"/>
  <c r="AR13" i="6" s="1"/>
  <c r="AU13" i="6" s="1"/>
  <c r="AP40" i="6"/>
  <c r="AQ40" i="6" s="1"/>
  <c r="AR40" i="6" s="1"/>
  <c r="AU40" i="6" s="1"/>
  <c r="AP10" i="6"/>
  <c r="AQ10" i="6" s="1"/>
  <c r="AR10" i="6" s="1"/>
  <c r="AU10" i="6" s="1"/>
  <c r="AN23" i="6"/>
  <c r="AJ6" i="13"/>
  <c r="AI32" i="14"/>
  <c r="AK32" i="14" s="1"/>
  <c r="AI7" i="14"/>
  <c r="AK7" i="14" s="1"/>
  <c r="AP24" i="7"/>
  <c r="AQ24" i="7" s="1"/>
  <c r="AP117" i="7"/>
  <c r="AQ117" i="7" s="1"/>
  <c r="AK114" i="7"/>
  <c r="BP94" i="7"/>
  <c r="AP22" i="7"/>
  <c r="AQ22" i="7" s="1"/>
  <c r="AK78" i="7"/>
  <c r="AL78" i="7" s="1"/>
  <c r="AP18" i="6"/>
  <c r="AQ18" i="6" s="1"/>
  <c r="AR18" i="6" s="1"/>
  <c r="AU18" i="6" s="1"/>
  <c r="AP42" i="6"/>
  <c r="AQ42" i="6" s="1"/>
  <c r="AR42" i="6" s="1"/>
  <c r="AU42" i="6" s="1"/>
  <c r="AI12" i="14"/>
  <c r="AK12" i="14" s="1"/>
  <c r="AP78" i="7"/>
  <c r="AQ78" i="7" s="1"/>
  <c r="AP10" i="7"/>
  <c r="AQ10" i="7" s="1"/>
  <c r="AN59" i="6"/>
  <c r="AP30" i="6"/>
  <c r="AQ30" i="6" s="1"/>
  <c r="AR30" i="6" s="1"/>
  <c r="AU30" i="6" s="1"/>
  <c r="AK49" i="13"/>
  <c r="AK39" i="7"/>
  <c r="AJ39" i="7"/>
  <c r="AI29" i="14"/>
  <c r="AJ29" i="14" s="1"/>
  <c r="AJ26" i="13"/>
  <c r="AJ21" i="13"/>
  <c r="AL21" i="13" s="1"/>
  <c r="AI4" i="14"/>
  <c r="AK4" i="14" s="1"/>
  <c r="AP21" i="6"/>
  <c r="AQ21" i="6" s="1"/>
  <c r="AR21" i="6" s="1"/>
  <c r="AU21" i="6" s="1"/>
  <c r="BP80" i="13"/>
  <c r="U35" i="14"/>
  <c r="AP35" i="14" s="1"/>
  <c r="AQ35" i="14" s="1"/>
  <c r="AP115" i="7"/>
  <c r="AQ115" i="7" s="1"/>
  <c r="AJ52" i="7"/>
  <c r="AK98" i="7"/>
  <c r="AK115" i="7"/>
  <c r="AL115" i="7" s="1"/>
  <c r="AK52" i="7"/>
  <c r="AK108" i="7"/>
  <c r="AL108" i="7" s="1"/>
  <c r="AN9" i="6"/>
  <c r="AJ159" i="7"/>
  <c r="AK147" i="7"/>
  <c r="AK34" i="6"/>
  <c r="AK101" i="7"/>
  <c r="AL101" i="7" s="1"/>
  <c r="AP119" i="7"/>
  <c r="AQ119" i="7" s="1"/>
  <c r="AJ119" i="7"/>
  <c r="AL119" i="7" s="1"/>
  <c r="AP61" i="6"/>
  <c r="AQ61" i="6" s="1"/>
  <c r="AR61" i="6" s="1"/>
  <c r="AU61" i="6" s="1"/>
  <c r="AK8" i="7"/>
  <c r="AL8" i="7" s="1"/>
  <c r="AP78" i="13"/>
  <c r="AQ78" i="13" s="1"/>
  <c r="AR78" i="13" s="1"/>
  <c r="AJ91" i="7"/>
  <c r="AL91" i="7" s="1"/>
  <c r="AP113" i="7"/>
  <c r="AQ113" i="7" s="1"/>
  <c r="AK121" i="7"/>
  <c r="AK79" i="13"/>
  <c r="AJ98" i="7"/>
  <c r="AK27" i="7"/>
  <c r="AL27" i="7" s="1"/>
  <c r="AP47" i="6"/>
  <c r="AQ47" i="6" s="1"/>
  <c r="AR47" i="6" s="1"/>
  <c r="AU47" i="6" s="1"/>
  <c r="AN62" i="6"/>
  <c r="U56" i="14"/>
  <c r="AP56" i="14" s="1"/>
  <c r="AQ56" i="14" s="1"/>
  <c r="AJ35" i="7"/>
  <c r="AL35" i="7" s="1"/>
  <c r="AK152" i="7"/>
  <c r="AL152" i="7" s="1"/>
  <c r="BP115" i="7"/>
  <c r="AK77" i="7"/>
  <c r="AL77" i="7" s="1"/>
  <c r="AK5" i="6"/>
  <c r="AP148" i="7"/>
  <c r="AQ148" i="7" s="1"/>
  <c r="AI9" i="14"/>
  <c r="AJ9" i="14" s="1"/>
  <c r="AK24" i="7"/>
  <c r="AL24" i="7" s="1"/>
  <c r="AK95" i="7"/>
  <c r="AL95" i="7" s="1"/>
  <c r="AP27" i="7"/>
  <c r="AQ27" i="7" s="1"/>
  <c r="AP35" i="7"/>
  <c r="AQ35" i="7" s="1"/>
  <c r="AJ10" i="7"/>
  <c r="AL10" i="7" s="1"/>
  <c r="AP50" i="6"/>
  <c r="AQ50" i="6" s="1"/>
  <c r="AR50" i="6" s="1"/>
  <c r="AU50" i="6" s="1"/>
  <c r="AP91" i="7"/>
  <c r="AQ91" i="7" s="1"/>
  <c r="AK83" i="7"/>
  <c r="AL83" i="7" s="1"/>
  <c r="AJ121" i="7"/>
  <c r="U10" i="14"/>
  <c r="AP10" i="14" s="1"/>
  <c r="AQ10" i="14" s="1"/>
  <c r="AP51" i="6"/>
  <c r="AQ51" i="6" s="1"/>
  <c r="AR51" i="6" s="1"/>
  <c r="AU51" i="6" s="1"/>
  <c r="AP15" i="6"/>
  <c r="AQ15" i="6" s="1"/>
  <c r="AR15" i="6" s="1"/>
  <c r="AU15" i="6" s="1"/>
  <c r="AN31" i="6"/>
  <c r="AK72" i="13"/>
  <c r="AK4" i="7"/>
  <c r="AJ4" i="7"/>
  <c r="AJ38" i="7"/>
  <c r="AP83" i="7"/>
  <c r="AQ83" i="7" s="1"/>
  <c r="AI51" i="14"/>
  <c r="AJ51" i="14" s="1"/>
  <c r="AP49" i="6"/>
  <c r="AQ49" i="6" s="1"/>
  <c r="AR49" i="6" s="1"/>
  <c r="AU49" i="6" s="1"/>
  <c r="BP53" i="14"/>
  <c r="BP73" i="13"/>
  <c r="AP77" i="7"/>
  <c r="AQ77" i="7" s="1"/>
  <c r="AJ55" i="13"/>
  <c r="AK158" i="7"/>
  <c r="AK6" i="13"/>
  <c r="AP23" i="7"/>
  <c r="AQ23" i="7" s="1"/>
  <c r="AP39" i="6"/>
  <c r="AQ39" i="6" s="1"/>
  <c r="AR39" i="6" s="1"/>
  <c r="AU39" i="6" s="1"/>
  <c r="AP104" i="7"/>
  <c r="AQ104" i="7" s="1"/>
  <c r="AI54" i="14"/>
  <c r="AK54" i="14" s="1"/>
  <c r="AP65" i="7"/>
  <c r="AQ65" i="7" s="1"/>
  <c r="BP57" i="7"/>
  <c r="BP108" i="7"/>
  <c r="BP99" i="7"/>
  <c r="U34" i="14"/>
  <c r="AP34" i="14" s="1"/>
  <c r="AQ34" i="14" s="1"/>
  <c r="U8" i="14"/>
  <c r="AP8" i="14" s="1"/>
  <c r="AQ8" i="14" s="1"/>
  <c r="AJ65" i="7"/>
  <c r="AL65" i="7" s="1"/>
  <c r="BP86" i="7"/>
  <c r="AI11" i="14"/>
  <c r="AK11" i="14" s="1"/>
  <c r="AP43" i="6"/>
  <c r="AQ43" i="6" s="1"/>
  <c r="AR43" i="6" s="1"/>
  <c r="AU43" i="6" s="1"/>
  <c r="AP54" i="6"/>
  <c r="AQ54" i="6" s="1"/>
  <c r="AR54" i="6" s="1"/>
  <c r="AU54" i="6" s="1"/>
  <c r="AP31" i="6"/>
  <c r="AQ31" i="6" s="1"/>
  <c r="AR31" i="6" s="1"/>
  <c r="AU31" i="6" s="1"/>
  <c r="AP69" i="7"/>
  <c r="AQ69" i="7" s="1"/>
  <c r="AN12" i="6"/>
  <c r="AK31" i="7"/>
  <c r="AJ13" i="7"/>
  <c r="AK62" i="7"/>
  <c r="AL62" i="7" s="1"/>
  <c r="AK26" i="7"/>
  <c r="AJ5" i="13"/>
  <c r="AJ57" i="13"/>
  <c r="AL57" i="13" s="1"/>
  <c r="AP28" i="13"/>
  <c r="AQ28" i="13" s="1"/>
  <c r="AR28" i="13" s="1"/>
  <c r="AP116" i="7"/>
  <c r="AQ116" i="7" s="1"/>
  <c r="AP33" i="7"/>
  <c r="AQ33" i="7" s="1"/>
  <c r="AJ69" i="7"/>
  <c r="AL69" i="7" s="1"/>
  <c r="AK17" i="7"/>
  <c r="AJ58" i="13"/>
  <c r="AL58" i="13" s="1"/>
  <c r="AK35" i="13"/>
  <c r="AP68" i="13"/>
  <c r="AQ68" i="13" s="1"/>
  <c r="AR68" i="13" s="1"/>
  <c r="AK144" i="7"/>
  <c r="AJ37" i="7"/>
  <c r="AP64" i="7"/>
  <c r="AQ64" i="7" s="1"/>
  <c r="AN11" i="6"/>
  <c r="AN10" i="6"/>
  <c r="AO10" i="6" s="1"/>
  <c r="AP143" i="7"/>
  <c r="AQ143" i="7" s="1"/>
  <c r="AK38" i="7"/>
  <c r="AP88" i="7"/>
  <c r="AQ88" i="7" s="1"/>
  <c r="AK89" i="7"/>
  <c r="AJ7" i="13"/>
  <c r="AJ66" i="7"/>
  <c r="AL66" i="7" s="1"/>
  <c r="AP55" i="7"/>
  <c r="AQ55" i="7" s="1"/>
  <c r="AK7" i="13"/>
  <c r="AJ74" i="13"/>
  <c r="AL74" i="13" s="1"/>
  <c r="AJ88" i="7"/>
  <c r="AL88" i="7" s="1"/>
  <c r="AP134" i="7"/>
  <c r="AQ134" i="7" s="1"/>
  <c r="AP5" i="13"/>
  <c r="AQ5" i="13" s="1"/>
  <c r="AR5" i="13" s="1"/>
  <c r="AJ20" i="13"/>
  <c r="AK13" i="7"/>
  <c r="AP128" i="7"/>
  <c r="AQ128" i="7" s="1"/>
  <c r="AP101" i="7"/>
  <c r="AQ101" i="7" s="1"/>
  <c r="AJ134" i="7"/>
  <c r="AL134" i="7" s="1"/>
  <c r="AN61" i="6"/>
  <c r="AJ49" i="13"/>
  <c r="AJ78" i="13"/>
  <c r="AP73" i="13"/>
  <c r="AQ73" i="13" s="1"/>
  <c r="AR73" i="13" s="1"/>
  <c r="AJ63" i="7"/>
  <c r="AJ143" i="7"/>
  <c r="AL143" i="7" s="1"/>
  <c r="AJ147" i="7"/>
  <c r="AJ29" i="7"/>
  <c r="AP108" i="7"/>
  <c r="AQ108" i="7" s="1"/>
  <c r="AK12" i="7"/>
  <c r="AL12" i="7" s="1"/>
  <c r="AJ151" i="7"/>
  <c r="AK128" i="7"/>
  <c r="AL128" i="7" s="1"/>
  <c r="AK104" i="7"/>
  <c r="AL104" i="7" s="1"/>
  <c r="AP72" i="7"/>
  <c r="AQ72" i="7" s="1"/>
  <c r="AK82" i="7"/>
  <c r="AL82" i="7" s="1"/>
  <c r="AK8" i="6"/>
  <c r="AL8" i="6" s="1"/>
  <c r="AN8" i="6" s="1"/>
  <c r="AP120" i="7"/>
  <c r="AQ120" i="7" s="1"/>
  <c r="AK34" i="7"/>
  <c r="AL34" i="7" s="1"/>
  <c r="AP95" i="7"/>
  <c r="AQ95" i="7" s="1"/>
  <c r="AN51" i="6"/>
  <c r="AK63" i="7"/>
  <c r="AP58" i="13"/>
  <c r="AQ58" i="13" s="1"/>
  <c r="AR58" i="13" s="1"/>
  <c r="AP37" i="13"/>
  <c r="AQ37" i="13" s="1"/>
  <c r="AR37" i="13" s="1"/>
  <c r="AP66" i="7"/>
  <c r="AQ66" i="7" s="1"/>
  <c r="AK46" i="7"/>
  <c r="AJ110" i="7"/>
  <c r="AL110" i="7" s="1"/>
  <c r="AJ89" i="7"/>
  <c r="AP74" i="13"/>
  <c r="AQ74" i="13" s="1"/>
  <c r="AR74" i="13" s="1"/>
  <c r="AK37" i="7"/>
  <c r="AJ113" i="7"/>
  <c r="AL113" i="7" s="1"/>
  <c r="AN22" i="6"/>
  <c r="AN39" i="6"/>
  <c r="AK40" i="7"/>
  <c r="AK41" i="13"/>
  <c r="AK38" i="13"/>
  <c r="AL38" i="13" s="1"/>
  <c r="AP42" i="13"/>
  <c r="AQ42" i="13" s="1"/>
  <c r="AR42" i="13" s="1"/>
  <c r="AP44" i="7"/>
  <c r="AQ44" i="7" s="1"/>
  <c r="AK9" i="7"/>
  <c r="AL9" i="7" s="1"/>
  <c r="AP110" i="7"/>
  <c r="AQ110" i="7" s="1"/>
  <c r="AJ79" i="13"/>
  <c r="AP82" i="7"/>
  <c r="AQ82" i="7" s="1"/>
  <c r="AK130" i="7"/>
  <c r="AN32" i="6"/>
  <c r="AP48" i="13"/>
  <c r="AQ48" i="13" s="1"/>
  <c r="AR48" i="13" s="1"/>
  <c r="AJ35" i="13"/>
  <c r="AJ50" i="13"/>
  <c r="AL50" i="13" s="1"/>
  <c r="AK48" i="13"/>
  <c r="AK133" i="7"/>
  <c r="AL133" i="7" s="1"/>
  <c r="AP102" i="7"/>
  <c r="AQ102" i="7" s="1"/>
  <c r="AJ156" i="7"/>
  <c r="AJ130" i="7"/>
  <c r="AP68" i="7"/>
  <c r="AQ68" i="7" s="1"/>
  <c r="AJ28" i="7"/>
  <c r="AJ138" i="7"/>
  <c r="AK5" i="7"/>
  <c r="AL5" i="7" s="1"/>
  <c r="AK64" i="7"/>
  <c r="AL64" i="7" s="1"/>
  <c r="AP32" i="7"/>
  <c r="AQ32" i="7" s="1"/>
  <c r="AK20" i="13"/>
  <c r="AJ158" i="7"/>
  <c r="AJ14" i="13"/>
  <c r="AP140" i="7"/>
  <c r="AQ140" i="7" s="1"/>
  <c r="AP66" i="13"/>
  <c r="AQ66" i="13" s="1"/>
  <c r="AR66" i="13" s="1"/>
  <c r="AK65" i="13"/>
  <c r="AP139" i="7"/>
  <c r="AQ139" i="7" s="1"/>
  <c r="AK40" i="13"/>
  <c r="AL40" i="13" s="1"/>
  <c r="AP50" i="13"/>
  <c r="AQ50" i="13" s="1"/>
  <c r="AR50" i="13" s="1"/>
  <c r="AJ81" i="13"/>
  <c r="AL81" i="13" s="1"/>
  <c r="AK27" i="13"/>
  <c r="AP133" i="7"/>
  <c r="AQ133" i="7" s="1"/>
  <c r="AK102" i="7"/>
  <c r="AL102" i="7" s="1"/>
  <c r="AJ31" i="7"/>
  <c r="AK14" i="13"/>
  <c r="AP5" i="7"/>
  <c r="AQ5" i="7" s="1"/>
  <c r="AN20" i="6"/>
  <c r="AK28" i="13"/>
  <c r="AL28" i="13" s="1"/>
  <c r="AK136" i="7"/>
  <c r="AP62" i="7"/>
  <c r="AQ62" i="7" s="1"/>
  <c r="AK139" i="7"/>
  <c r="AL139" i="7" s="1"/>
  <c r="AP81" i="13"/>
  <c r="AQ81" i="13" s="1"/>
  <c r="AR81" i="13" s="1"/>
  <c r="AJ26" i="7"/>
  <c r="AK156" i="7"/>
  <c r="AK71" i="13"/>
  <c r="AJ17" i="7"/>
  <c r="AK66" i="13"/>
  <c r="AP65" i="13"/>
  <c r="AQ65" i="13" s="1"/>
  <c r="AR65" i="13" s="1"/>
  <c r="AJ13" i="13"/>
  <c r="AL13" i="13" s="1"/>
  <c r="AP47" i="7"/>
  <c r="AQ47" i="7" s="1"/>
  <c r="AK28" i="7"/>
  <c r="AP58" i="7"/>
  <c r="AQ58" i="7" s="1"/>
  <c r="AK138" i="7"/>
  <c r="BP131" i="7"/>
  <c r="BP47" i="13"/>
  <c r="AF80" i="7"/>
  <c r="BP23" i="13"/>
  <c r="BP4" i="7"/>
  <c r="BP151" i="7"/>
  <c r="BP68" i="13"/>
  <c r="BP15" i="7"/>
  <c r="AF5" i="14"/>
  <c r="AF120" i="7"/>
  <c r="AF36" i="7"/>
  <c r="AF86" i="13"/>
  <c r="AF54" i="14"/>
  <c r="AF48" i="13"/>
  <c r="BP130" i="7"/>
  <c r="AF22" i="13"/>
  <c r="BP40" i="7"/>
  <c r="AE21" i="7"/>
  <c r="AD21" i="7"/>
  <c r="BP79" i="7"/>
  <c r="BP21" i="13"/>
  <c r="AD42" i="6"/>
  <c r="BP134" i="7"/>
  <c r="AF8" i="14"/>
  <c r="BP82" i="7"/>
  <c r="AE42" i="6"/>
  <c r="AA55" i="7"/>
  <c r="AB55" i="7" s="1"/>
  <c r="BP145" i="7"/>
  <c r="AF60" i="7"/>
  <c r="AE137" i="7"/>
  <c r="AF58" i="7"/>
  <c r="AE30" i="6"/>
  <c r="BP119" i="7"/>
  <c r="BP24" i="7"/>
  <c r="BP19" i="13"/>
  <c r="BP139" i="7"/>
  <c r="BP92" i="7"/>
  <c r="AA85" i="13"/>
  <c r="AB85" i="13" s="1"/>
  <c r="BP39" i="13"/>
  <c r="AE20" i="6"/>
  <c r="BP47" i="7"/>
  <c r="BP89" i="13"/>
  <c r="BP12" i="7"/>
  <c r="AA35" i="14"/>
  <c r="AB35" i="14" s="1"/>
  <c r="AE26" i="7"/>
  <c r="BP29" i="7"/>
  <c r="AD10" i="14"/>
  <c r="AD109" i="7"/>
  <c r="AA59" i="13"/>
  <c r="AB59" i="13" s="1"/>
  <c r="BP6" i="7"/>
  <c r="BP52" i="7"/>
  <c r="BP8" i="7"/>
  <c r="AP12" i="7"/>
  <c r="AQ12" i="7" s="1"/>
  <c r="AK51" i="13"/>
  <c r="AL51" i="13" s="1"/>
  <c r="AJ154" i="7"/>
  <c r="AK8" i="13"/>
  <c r="AP9" i="7"/>
  <c r="AQ9" i="7" s="1"/>
  <c r="AK32" i="7"/>
  <c r="AL32" i="7" s="1"/>
  <c r="AP85" i="7"/>
  <c r="AQ85" i="7" s="1"/>
  <c r="AJ71" i="13"/>
  <c r="AK85" i="13"/>
  <c r="AJ73" i="13"/>
  <c r="AL73" i="13" s="1"/>
  <c r="AK37" i="13"/>
  <c r="AP57" i="13"/>
  <c r="AQ57" i="13" s="1"/>
  <c r="AR57" i="13" s="1"/>
  <c r="AP51" i="13"/>
  <c r="AQ51" i="13" s="1"/>
  <c r="AR51" i="13" s="1"/>
  <c r="AJ8" i="13"/>
  <c r="AJ90" i="7"/>
  <c r="AK25" i="7"/>
  <c r="AK6" i="7"/>
  <c r="AJ59" i="7"/>
  <c r="AK140" i="7"/>
  <c r="AL140" i="7" s="1"/>
  <c r="AP75" i="7"/>
  <c r="AQ75" i="7" s="1"/>
  <c r="AJ6" i="7"/>
  <c r="AK59" i="7"/>
  <c r="AK33" i="7"/>
  <c r="AL33" i="7" s="1"/>
  <c r="AJ40" i="7"/>
  <c r="AI52" i="14"/>
  <c r="AJ52" i="14" s="1"/>
  <c r="AP5" i="6"/>
  <c r="AQ5" i="6" s="1"/>
  <c r="AJ42" i="13"/>
  <c r="AJ86" i="7"/>
  <c r="AI33" i="14"/>
  <c r="AJ33" i="14" s="1"/>
  <c r="AJ153" i="7"/>
  <c r="AJ72" i="13"/>
  <c r="AJ93" i="7"/>
  <c r="AJ76" i="7"/>
  <c r="AK56" i="13"/>
  <c r="AJ15" i="7"/>
  <c r="AP55" i="13"/>
  <c r="AQ55" i="13" s="1"/>
  <c r="AR55" i="13" s="1"/>
  <c r="AK9" i="13"/>
  <c r="AL9" i="13" s="1"/>
  <c r="AP109" i="7"/>
  <c r="AQ109" i="7" s="1"/>
  <c r="AP93" i="7"/>
  <c r="AQ93" i="7" s="1"/>
  <c r="AP9" i="13"/>
  <c r="AQ9" i="13" s="1"/>
  <c r="AR9" i="13" s="1"/>
  <c r="AK86" i="7"/>
  <c r="AP43" i="7"/>
  <c r="AQ43" i="7" s="1"/>
  <c r="AJ129" i="7"/>
  <c r="AL129" i="7" s="1"/>
  <c r="AJ99" i="7"/>
  <c r="AP81" i="7"/>
  <c r="AQ81" i="7" s="1"/>
  <c r="AR81" i="7" s="1"/>
  <c r="AK58" i="7"/>
  <c r="AL58" i="7" s="1"/>
  <c r="AK15" i="7"/>
  <c r="AP30" i="7"/>
  <c r="AQ30" i="7" s="1"/>
  <c r="AR30" i="7" s="1"/>
  <c r="AJ112" i="7"/>
  <c r="AK24" i="6"/>
  <c r="AF29" i="6"/>
  <c r="AP28" i="6"/>
  <c r="AQ28" i="6" s="1"/>
  <c r="AD83" i="13"/>
  <c r="AD137" i="7"/>
  <c r="BP56" i="7"/>
  <c r="BP63" i="13"/>
  <c r="AD4" i="7"/>
  <c r="AE4" i="7"/>
  <c r="BP6" i="14"/>
  <c r="BP41" i="13"/>
  <c r="BP59" i="13"/>
  <c r="BP128" i="7"/>
  <c r="AD48" i="7"/>
  <c r="AE48" i="7"/>
  <c r="AE40" i="7"/>
  <c r="AD40" i="7"/>
  <c r="BP9" i="13"/>
  <c r="BP101" i="7"/>
  <c r="BP77" i="13"/>
  <c r="BP30" i="13"/>
  <c r="BP157" i="7"/>
  <c r="BP84" i="13"/>
  <c r="BP76" i="13"/>
  <c r="BP34" i="13"/>
  <c r="BP83" i="13"/>
  <c r="BP125" i="7"/>
  <c r="BP7" i="14"/>
  <c r="BP30" i="14"/>
  <c r="BP31" i="7"/>
  <c r="BP30" i="7"/>
  <c r="BP43" i="7"/>
  <c r="BP146" i="7"/>
  <c r="BP80" i="7"/>
  <c r="BP55" i="7"/>
  <c r="Z4" i="7"/>
  <c r="Y4" i="7"/>
  <c r="BP56" i="13"/>
  <c r="BP22" i="13"/>
  <c r="BP117" i="7"/>
  <c r="BP48" i="13"/>
  <c r="BP29" i="13"/>
  <c r="BP11" i="13"/>
  <c r="BP62" i="7"/>
  <c r="BP60" i="13"/>
  <c r="BP4" i="13"/>
  <c r="BP54" i="14"/>
  <c r="BP17" i="13"/>
  <c r="BP25" i="13"/>
  <c r="BP67" i="7"/>
  <c r="BP76" i="7"/>
  <c r="BP78" i="13"/>
  <c r="BP33" i="14"/>
  <c r="BP36" i="13"/>
  <c r="BP124" i="7"/>
  <c r="BP106" i="7"/>
  <c r="Y50" i="7"/>
  <c r="Z50" i="7"/>
  <c r="BP18" i="13"/>
  <c r="BP59" i="7"/>
  <c r="BP54" i="7"/>
  <c r="BP20" i="13"/>
  <c r="BP63" i="7"/>
  <c r="BP39" i="7"/>
  <c r="BP51" i="14"/>
  <c r="BP64" i="13"/>
  <c r="BP14" i="13"/>
  <c r="BP74" i="7"/>
  <c r="BP5" i="14"/>
  <c r="Z48" i="7"/>
  <c r="Y48" i="7"/>
  <c r="AE11" i="14"/>
  <c r="AD11" i="14"/>
  <c r="BP133" i="7"/>
  <c r="BP100" i="7"/>
  <c r="BP110" i="7"/>
  <c r="BP127" i="7"/>
  <c r="BP45" i="13"/>
  <c r="BP55" i="13"/>
  <c r="BP137" i="7"/>
  <c r="BP88" i="7"/>
  <c r="BP6" i="13"/>
  <c r="BP50" i="14"/>
  <c r="BP28" i="13"/>
  <c r="BP104" i="7"/>
  <c r="AE124" i="7"/>
  <c r="AD124" i="7"/>
  <c r="BP152" i="7"/>
  <c r="BP34" i="7"/>
  <c r="BP16" i="7"/>
  <c r="BP5" i="13"/>
  <c r="BP96" i="7"/>
  <c r="BP71" i="7"/>
  <c r="BP21" i="7"/>
  <c r="BP113" i="7"/>
  <c r="BP38" i="7"/>
  <c r="BP12" i="13"/>
  <c r="BP71" i="13"/>
  <c r="BP31" i="13"/>
  <c r="BP120" i="7"/>
  <c r="BP70" i="7"/>
  <c r="BP56" i="14"/>
  <c r="BP75" i="13"/>
  <c r="AF33" i="14"/>
  <c r="AE30" i="13"/>
  <c r="AD30" i="13"/>
  <c r="BP32" i="14"/>
  <c r="AD50" i="7"/>
  <c r="AE50" i="7"/>
  <c r="BP40" i="13"/>
  <c r="BP66" i="7"/>
  <c r="BP91" i="13"/>
  <c r="BP61" i="13"/>
  <c r="BP52" i="13"/>
  <c r="BP91" i="7"/>
  <c r="BP29" i="14"/>
  <c r="Z11" i="14"/>
  <c r="Y11" i="14"/>
  <c r="BP9" i="7"/>
  <c r="BP32" i="7"/>
  <c r="BP11" i="14"/>
  <c r="BP28" i="14"/>
  <c r="BP13" i="13"/>
  <c r="BP72" i="7"/>
  <c r="BP87" i="13"/>
  <c r="BP49" i="13"/>
  <c r="BP79" i="13"/>
  <c r="Z124" i="7"/>
  <c r="Y124" i="7"/>
  <c r="BP158" i="7"/>
  <c r="BP61" i="7"/>
  <c r="BP52" i="14"/>
  <c r="BP4" i="14"/>
  <c r="BP77" i="7"/>
  <c r="BP82" i="13"/>
  <c r="BP122" i="7"/>
  <c r="BP123" i="7"/>
  <c r="Z30" i="13"/>
  <c r="Y30" i="13"/>
  <c r="BP129" i="7"/>
  <c r="BP98" i="7"/>
  <c r="BP50" i="7"/>
  <c r="BP64" i="7"/>
  <c r="BP17" i="7"/>
  <c r="BP16" i="13"/>
  <c r="BP24" i="13"/>
  <c r="BP140" i="7"/>
  <c r="BP102" i="7"/>
  <c r="BP32" i="13"/>
  <c r="BP132" i="7"/>
  <c r="BP135" i="7"/>
  <c r="BP65" i="13"/>
  <c r="BP37" i="13"/>
  <c r="BP112" i="7"/>
  <c r="BP68" i="7"/>
  <c r="BP84" i="7"/>
  <c r="BP72" i="13"/>
  <c r="BP67" i="13"/>
  <c r="BP49" i="7"/>
  <c r="BP121" i="7"/>
  <c r="BP83" i="7"/>
  <c r="BP26" i="13"/>
  <c r="BP5" i="7"/>
  <c r="BP15" i="13"/>
  <c r="BP7" i="13"/>
  <c r="BP103" i="7"/>
  <c r="BP58" i="7"/>
  <c r="BP20" i="7"/>
  <c r="BP13" i="7"/>
  <c r="BP93" i="13"/>
  <c r="BP43" i="13"/>
  <c r="Z40" i="7"/>
  <c r="Y40" i="7"/>
  <c r="BP144" i="7"/>
  <c r="BP109" i="7"/>
  <c r="BP95" i="7"/>
  <c r="BP148" i="7"/>
  <c r="BP46" i="13"/>
  <c r="BP114" i="7"/>
  <c r="BP36" i="7"/>
  <c r="BP27" i="13"/>
  <c r="BP58" i="14"/>
  <c r="BP8" i="14"/>
  <c r="BP150" i="7"/>
  <c r="BP44" i="13"/>
  <c r="BP136" i="7"/>
  <c r="BP75" i="7"/>
  <c r="BP69" i="7"/>
  <c r="BP141" i="7"/>
  <c r="BP22" i="7"/>
  <c r="BP38" i="13"/>
  <c r="BP153" i="7"/>
  <c r="BP78" i="7"/>
  <c r="BP34" i="14"/>
  <c r="BP62" i="13"/>
  <c r="BP55" i="14"/>
  <c r="BP92" i="13"/>
  <c r="AA109" i="7"/>
  <c r="AB109" i="7" s="1"/>
  <c r="AA83" i="13"/>
  <c r="AB83" i="13" s="1"/>
  <c r="AE7" i="14"/>
  <c r="AD7" i="14"/>
  <c r="Z78" i="7"/>
  <c r="Y78" i="7"/>
  <c r="Z38" i="13"/>
  <c r="Y38" i="13"/>
  <c r="AE99" i="7"/>
  <c r="AD99" i="7"/>
  <c r="AD22" i="7"/>
  <c r="AE22" i="7"/>
  <c r="AD114" i="7"/>
  <c r="AE114" i="7"/>
  <c r="AE67" i="7"/>
  <c r="AD67" i="7"/>
  <c r="AD45" i="13"/>
  <c r="AE45" i="13"/>
  <c r="Z154" i="7"/>
  <c r="Y154" i="7"/>
  <c r="AD61" i="13"/>
  <c r="AE61" i="13"/>
  <c r="Y63" i="7"/>
  <c r="Z63" i="7"/>
  <c r="AD24" i="13"/>
  <c r="AE24" i="13"/>
  <c r="Y96" i="7"/>
  <c r="Z96" i="7"/>
  <c r="AE39" i="13"/>
  <c r="AD39" i="13"/>
  <c r="AE28" i="14"/>
  <c r="AD28" i="14"/>
  <c r="Y33" i="7"/>
  <c r="Z33" i="7"/>
  <c r="AE75" i="7"/>
  <c r="AD75" i="7"/>
  <c r="AE139" i="7"/>
  <c r="AD139" i="7"/>
  <c r="Z21" i="13"/>
  <c r="Y21" i="13"/>
  <c r="AD90" i="13"/>
  <c r="AE90" i="13"/>
  <c r="Z24" i="7"/>
  <c r="Y24" i="7"/>
  <c r="AD90" i="7"/>
  <c r="AE90" i="7"/>
  <c r="Z79" i="13"/>
  <c r="Y79" i="13"/>
  <c r="AD32" i="14"/>
  <c r="AE32" i="14"/>
  <c r="AA20" i="13"/>
  <c r="AB20" i="13" s="1"/>
  <c r="AA65" i="13"/>
  <c r="AB65" i="13" s="1"/>
  <c r="AE83" i="13"/>
  <c r="AE87" i="7"/>
  <c r="AD87" i="7"/>
  <c r="AE76" i="7"/>
  <c r="AD76" i="7"/>
  <c r="Y157" i="7"/>
  <c r="Z157" i="7"/>
  <c r="Y6" i="13"/>
  <c r="Z6" i="13"/>
  <c r="Z35" i="13"/>
  <c r="Y35" i="13"/>
  <c r="Y40" i="13"/>
  <c r="Z40" i="13"/>
  <c r="AE47" i="7"/>
  <c r="AD47" i="7"/>
  <c r="Y35" i="7"/>
  <c r="Z35" i="7"/>
  <c r="Y135" i="7"/>
  <c r="Z135" i="7"/>
  <c r="Z151" i="7"/>
  <c r="Y151" i="7"/>
  <c r="AE153" i="7"/>
  <c r="AD153" i="7"/>
  <c r="AE32" i="13"/>
  <c r="AD32" i="13"/>
  <c r="Y78" i="13"/>
  <c r="Z78" i="13"/>
  <c r="Z64" i="13"/>
  <c r="Y64" i="13"/>
  <c r="AE29" i="14"/>
  <c r="AD29" i="14"/>
  <c r="Y9" i="14"/>
  <c r="Z9" i="14"/>
  <c r="Y70" i="7"/>
  <c r="Z70" i="7"/>
  <c r="Y138" i="7"/>
  <c r="Z138" i="7"/>
  <c r="AD5" i="13"/>
  <c r="AE5" i="13"/>
  <c r="AE50" i="13"/>
  <c r="AD50" i="13"/>
  <c r="Y44" i="7"/>
  <c r="Z44" i="7"/>
  <c r="Y31" i="13"/>
  <c r="Z31" i="13"/>
  <c r="Z34" i="14"/>
  <c r="Y34" i="14"/>
  <c r="Y99" i="7"/>
  <c r="Z99" i="7"/>
  <c r="Z130" i="7"/>
  <c r="Y130" i="7"/>
  <c r="AD46" i="13"/>
  <c r="AE46" i="13"/>
  <c r="Z22" i="7"/>
  <c r="Y22" i="7"/>
  <c r="Z73" i="13"/>
  <c r="Y73" i="13"/>
  <c r="AD6" i="14"/>
  <c r="AE6" i="14"/>
  <c r="Z114" i="7"/>
  <c r="Y114" i="7"/>
  <c r="AE121" i="7"/>
  <c r="AD121" i="7"/>
  <c r="Y67" i="7"/>
  <c r="Z67" i="7"/>
  <c r="AE7" i="13"/>
  <c r="AD7" i="13"/>
  <c r="Z45" i="13"/>
  <c r="Y45" i="13"/>
  <c r="AD58" i="13"/>
  <c r="AE58" i="13"/>
  <c r="Y56" i="14"/>
  <c r="Z56" i="14"/>
  <c r="AE126" i="7"/>
  <c r="AD126" i="7"/>
  <c r="AE86" i="7"/>
  <c r="AD86" i="7"/>
  <c r="AE26" i="13"/>
  <c r="AD26" i="13"/>
  <c r="Y81" i="13"/>
  <c r="Z81" i="13"/>
  <c r="AE92" i="13"/>
  <c r="AD92" i="13"/>
  <c r="AE50" i="14"/>
  <c r="AD50" i="14"/>
  <c r="Z87" i="13"/>
  <c r="Y87" i="13"/>
  <c r="Y18" i="7"/>
  <c r="Z18" i="7"/>
  <c r="AD96" i="7"/>
  <c r="AE96" i="7"/>
  <c r="AD140" i="7"/>
  <c r="AE140" i="7"/>
  <c r="Y39" i="13"/>
  <c r="Z39" i="13"/>
  <c r="Y98" i="7"/>
  <c r="Z98" i="7"/>
  <c r="Z28" i="14"/>
  <c r="Y28" i="14"/>
  <c r="AD33" i="7"/>
  <c r="AE33" i="7"/>
  <c r="Y17" i="7"/>
  <c r="Z17" i="7"/>
  <c r="Z75" i="7"/>
  <c r="Y75" i="7"/>
  <c r="Y144" i="7"/>
  <c r="Z144" i="7"/>
  <c r="Y139" i="7"/>
  <c r="Z139" i="7"/>
  <c r="AD21" i="13"/>
  <c r="AE21" i="13"/>
  <c r="Y72" i="13"/>
  <c r="Z72" i="13"/>
  <c r="Z90" i="13"/>
  <c r="Y90" i="13"/>
  <c r="AD39" i="7"/>
  <c r="AE39" i="7"/>
  <c r="AE24" i="7"/>
  <c r="AD24" i="7"/>
  <c r="Y131" i="7"/>
  <c r="Z131" i="7"/>
  <c r="Z90" i="7"/>
  <c r="Y90" i="7"/>
  <c r="AE13" i="13"/>
  <c r="AD13" i="13"/>
  <c r="AD79" i="13"/>
  <c r="AE79" i="13"/>
  <c r="Y37" i="13"/>
  <c r="Z37" i="13"/>
  <c r="AE31" i="14"/>
  <c r="AD31" i="14"/>
  <c r="Y37" i="7"/>
  <c r="Z37" i="7"/>
  <c r="AD85" i="7"/>
  <c r="AE85" i="7"/>
  <c r="AE60" i="13"/>
  <c r="AD60" i="13"/>
  <c r="AD10" i="7"/>
  <c r="AE10" i="7"/>
  <c r="AD155" i="7"/>
  <c r="AE155" i="7"/>
  <c r="AD11" i="13"/>
  <c r="AE11" i="13"/>
  <c r="Z52" i="7"/>
  <c r="Y52" i="7"/>
  <c r="Y146" i="7"/>
  <c r="Z146" i="7"/>
  <c r="AD68" i="13"/>
  <c r="AE68" i="13"/>
  <c r="AD133" i="7"/>
  <c r="AE133" i="7"/>
  <c r="AD102" i="7"/>
  <c r="AE102" i="7"/>
  <c r="AD12" i="13"/>
  <c r="AE12" i="13"/>
  <c r="AE69" i="13"/>
  <c r="AD69" i="13"/>
  <c r="AD53" i="14"/>
  <c r="AE53" i="14"/>
  <c r="AE5" i="7"/>
  <c r="AD5" i="7"/>
  <c r="Y71" i="7"/>
  <c r="Z71" i="7"/>
  <c r="Z142" i="7"/>
  <c r="Y142" i="7"/>
  <c r="AE123" i="7"/>
  <c r="AD123" i="7"/>
  <c r="Y14" i="13"/>
  <c r="Z14" i="13"/>
  <c r="AD55" i="13"/>
  <c r="AE55" i="13"/>
  <c r="AE66" i="13"/>
  <c r="AD66" i="13"/>
  <c r="AD11" i="7"/>
  <c r="AE11" i="7"/>
  <c r="AD79" i="7"/>
  <c r="AE79" i="7"/>
  <c r="Y66" i="7"/>
  <c r="Z66" i="7"/>
  <c r="AE127" i="7"/>
  <c r="AD127" i="7"/>
  <c r="AE19" i="13"/>
  <c r="AD19" i="13"/>
  <c r="Z42" i="13"/>
  <c r="Y42" i="13"/>
  <c r="AE31" i="13"/>
  <c r="AD31" i="13"/>
  <c r="AE130" i="7"/>
  <c r="AD130" i="7"/>
  <c r="Y6" i="14"/>
  <c r="Z6" i="14"/>
  <c r="Y7" i="13"/>
  <c r="Z7" i="13"/>
  <c r="AE56" i="14"/>
  <c r="AD56" i="14"/>
  <c r="Z73" i="7"/>
  <c r="Y73" i="7"/>
  <c r="Y10" i="13"/>
  <c r="Z10" i="13"/>
  <c r="Y34" i="7"/>
  <c r="Z34" i="7"/>
  <c r="Y111" i="7"/>
  <c r="Z111" i="7"/>
  <c r="AD89" i="13"/>
  <c r="AE89" i="13"/>
  <c r="Z85" i="7"/>
  <c r="Y85" i="7"/>
  <c r="Y60" i="13"/>
  <c r="Z60" i="13"/>
  <c r="Y10" i="7"/>
  <c r="Z10" i="7"/>
  <c r="AD117" i="7"/>
  <c r="AE117" i="7"/>
  <c r="AD54" i="13"/>
  <c r="AE54" i="13"/>
  <c r="Y29" i="13"/>
  <c r="Z29" i="13"/>
  <c r="AA113" i="7"/>
  <c r="AB113" i="7" s="1"/>
  <c r="AF152" i="7"/>
  <c r="Y87" i="7"/>
  <c r="Z87" i="7"/>
  <c r="Y76" i="7"/>
  <c r="Z76" i="7"/>
  <c r="AD157" i="7"/>
  <c r="AE157" i="7"/>
  <c r="AE6" i="13"/>
  <c r="AD6" i="13"/>
  <c r="AE35" i="13"/>
  <c r="AD35" i="13"/>
  <c r="AE40" i="13"/>
  <c r="AD40" i="13"/>
  <c r="Y47" i="7"/>
  <c r="Z47" i="7"/>
  <c r="AD35" i="7"/>
  <c r="AE35" i="7"/>
  <c r="AE135" i="7"/>
  <c r="AD135" i="7"/>
  <c r="AE151" i="7"/>
  <c r="AD151" i="7"/>
  <c r="Y153" i="7"/>
  <c r="Z153" i="7"/>
  <c r="Z32" i="13"/>
  <c r="Y32" i="13"/>
  <c r="AD78" i="13"/>
  <c r="AE78" i="13"/>
  <c r="AD64" i="13"/>
  <c r="AE64" i="13"/>
  <c r="Y29" i="14"/>
  <c r="Z29" i="14"/>
  <c r="AE9" i="14"/>
  <c r="AD9" i="14"/>
  <c r="AE70" i="7"/>
  <c r="AD70" i="7"/>
  <c r="AE138" i="7"/>
  <c r="AD138" i="7"/>
  <c r="Z5" i="13"/>
  <c r="Y5" i="13"/>
  <c r="Z50" i="13"/>
  <c r="Y50" i="13"/>
  <c r="AE44" i="7"/>
  <c r="AD44" i="7"/>
  <c r="Z69" i="7"/>
  <c r="Y69" i="7"/>
  <c r="AE57" i="13"/>
  <c r="AD57" i="13"/>
  <c r="AD110" i="7"/>
  <c r="AE110" i="7"/>
  <c r="Y59" i="7"/>
  <c r="Z59" i="7"/>
  <c r="AD16" i="13"/>
  <c r="AE16" i="13"/>
  <c r="Y28" i="7"/>
  <c r="Z28" i="7"/>
  <c r="Y67" i="13"/>
  <c r="Z67" i="13"/>
  <c r="AE122" i="7"/>
  <c r="AD122" i="7"/>
  <c r="AE104" i="7"/>
  <c r="AD104" i="7"/>
  <c r="AD119" i="7"/>
  <c r="AE119" i="7"/>
  <c r="AD9" i="13"/>
  <c r="AE9" i="13"/>
  <c r="Z47" i="13"/>
  <c r="Y47" i="13"/>
  <c r="Z12" i="14"/>
  <c r="Y12" i="14"/>
  <c r="Z27" i="7"/>
  <c r="Y27" i="7"/>
  <c r="Z126" i="7"/>
  <c r="Y126" i="7"/>
  <c r="Z86" i="7"/>
  <c r="Y86" i="7"/>
  <c r="Z26" i="13"/>
  <c r="Y26" i="13"/>
  <c r="AD81" i="13"/>
  <c r="AE81" i="13"/>
  <c r="Z92" i="13"/>
  <c r="Y92" i="13"/>
  <c r="Y50" i="14"/>
  <c r="Z50" i="14"/>
  <c r="AE87" i="13"/>
  <c r="AD87" i="13"/>
  <c r="AE18" i="7"/>
  <c r="AD18" i="7"/>
  <c r="AD16" i="7"/>
  <c r="AE16" i="7"/>
  <c r="AE106" i="7"/>
  <c r="AD106" i="7"/>
  <c r="Y70" i="13"/>
  <c r="Z70" i="13"/>
  <c r="Z82" i="7"/>
  <c r="Y82" i="7"/>
  <c r="AD53" i="13"/>
  <c r="AE53" i="13"/>
  <c r="Z92" i="7"/>
  <c r="Y92" i="7"/>
  <c r="AE8" i="7"/>
  <c r="AD8" i="7"/>
  <c r="AD49" i="7"/>
  <c r="AE49" i="7"/>
  <c r="Y105" i="7"/>
  <c r="Z105" i="7"/>
  <c r="AD100" i="7"/>
  <c r="AE100" i="7"/>
  <c r="AD145" i="7"/>
  <c r="AE145" i="7"/>
  <c r="Y148" i="7"/>
  <c r="Z148" i="7"/>
  <c r="AD88" i="13"/>
  <c r="AE88" i="13"/>
  <c r="AE75" i="13"/>
  <c r="AD75" i="13"/>
  <c r="AE27" i="14"/>
  <c r="AD27" i="14"/>
  <c r="Z51" i="7"/>
  <c r="Y51" i="7"/>
  <c r="Z103" i="7"/>
  <c r="Y103" i="7"/>
  <c r="Y159" i="7"/>
  <c r="Z159" i="7"/>
  <c r="AE112" i="7"/>
  <c r="AD112" i="7"/>
  <c r="Z77" i="7"/>
  <c r="Y77" i="7"/>
  <c r="AD23" i="13"/>
  <c r="AE23" i="13"/>
  <c r="AE41" i="13"/>
  <c r="AD41" i="13"/>
  <c r="Y56" i="13"/>
  <c r="Z56" i="13"/>
  <c r="Z20" i="7"/>
  <c r="Y20" i="7"/>
  <c r="Y54" i="7"/>
  <c r="Z54" i="7"/>
  <c r="Z116" i="7"/>
  <c r="Y116" i="7"/>
  <c r="AD44" i="13"/>
  <c r="AE44" i="13"/>
  <c r="Y55" i="14"/>
  <c r="Z55" i="14"/>
  <c r="AD19" i="7"/>
  <c r="AE19" i="7"/>
  <c r="Z155" i="7"/>
  <c r="Y155" i="7"/>
  <c r="Y11" i="13"/>
  <c r="Z11" i="13"/>
  <c r="AE52" i="7"/>
  <c r="AD52" i="7"/>
  <c r="AD146" i="7"/>
  <c r="AE146" i="7"/>
  <c r="Y68" i="13"/>
  <c r="Z68" i="13"/>
  <c r="AD34" i="14"/>
  <c r="AE34" i="14"/>
  <c r="Y46" i="13"/>
  <c r="Z46" i="13"/>
  <c r="AE73" i="13"/>
  <c r="AD73" i="13"/>
  <c r="Z121" i="7"/>
  <c r="Y121" i="7"/>
  <c r="Y58" i="13"/>
  <c r="Z58" i="13"/>
  <c r="AE95" i="7"/>
  <c r="AD95" i="7"/>
  <c r="AD62" i="7"/>
  <c r="AE62" i="7"/>
  <c r="Z82" i="13"/>
  <c r="Y82" i="13"/>
  <c r="Y140" i="7"/>
  <c r="Z140" i="7"/>
  <c r="AE98" i="7"/>
  <c r="AD98" i="7"/>
  <c r="AD17" i="7"/>
  <c r="AE17" i="7"/>
  <c r="AD144" i="7"/>
  <c r="AE144" i="7"/>
  <c r="AE72" i="13"/>
  <c r="AD72" i="13"/>
  <c r="Z39" i="7"/>
  <c r="Y39" i="7"/>
  <c r="AD131" i="7"/>
  <c r="AE131" i="7"/>
  <c r="Y13" i="13"/>
  <c r="Z13" i="13"/>
  <c r="AD37" i="13"/>
  <c r="AE37" i="13"/>
  <c r="Z31" i="14"/>
  <c r="Y31" i="14"/>
  <c r="AD37" i="7"/>
  <c r="AE37" i="7"/>
  <c r="Z7" i="14"/>
  <c r="Y7" i="14"/>
  <c r="AD78" i="7"/>
  <c r="AE78" i="7"/>
  <c r="Z133" i="7"/>
  <c r="Y133" i="7"/>
  <c r="Y102" i="7"/>
  <c r="Z102" i="7"/>
  <c r="Y12" i="13"/>
  <c r="Z12" i="13"/>
  <c r="AE38" i="13"/>
  <c r="AD38" i="13"/>
  <c r="Y69" i="13"/>
  <c r="Z69" i="13"/>
  <c r="Y53" i="14"/>
  <c r="Z53" i="14"/>
  <c r="Z5" i="7"/>
  <c r="Y5" i="7"/>
  <c r="AD71" i="7"/>
  <c r="AE71" i="7"/>
  <c r="AE142" i="7"/>
  <c r="AD142" i="7"/>
  <c r="Z123" i="7"/>
  <c r="Y123" i="7"/>
  <c r="AE14" i="13"/>
  <c r="AD14" i="13"/>
  <c r="Y55" i="13"/>
  <c r="Z55" i="13"/>
  <c r="Z66" i="13"/>
  <c r="Y66" i="13"/>
  <c r="Y11" i="7"/>
  <c r="Z11" i="7"/>
  <c r="Y79" i="7"/>
  <c r="Z79" i="7"/>
  <c r="AE66" i="7"/>
  <c r="AD66" i="7"/>
  <c r="Y127" i="7"/>
  <c r="Z127" i="7"/>
  <c r="Z19" i="13"/>
  <c r="Y19" i="13"/>
  <c r="AD42" i="13"/>
  <c r="AE42" i="13"/>
  <c r="AE69" i="7"/>
  <c r="AD69" i="7"/>
  <c r="Y57" i="13"/>
  <c r="Z57" i="13"/>
  <c r="Z110" i="7"/>
  <c r="Y110" i="7"/>
  <c r="AE59" i="7"/>
  <c r="AD59" i="7"/>
  <c r="Y16" i="13"/>
  <c r="Z16" i="13"/>
  <c r="AD28" i="7"/>
  <c r="AE28" i="7"/>
  <c r="AD67" i="13"/>
  <c r="AE67" i="13"/>
  <c r="Z122" i="7"/>
  <c r="Y122" i="7"/>
  <c r="Y104" i="7"/>
  <c r="Z104" i="7"/>
  <c r="Y119" i="7"/>
  <c r="Z119" i="7"/>
  <c r="Y9" i="13"/>
  <c r="Z9" i="13"/>
  <c r="AD47" i="13"/>
  <c r="AE47" i="13"/>
  <c r="AE12" i="14"/>
  <c r="AD12" i="14"/>
  <c r="AE27" i="7"/>
  <c r="AD27" i="7"/>
  <c r="Z95" i="7"/>
  <c r="Y95" i="7"/>
  <c r="AD73" i="7"/>
  <c r="AE73" i="7"/>
  <c r="AD154" i="7"/>
  <c r="AE154" i="7"/>
  <c r="Z62" i="7"/>
  <c r="Y62" i="7"/>
  <c r="AE10" i="13"/>
  <c r="AD10" i="13"/>
  <c r="Z61" i="13"/>
  <c r="Y61" i="13"/>
  <c r="AE82" i="13"/>
  <c r="AD82" i="13"/>
  <c r="AD34" i="7"/>
  <c r="AE34" i="7"/>
  <c r="AD63" i="7"/>
  <c r="AE63" i="7"/>
  <c r="AE111" i="7"/>
  <c r="AD111" i="7"/>
  <c r="Z24" i="13"/>
  <c r="Y24" i="13"/>
  <c r="Y89" i="13"/>
  <c r="Z89" i="13"/>
  <c r="AE113" i="7"/>
  <c r="AD113" i="7"/>
  <c r="Y16" i="7"/>
  <c r="Z16" i="7"/>
  <c r="Z106" i="7"/>
  <c r="Y106" i="7"/>
  <c r="AE70" i="13"/>
  <c r="AD70" i="13"/>
  <c r="AE82" i="7"/>
  <c r="AD82" i="7"/>
  <c r="Y53" i="13"/>
  <c r="Z53" i="13"/>
  <c r="AE92" i="7"/>
  <c r="AD92" i="7"/>
  <c r="Z8" i="7"/>
  <c r="Y8" i="7"/>
  <c r="Y49" i="7"/>
  <c r="Z49" i="7"/>
  <c r="AD105" i="7"/>
  <c r="AE105" i="7"/>
  <c r="Y100" i="7"/>
  <c r="Z100" i="7"/>
  <c r="Z145" i="7"/>
  <c r="Y145" i="7"/>
  <c r="AD148" i="7"/>
  <c r="AE148" i="7"/>
  <c r="Z88" i="13"/>
  <c r="Y88" i="13"/>
  <c r="Z75" i="13"/>
  <c r="Y75" i="13"/>
  <c r="Y27" i="14"/>
  <c r="Z27" i="14"/>
  <c r="AE51" i="7"/>
  <c r="AD51" i="7"/>
  <c r="AE103" i="7"/>
  <c r="AD103" i="7"/>
  <c r="AD159" i="7"/>
  <c r="AE159" i="7"/>
  <c r="Z112" i="7"/>
  <c r="Y112" i="7"/>
  <c r="AD77" i="7"/>
  <c r="AE77" i="7"/>
  <c r="Y23" i="13"/>
  <c r="Z23" i="13"/>
  <c r="Y41" i="13"/>
  <c r="Z41" i="13"/>
  <c r="AD56" i="13"/>
  <c r="AE56" i="13"/>
  <c r="AD20" i="7"/>
  <c r="AE20" i="7"/>
  <c r="AE54" i="7"/>
  <c r="AD54" i="7"/>
  <c r="AE116" i="7"/>
  <c r="AD116" i="7"/>
  <c r="Z44" i="13"/>
  <c r="Y44" i="13"/>
  <c r="AD55" i="14"/>
  <c r="AE55" i="14"/>
  <c r="Z19" i="7"/>
  <c r="Y19" i="7"/>
  <c r="Z117" i="7"/>
  <c r="Y117" i="7"/>
  <c r="Y54" i="13"/>
  <c r="Z54" i="13"/>
  <c r="AD29" i="13"/>
  <c r="AE29" i="13"/>
  <c r="Y32" i="14"/>
  <c r="Z32" i="14"/>
  <c r="AA93" i="7"/>
  <c r="AB93" i="7" s="1"/>
  <c r="AA10" i="14"/>
  <c r="AB10" i="14" s="1"/>
  <c r="AA12" i="7"/>
  <c r="AB12" i="7" s="1"/>
  <c r="AJ18" i="13"/>
  <c r="AJ136" i="7"/>
  <c r="AJ85" i="13"/>
  <c r="AP87" i="13"/>
  <c r="AQ87" i="13" s="1"/>
  <c r="AR87" i="13" s="1"/>
  <c r="AP86" i="13"/>
  <c r="AQ86" i="13" s="1"/>
  <c r="AR86" i="13" s="1"/>
  <c r="AJ50" i="7"/>
  <c r="AK41" i="7"/>
  <c r="AL41" i="7" s="1"/>
  <c r="AJ36" i="13"/>
  <c r="AK116" i="7"/>
  <c r="AL116" i="7" s="1"/>
  <c r="AJ34" i="13"/>
  <c r="AP61" i="7"/>
  <c r="AQ61" i="7" s="1"/>
  <c r="AI50" i="14"/>
  <c r="AK50" i="14" s="1"/>
  <c r="AP48" i="7"/>
  <c r="AQ48" i="7" s="1"/>
  <c r="AK57" i="6"/>
  <c r="AK67" i="7"/>
  <c r="AL67" i="7" s="1"/>
  <c r="AK69" i="13"/>
  <c r="AL69" i="13" s="1"/>
  <c r="AP157" i="7"/>
  <c r="AQ157" i="7" s="1"/>
  <c r="AK34" i="13"/>
  <c r="AK135" i="7"/>
  <c r="AK151" i="7"/>
  <c r="AJ43" i="13"/>
  <c r="AL43" i="13" s="1"/>
  <c r="AP43" i="13"/>
  <c r="AQ43" i="13" s="1"/>
  <c r="AR43" i="13" s="1"/>
  <c r="AF30" i="14"/>
  <c r="AA42" i="7"/>
  <c r="AB42" i="7" s="1"/>
  <c r="AA132" i="7"/>
  <c r="AB132" i="7" s="1"/>
  <c r="AP24" i="6"/>
  <c r="AQ24" i="6" s="1"/>
  <c r="AP27" i="6"/>
  <c r="AQ27" i="6" s="1"/>
  <c r="AP41" i="6"/>
  <c r="AQ41" i="6" s="1"/>
  <c r="AP37" i="6"/>
  <c r="AQ37" i="6" s="1"/>
  <c r="AP58" i="6"/>
  <c r="AQ58" i="6" s="1"/>
  <c r="AP53" i="6"/>
  <c r="AQ53" i="6" s="1"/>
  <c r="AP48" i="6"/>
  <c r="AQ48" i="6" s="1"/>
  <c r="AP11" i="6"/>
  <c r="AQ11" i="6" s="1"/>
  <c r="AP25" i="6"/>
  <c r="AQ25" i="6" s="1"/>
  <c r="AP32" i="6"/>
  <c r="AQ32" i="6" s="1"/>
  <c r="AP14" i="6"/>
  <c r="AQ14" i="6" s="1"/>
  <c r="AP22" i="6"/>
  <c r="AQ22" i="6" s="1"/>
  <c r="AP19" i="6"/>
  <c r="AQ19" i="6" s="1"/>
  <c r="AP55" i="6"/>
  <c r="AQ55" i="6" s="1"/>
  <c r="AP7" i="6"/>
  <c r="AQ7" i="6" s="1"/>
  <c r="AP62" i="6"/>
  <c r="AQ62" i="6" s="1"/>
  <c r="AP20" i="6"/>
  <c r="AQ20" i="6" s="1"/>
  <c r="AP17" i="6"/>
  <c r="AQ17" i="6" s="1"/>
  <c r="AP8" i="6"/>
  <c r="AQ8" i="6" s="1"/>
  <c r="AP4" i="6"/>
  <c r="AQ4" i="6" s="1"/>
  <c r="AR4" i="6" s="1"/>
  <c r="AP38" i="6"/>
  <c r="AQ38" i="6" s="1"/>
  <c r="AP52" i="6"/>
  <c r="AQ52" i="6" s="1"/>
  <c r="AP57" i="6"/>
  <c r="AQ57" i="6" s="1"/>
  <c r="AP12" i="6"/>
  <c r="AQ12" i="6" s="1"/>
  <c r="AP59" i="6"/>
  <c r="AQ59" i="6" s="1"/>
  <c r="AP35" i="6"/>
  <c r="AQ35" i="6" s="1"/>
  <c r="AP44" i="6"/>
  <c r="AQ44" i="6" s="1"/>
  <c r="AP63" i="6"/>
  <c r="AQ63" i="6" s="1"/>
  <c r="AP11" i="13"/>
  <c r="AQ11" i="13" s="1"/>
  <c r="AR11" i="13" s="1"/>
  <c r="AP106" i="7"/>
  <c r="AQ106" i="7" s="1"/>
  <c r="AP118" i="7"/>
  <c r="AQ118" i="7" s="1"/>
  <c r="AI57" i="14"/>
  <c r="AK57" i="14" s="1"/>
  <c r="AJ41" i="13"/>
  <c r="AP154" i="7"/>
  <c r="AQ154" i="7" s="1"/>
  <c r="AR154" i="7" s="1"/>
  <c r="AP13" i="13"/>
  <c r="AQ13" i="13" s="1"/>
  <c r="AR13" i="13" s="1"/>
  <c r="AP80" i="7"/>
  <c r="AQ80" i="7" s="1"/>
  <c r="AK29" i="7"/>
  <c r="AJ25" i="7"/>
  <c r="AJ67" i="13"/>
  <c r="AP129" i="7"/>
  <c r="AQ129" i="7" s="1"/>
  <c r="AP57" i="7"/>
  <c r="AQ57" i="7" s="1"/>
  <c r="AJ57" i="7"/>
  <c r="AL57" i="7" s="1"/>
  <c r="AJ85" i="7"/>
  <c r="AL85" i="7" s="1"/>
  <c r="AJ10" i="13"/>
  <c r="AJ88" i="13"/>
  <c r="AL88" i="13" s="1"/>
  <c r="AJ137" i="7"/>
  <c r="AP87" i="7"/>
  <c r="AQ87" i="7" s="1"/>
  <c r="AK90" i="7"/>
  <c r="AP56" i="13"/>
  <c r="AQ56" i="13" s="1"/>
  <c r="AR56" i="13" s="1"/>
  <c r="AP71" i="7"/>
  <c r="AQ71" i="7" s="1"/>
  <c r="AI5" i="14"/>
  <c r="AK28" i="6"/>
  <c r="AL28" i="6" s="1"/>
  <c r="AN28" i="6" s="1"/>
  <c r="AI53" i="14"/>
  <c r="AN19" i="6"/>
  <c r="AP150" i="7"/>
  <c r="AQ150" i="7" s="1"/>
  <c r="AK10" i="13"/>
  <c r="AJ11" i="13"/>
  <c r="AK17" i="6"/>
  <c r="AJ106" i="7"/>
  <c r="AJ150" i="7"/>
  <c r="AK64" i="13"/>
  <c r="AP11" i="7"/>
  <c r="AQ11" i="7" s="1"/>
  <c r="AJ80" i="7"/>
  <c r="AP80" i="13"/>
  <c r="AQ80" i="13" s="1"/>
  <c r="AR80" i="13" s="1"/>
  <c r="AP125" i="7"/>
  <c r="AQ125" i="7" s="1"/>
  <c r="AJ118" i="7"/>
  <c r="AL118" i="7" s="1"/>
  <c r="AJ55" i="7"/>
  <c r="AP88" i="13"/>
  <c r="AQ88" i="13" s="1"/>
  <c r="AR88" i="13" s="1"/>
  <c r="AK76" i="7"/>
  <c r="AK11" i="7"/>
  <c r="AL11" i="7" s="1"/>
  <c r="AP146" i="7"/>
  <c r="AQ146" i="7" s="1"/>
  <c r="AP99" i="7"/>
  <c r="AQ99" i="7" s="1"/>
  <c r="AK43" i="7"/>
  <c r="AL43" i="7" s="1"/>
  <c r="AJ49" i="7"/>
  <c r="AJ4" i="13"/>
  <c r="AK153" i="7"/>
  <c r="AK18" i="13"/>
  <c r="AK112" i="7"/>
  <c r="AK7" i="6"/>
  <c r="AN43" i="6"/>
  <c r="AP50" i="7"/>
  <c r="AQ50" i="7" s="1"/>
  <c r="AJ64" i="13"/>
  <c r="AP25" i="13"/>
  <c r="AQ25" i="13" s="1"/>
  <c r="AR25" i="13" s="1"/>
  <c r="AK80" i="13"/>
  <c r="AL80" i="13" s="1"/>
  <c r="AJ87" i="7"/>
  <c r="AL87" i="7" s="1"/>
  <c r="AP49" i="7"/>
  <c r="AQ49" i="7" s="1"/>
  <c r="AJ12" i="13"/>
  <c r="AJ25" i="13"/>
  <c r="AP12" i="13"/>
  <c r="AQ12" i="13" s="1"/>
  <c r="AR12" i="13" s="1"/>
  <c r="AK137" i="7"/>
  <c r="AP155" i="7"/>
  <c r="AQ155" i="7" s="1"/>
  <c r="AK91" i="13"/>
  <c r="AJ61" i="7"/>
  <c r="AL61" i="7" s="1"/>
  <c r="AJ91" i="13"/>
  <c r="AK35" i="6"/>
  <c r="AJ27" i="13"/>
  <c r="AP145" i="7"/>
  <c r="AQ145" i="7" s="1"/>
  <c r="AP41" i="7"/>
  <c r="AQ41" i="7" s="1"/>
  <c r="AJ135" i="7"/>
  <c r="AP96" i="7"/>
  <c r="AQ96" i="7" s="1"/>
  <c r="AK30" i="7"/>
  <c r="AL30" i="7" s="1"/>
  <c r="AK141" i="7"/>
  <c r="AK111" i="7"/>
  <c r="AL111" i="7" s="1"/>
  <c r="AK84" i="7"/>
  <c r="AL84" i="7" s="1"/>
  <c r="AK70" i="13"/>
  <c r="AJ48" i="7"/>
  <c r="AL48" i="7" s="1"/>
  <c r="AJ19" i="13"/>
  <c r="AP21" i="7"/>
  <c r="AQ21" i="7" s="1"/>
  <c r="AK14" i="7"/>
  <c r="AK142" i="7"/>
  <c r="AP40" i="13"/>
  <c r="AQ40" i="13" s="1"/>
  <c r="AR40" i="13" s="1"/>
  <c r="AK44" i="6"/>
  <c r="AJ56" i="7"/>
  <c r="AJ68" i="13"/>
  <c r="AL68" i="13" s="1"/>
  <c r="AP111" i="7"/>
  <c r="AQ111" i="7" s="1"/>
  <c r="AP19" i="13"/>
  <c r="AQ19" i="13" s="1"/>
  <c r="AR19" i="13" s="1"/>
  <c r="AP107" i="7"/>
  <c r="AQ107" i="7" s="1"/>
  <c r="AI6" i="14"/>
  <c r="AK6" i="14" s="1"/>
  <c r="AP84" i="7"/>
  <c r="AQ84" i="7" s="1"/>
  <c r="AJ132" i="7"/>
  <c r="AK132" i="7"/>
  <c r="AJ142" i="7"/>
  <c r="AK30" i="6"/>
  <c r="AL30" i="6"/>
  <c r="AI58" i="14"/>
  <c r="AK58" i="14" s="1"/>
  <c r="AP67" i="7"/>
  <c r="AQ67" i="7" s="1"/>
  <c r="AJ87" i="13"/>
  <c r="AL87" i="13" s="1"/>
  <c r="AP38" i="13"/>
  <c r="AQ38" i="13" s="1"/>
  <c r="AR38" i="13" s="1"/>
  <c r="AJ145" i="7"/>
  <c r="AK56" i="7"/>
  <c r="AJ70" i="13"/>
  <c r="AK36" i="13"/>
  <c r="AJ81" i="7"/>
  <c r="AJ141" i="7"/>
  <c r="AP152" i="7"/>
  <c r="AQ152" i="7" s="1"/>
  <c r="AK107" i="7"/>
  <c r="AP42" i="7"/>
  <c r="AQ42" i="7" s="1"/>
  <c r="AJ14" i="7"/>
  <c r="AI28" i="14"/>
  <c r="AJ28" i="14" s="1"/>
  <c r="AN29" i="6"/>
  <c r="AK79" i="7"/>
  <c r="AJ79" i="7"/>
  <c r="AP79" i="7"/>
  <c r="AQ79" i="7" s="1"/>
  <c r="AP122" i="7"/>
  <c r="AQ122" i="7" s="1"/>
  <c r="AK86" i="13"/>
  <c r="AP69" i="13"/>
  <c r="AQ69" i="13" s="1"/>
  <c r="AR69" i="13" s="1"/>
  <c r="AI55" i="14"/>
  <c r="AJ55" i="14" s="1"/>
  <c r="AK67" i="13"/>
  <c r="AK46" i="13"/>
  <c r="AP46" i="13"/>
  <c r="AQ46" i="13" s="1"/>
  <c r="AR46" i="13" s="1"/>
  <c r="AJ46" i="13"/>
  <c r="AK4" i="13"/>
  <c r="Z19" i="6"/>
  <c r="Y19" i="6"/>
  <c r="AD5" i="6"/>
  <c r="AF55" i="6"/>
  <c r="Y51" i="6"/>
  <c r="AD31" i="6"/>
  <c r="AE31" i="6"/>
  <c r="Y40" i="6"/>
  <c r="Z18" i="6"/>
  <c r="Y18" i="6"/>
  <c r="Z13" i="6"/>
  <c r="Y13" i="6"/>
  <c r="Z31" i="6"/>
  <c r="Y31" i="6"/>
  <c r="AE18" i="6"/>
  <c r="AD18" i="6"/>
  <c r="AD13" i="6"/>
  <c r="AE13" i="6"/>
  <c r="Z24" i="6"/>
  <c r="Y24" i="6"/>
  <c r="Y4" i="6"/>
  <c r="Z4" i="6"/>
  <c r="Y60" i="6"/>
  <c r="Z60" i="6"/>
  <c r="AD34" i="6"/>
  <c r="AE34" i="6"/>
  <c r="AD15" i="6"/>
  <c r="AE15" i="6"/>
  <c r="AF62" i="6"/>
  <c r="AF10" i="6"/>
  <c r="AF32" i="6"/>
  <c r="AD4" i="6"/>
  <c r="AE4" i="6"/>
  <c r="AE60" i="6"/>
  <c r="AD60" i="6"/>
  <c r="Y15" i="6"/>
  <c r="Z15" i="6"/>
  <c r="AE24" i="6"/>
  <c r="AD24" i="6"/>
  <c r="AF44" i="6"/>
  <c r="AF52" i="6"/>
  <c r="AA63" i="6"/>
  <c r="AB63" i="6" s="1"/>
  <c r="AA50" i="6"/>
  <c r="AB50" i="6" s="1"/>
  <c r="Z22" i="6"/>
  <c r="Y22" i="6"/>
  <c r="AE38" i="6"/>
  <c r="AD38" i="6"/>
  <c r="AD22" i="6"/>
  <c r="AE22" i="6"/>
  <c r="Z38" i="6"/>
  <c r="Y38" i="6"/>
  <c r="AA57" i="6"/>
  <c r="AB57" i="6" s="1"/>
  <c r="AF28" i="6"/>
  <c r="AD37" i="6"/>
  <c r="AE37" i="6"/>
  <c r="AE59" i="6"/>
  <c r="AD59" i="6"/>
  <c r="AD23" i="6"/>
  <c r="AE23" i="6"/>
  <c r="Y58" i="6"/>
  <c r="Z58" i="6"/>
  <c r="AD61" i="6"/>
  <c r="AE61" i="6"/>
  <c r="AD58" i="6"/>
  <c r="AE58" i="6"/>
  <c r="Y37" i="6"/>
  <c r="Z37" i="6"/>
  <c r="Y59" i="6"/>
  <c r="Z59" i="6"/>
  <c r="Z23" i="6"/>
  <c r="Y23" i="6"/>
  <c r="Z41" i="6"/>
  <c r="Y41" i="6"/>
  <c r="Y14" i="6"/>
  <c r="Z14" i="6"/>
  <c r="Y61" i="6"/>
  <c r="Z61" i="6"/>
  <c r="AF17" i="6"/>
  <c r="AA35" i="6"/>
  <c r="AB35" i="6" s="1"/>
  <c r="AE41" i="6"/>
  <c r="AD41" i="6"/>
  <c r="AD14" i="6"/>
  <c r="AE14" i="6"/>
  <c r="AE25" i="6"/>
  <c r="AD25" i="6"/>
  <c r="Z25" i="6"/>
  <c r="Y25" i="6"/>
  <c r="AF27" i="6"/>
  <c r="AK8" i="14"/>
  <c r="AJ8" i="14"/>
  <c r="AJ10" i="14"/>
  <c r="AK10" i="14"/>
  <c r="AJ56" i="14"/>
  <c r="AK56" i="14"/>
  <c r="AN53" i="6"/>
  <c r="AK35" i="14"/>
  <c r="AJ35" i="14"/>
  <c r="AK34" i="14"/>
  <c r="AJ34" i="14"/>
  <c r="AK31" i="14"/>
  <c r="AJ31" i="14"/>
  <c r="AK30" i="14"/>
  <c r="AJ30" i="14"/>
  <c r="AL14" i="6" l="1"/>
  <c r="AN14" i="6" s="1"/>
  <c r="AA71" i="14"/>
  <c r="AB71" i="14" s="1"/>
  <c r="AA48" i="14"/>
  <c r="AB48" i="14" s="1"/>
  <c r="AF49" i="14"/>
  <c r="AG49" i="14" s="1"/>
  <c r="BR49" i="14" s="1"/>
  <c r="AF72" i="14"/>
  <c r="AF71" i="14"/>
  <c r="BS71" i="14" s="1"/>
  <c r="AF25" i="14"/>
  <c r="AG25" i="14" s="1"/>
  <c r="BR25" i="14" s="1"/>
  <c r="AF26" i="14"/>
  <c r="AA72" i="14"/>
  <c r="AB72" i="14" s="1"/>
  <c r="AG72" i="14" s="1"/>
  <c r="BR72" i="14" s="1"/>
  <c r="AA26" i="14"/>
  <c r="AB26" i="14" s="1"/>
  <c r="AF48" i="14"/>
  <c r="AG48" i="14" s="1"/>
  <c r="BR48" i="14" s="1"/>
  <c r="AG29" i="7"/>
  <c r="BR29" i="7" s="1"/>
  <c r="AL16" i="6"/>
  <c r="AN16" i="6" s="1"/>
  <c r="AL44" i="6"/>
  <c r="AN44" i="6" s="1"/>
  <c r="AO44" i="6" s="1"/>
  <c r="AG128" i="7"/>
  <c r="BR128" i="7" s="1"/>
  <c r="AF118" i="7"/>
  <c r="BS118" i="7" s="1"/>
  <c r="AL36" i="6"/>
  <c r="AN36" i="6" s="1"/>
  <c r="AO36" i="6" s="1"/>
  <c r="AV36" i="6" s="1"/>
  <c r="AX36" i="6" s="1"/>
  <c r="AG18" i="13"/>
  <c r="BR18" i="13" s="1"/>
  <c r="AG49" i="6"/>
  <c r="BR49" i="6" s="1"/>
  <c r="AL6" i="6"/>
  <c r="AN6" i="6" s="1"/>
  <c r="AO6" i="6" s="1"/>
  <c r="AV6" i="6" s="1"/>
  <c r="AX6" i="6" s="1"/>
  <c r="AF21" i="6"/>
  <c r="BS21" i="6" s="1"/>
  <c r="AG61" i="7"/>
  <c r="BR61" i="7" s="1"/>
  <c r="AA32" i="6"/>
  <c r="AB32" i="6" s="1"/>
  <c r="AG32" i="6" s="1"/>
  <c r="BR32" i="6" s="1"/>
  <c r="BS8" i="14"/>
  <c r="BS152" i="7"/>
  <c r="BN4" i="6"/>
  <c r="BP4" i="6" s="1"/>
  <c r="BN7" i="6"/>
  <c r="BP7" i="6" s="1"/>
  <c r="BN55" i="6"/>
  <c r="BP55" i="6" s="1"/>
  <c r="BN58" i="6"/>
  <c r="BP58" i="6" s="1"/>
  <c r="BN6" i="6"/>
  <c r="BP6" i="6" s="1"/>
  <c r="BN35" i="6"/>
  <c r="BP35" i="6" s="1"/>
  <c r="BN48" i="6"/>
  <c r="BP48" i="6" s="1"/>
  <c r="BN34" i="6"/>
  <c r="BP34" i="6" s="1"/>
  <c r="BN57" i="6"/>
  <c r="BP57" i="6" s="1"/>
  <c r="BN25" i="6"/>
  <c r="BP25" i="6" s="1"/>
  <c r="BN28" i="6"/>
  <c r="BP28" i="6" s="1"/>
  <c r="BN47" i="6"/>
  <c r="BP47" i="6" s="1"/>
  <c r="BN46" i="6"/>
  <c r="BP46" i="6" s="1"/>
  <c r="BN14" i="6"/>
  <c r="BP14" i="6" s="1"/>
  <c r="BN37" i="6"/>
  <c r="BP37" i="6" s="1"/>
  <c r="BN5" i="6"/>
  <c r="BP5" i="6" s="1"/>
  <c r="BN8" i="6"/>
  <c r="BP8" i="6" s="1"/>
  <c r="BN26" i="6"/>
  <c r="BN17" i="6"/>
  <c r="BP17" i="6" s="1"/>
  <c r="BN16" i="6"/>
  <c r="BP16" i="6" s="1"/>
  <c r="BN45" i="6"/>
  <c r="BP45" i="6" s="1"/>
  <c r="BN38" i="6"/>
  <c r="BP38" i="6" s="1"/>
  <c r="BN54" i="6"/>
  <c r="BP54" i="6" s="1"/>
  <c r="BN18" i="6"/>
  <c r="BP18" i="6" s="1"/>
  <c r="BN27" i="6"/>
  <c r="BP27" i="6" s="1"/>
  <c r="BN44" i="6"/>
  <c r="BP44" i="6" s="1"/>
  <c r="BN15" i="6"/>
  <c r="BP15" i="6" s="1"/>
  <c r="BN56" i="6"/>
  <c r="BP56" i="6" s="1"/>
  <c r="BN24" i="6"/>
  <c r="BP24" i="6" s="1"/>
  <c r="BN22" i="6"/>
  <c r="BP22" i="6" s="1"/>
  <c r="BN63" i="6"/>
  <c r="BP63" i="6" s="1"/>
  <c r="BN31" i="6"/>
  <c r="BP31" i="6" s="1"/>
  <c r="BN61" i="6"/>
  <c r="BP61" i="6" s="1"/>
  <c r="BN29" i="6"/>
  <c r="BP29" i="6" s="1"/>
  <c r="BN13" i="6"/>
  <c r="BP13" i="6" s="1"/>
  <c r="BN32" i="6"/>
  <c r="BP32" i="6" s="1"/>
  <c r="BN23" i="6"/>
  <c r="BP23" i="6" s="1"/>
  <c r="BN50" i="6"/>
  <c r="BP50" i="6" s="1"/>
  <c r="BN41" i="6"/>
  <c r="BP41" i="6" s="1"/>
  <c r="BN9" i="6"/>
  <c r="BP9" i="6" s="1"/>
  <c r="BN59" i="6"/>
  <c r="BP59" i="6" s="1"/>
  <c r="BN60" i="6"/>
  <c r="BP60" i="6" s="1"/>
  <c r="BN12" i="6"/>
  <c r="BP12" i="6" s="1"/>
  <c r="BN30" i="6"/>
  <c r="BP30" i="6" s="1"/>
  <c r="BN53" i="6"/>
  <c r="BP53" i="6" s="1"/>
  <c r="BN21" i="6"/>
  <c r="BP21" i="6" s="1"/>
  <c r="BN51" i="6"/>
  <c r="BP51" i="6" s="1"/>
  <c r="BN19" i="6"/>
  <c r="BP19" i="6" s="1"/>
  <c r="BN40" i="6"/>
  <c r="BP40" i="6" s="1"/>
  <c r="BN39" i="6"/>
  <c r="BP39" i="6" s="1"/>
  <c r="BN62" i="6"/>
  <c r="BP62" i="6" s="1"/>
  <c r="BN42" i="6"/>
  <c r="BP42" i="6" s="1"/>
  <c r="BN10" i="6"/>
  <c r="BP10" i="6" s="1"/>
  <c r="BN49" i="6"/>
  <c r="BP49" i="6" s="1"/>
  <c r="BN33" i="6"/>
  <c r="BP33" i="6" s="1"/>
  <c r="BN43" i="6"/>
  <c r="BP43" i="6" s="1"/>
  <c r="BN11" i="6"/>
  <c r="BP11" i="6" s="1"/>
  <c r="BN52" i="6"/>
  <c r="BP52" i="6" s="1"/>
  <c r="BN36" i="6"/>
  <c r="BP36" i="6" s="1"/>
  <c r="BN20" i="6"/>
  <c r="BP20" i="6" s="1"/>
  <c r="AG93" i="13"/>
  <c r="BR93" i="13" s="1"/>
  <c r="BS44" i="6"/>
  <c r="BS55" i="6"/>
  <c r="BS5" i="14"/>
  <c r="AL56" i="6"/>
  <c r="AN56" i="6" s="1"/>
  <c r="AO56" i="6" s="1"/>
  <c r="AV56" i="6" s="1"/>
  <c r="AX56" i="6" s="1"/>
  <c r="AL34" i="6"/>
  <c r="AN34" i="6" s="1"/>
  <c r="AJ17" i="6"/>
  <c r="AL17" i="6" s="1"/>
  <c r="AN17" i="6" s="1"/>
  <c r="AJ45" i="6"/>
  <c r="AL45" i="6" s="1"/>
  <c r="AN45" i="6" s="1"/>
  <c r="AO45" i="6" s="1"/>
  <c r="AV45" i="6" s="1"/>
  <c r="AX45" i="6" s="1"/>
  <c r="AJ55" i="6"/>
  <c r="AL55" i="6" s="1"/>
  <c r="AN55" i="6" s="1"/>
  <c r="AL24" i="6"/>
  <c r="AN24" i="6" s="1"/>
  <c r="AO24" i="6" s="1"/>
  <c r="AJ25" i="6"/>
  <c r="AL25" i="6" s="1"/>
  <c r="AN25" i="6" s="1"/>
  <c r="AJ15" i="6"/>
  <c r="AL15" i="6" s="1"/>
  <c r="AN15" i="6" s="1"/>
  <c r="AJ35" i="6"/>
  <c r="AL35" i="6" s="1"/>
  <c r="AN35" i="6" s="1"/>
  <c r="AJ37" i="6"/>
  <c r="AL37" i="6" s="1"/>
  <c r="AN37" i="6" s="1"/>
  <c r="AJ27" i="6"/>
  <c r="AL27" i="6" s="1"/>
  <c r="AN27" i="6" s="1"/>
  <c r="AO27" i="6" s="1"/>
  <c r="AJ47" i="6"/>
  <c r="AL47" i="6" s="1"/>
  <c r="AN47" i="6" s="1"/>
  <c r="AO47" i="6" s="1"/>
  <c r="AV47" i="6" s="1"/>
  <c r="AX47" i="6" s="1"/>
  <c r="AJ57" i="6"/>
  <c r="AL57" i="6" s="1"/>
  <c r="AN57" i="6" s="1"/>
  <c r="AJ5" i="6"/>
  <c r="AL5" i="6" s="1"/>
  <c r="AN5" i="6" s="1"/>
  <c r="AO5" i="6" s="1"/>
  <c r="AJ7" i="6"/>
  <c r="AL7" i="6" s="1"/>
  <c r="AN7" i="6" s="1"/>
  <c r="AO7" i="6" s="1"/>
  <c r="BS52" i="6"/>
  <c r="BS62" i="6"/>
  <c r="BS54" i="14"/>
  <c r="BS86" i="13"/>
  <c r="AG31" i="7"/>
  <c r="BR31" i="7" s="1"/>
  <c r="AF129" i="7"/>
  <c r="BS129" i="7" s="1"/>
  <c r="AG91" i="13"/>
  <c r="BR91" i="13" s="1"/>
  <c r="AF41" i="7"/>
  <c r="BS41" i="7" s="1"/>
  <c r="BS22" i="13"/>
  <c r="BS51" i="14"/>
  <c r="BS147" i="7"/>
  <c r="BS27" i="6"/>
  <c r="BS15" i="7"/>
  <c r="BS81" i="7"/>
  <c r="BS28" i="13"/>
  <c r="BS43" i="13"/>
  <c r="BS31" i="7"/>
  <c r="BS91" i="7"/>
  <c r="BS91" i="13"/>
  <c r="BS28" i="6"/>
  <c r="AF35" i="14"/>
  <c r="BS35" i="14" s="1"/>
  <c r="BS93" i="13"/>
  <c r="BS128" i="7"/>
  <c r="BS54" i="6"/>
  <c r="BS134" i="7"/>
  <c r="BS49" i="6"/>
  <c r="BS18" i="13"/>
  <c r="BS61" i="7"/>
  <c r="BS80" i="13"/>
  <c r="BS29" i="6"/>
  <c r="BS60" i="7"/>
  <c r="AG80" i="13"/>
  <c r="BR80" i="13" s="1"/>
  <c r="BS43" i="7"/>
  <c r="BS71" i="13"/>
  <c r="BS29" i="7"/>
  <c r="AF50" i="6"/>
  <c r="BS50" i="6" s="1"/>
  <c r="AF141" i="7"/>
  <c r="BS141" i="7" s="1"/>
  <c r="AF9" i="6"/>
  <c r="BS9" i="6" s="1"/>
  <c r="AF35" i="6"/>
  <c r="BS35" i="6" s="1"/>
  <c r="AF158" i="7"/>
  <c r="AG81" i="7"/>
  <c r="AG134" i="7"/>
  <c r="AF63" i="6"/>
  <c r="AF109" i="7"/>
  <c r="BS109" i="7" s="1"/>
  <c r="AF26" i="7"/>
  <c r="BS26" i="7" s="1"/>
  <c r="AF32" i="7"/>
  <c r="AF93" i="7"/>
  <c r="AF7" i="6"/>
  <c r="BS7" i="6" s="1"/>
  <c r="AF53" i="6"/>
  <c r="BS53" i="6" s="1"/>
  <c r="AG51" i="14"/>
  <c r="AG147" i="7"/>
  <c r="AF88" i="7"/>
  <c r="BS88" i="7" s="1"/>
  <c r="AG91" i="7"/>
  <c r="AF23" i="7"/>
  <c r="BS23" i="7" s="1"/>
  <c r="AF101" i="7"/>
  <c r="BS101" i="7" s="1"/>
  <c r="AF14" i="7"/>
  <c r="BS14" i="7" s="1"/>
  <c r="AF9" i="7"/>
  <c r="BS9" i="7" s="1"/>
  <c r="AG71" i="13"/>
  <c r="BR71" i="13" s="1"/>
  <c r="AF132" i="7"/>
  <c r="AF85" i="13"/>
  <c r="BS85" i="13" s="1"/>
  <c r="AF115" i="7"/>
  <c r="BS115" i="7" s="1"/>
  <c r="AF57" i="14"/>
  <c r="AG28" i="13"/>
  <c r="BR28" i="13" s="1"/>
  <c r="AG54" i="6"/>
  <c r="AF30" i="6"/>
  <c r="AF68" i="7"/>
  <c r="BS68" i="7" s="1"/>
  <c r="AF10" i="14"/>
  <c r="BS10" i="14" s="1"/>
  <c r="AF58" i="14"/>
  <c r="BS58" i="14" s="1"/>
  <c r="AF77" i="13"/>
  <c r="BS77" i="13" s="1"/>
  <c r="AG43" i="7"/>
  <c r="AF38" i="7"/>
  <c r="BS38" i="7" s="1"/>
  <c r="AF5" i="6"/>
  <c r="BS5" i="6" s="1"/>
  <c r="AF63" i="13"/>
  <c r="BS63" i="13" s="1"/>
  <c r="AF65" i="13"/>
  <c r="BS65" i="13" s="1"/>
  <c r="AF62" i="13"/>
  <c r="BS62" i="13" s="1"/>
  <c r="AF6" i="7"/>
  <c r="BS6" i="7" s="1"/>
  <c r="AF84" i="13"/>
  <c r="AG43" i="13"/>
  <c r="BR43" i="13" s="1"/>
  <c r="AF76" i="13"/>
  <c r="AF47" i="6"/>
  <c r="AF84" i="7"/>
  <c r="BS84" i="7" s="1"/>
  <c r="AF46" i="7"/>
  <c r="BS46" i="7" s="1"/>
  <c r="AF39" i="6"/>
  <c r="BS39" i="6" s="1"/>
  <c r="AF20" i="6"/>
  <c r="BS20" i="6" s="1"/>
  <c r="AF43" i="6"/>
  <c r="BS43" i="6" s="1"/>
  <c r="AF8" i="6"/>
  <c r="BS8" i="6" s="1"/>
  <c r="AG15" i="7"/>
  <c r="AF55" i="7"/>
  <c r="BS55" i="7" s="1"/>
  <c r="AF94" i="7"/>
  <c r="BS94" i="7" s="1"/>
  <c r="AJ48" i="14"/>
  <c r="AL48" i="14" s="1"/>
  <c r="AN48" i="14" s="1"/>
  <c r="AO48" i="14" s="1"/>
  <c r="AV48" i="14" s="1"/>
  <c r="AK61" i="14"/>
  <c r="AL61" i="14" s="1"/>
  <c r="AN61" i="14" s="1"/>
  <c r="AO61" i="14" s="1"/>
  <c r="AJ44" i="14"/>
  <c r="AL44" i="14" s="1"/>
  <c r="AN44" i="14" s="1"/>
  <c r="AR34" i="14"/>
  <c r="AU34" i="14" s="1"/>
  <c r="AR13" i="14"/>
  <c r="AU13" i="14" s="1"/>
  <c r="AR70" i="14"/>
  <c r="AU70" i="14" s="1"/>
  <c r="AR20" i="14"/>
  <c r="AU20" i="14" s="1"/>
  <c r="AR56" i="14"/>
  <c r="AU56" i="14" s="1"/>
  <c r="AR60" i="14"/>
  <c r="AU60" i="14" s="1"/>
  <c r="AR64" i="14"/>
  <c r="AU64" i="14" s="1"/>
  <c r="AR16" i="14"/>
  <c r="AU16" i="14" s="1"/>
  <c r="AR24" i="14"/>
  <c r="AU24" i="14" s="1"/>
  <c r="AR44" i="14"/>
  <c r="AU44" i="14" s="1"/>
  <c r="AR71" i="14"/>
  <c r="AU71" i="14" s="1"/>
  <c r="AR18" i="14"/>
  <c r="AU18" i="14" s="1"/>
  <c r="AR46" i="14"/>
  <c r="AU46" i="14" s="1"/>
  <c r="AR23" i="14"/>
  <c r="AU23" i="14" s="1"/>
  <c r="AR10" i="14"/>
  <c r="AU10" i="14" s="1"/>
  <c r="AR41" i="14"/>
  <c r="AU41" i="14" s="1"/>
  <c r="AR35" i="14"/>
  <c r="AU35" i="14" s="1"/>
  <c r="AR31" i="14"/>
  <c r="AU31" i="14" s="1"/>
  <c r="AR14" i="14"/>
  <c r="AU14" i="14" s="1"/>
  <c r="AR65" i="14"/>
  <c r="AU65" i="14" s="1"/>
  <c r="AR63" i="14"/>
  <c r="AU63" i="14" s="1"/>
  <c r="AR47" i="14"/>
  <c r="AU47" i="14" s="1"/>
  <c r="AR22" i="14"/>
  <c r="AU22" i="14" s="1"/>
  <c r="AR17" i="14"/>
  <c r="AU17" i="14" s="1"/>
  <c r="AR67" i="14"/>
  <c r="AU67" i="14" s="1"/>
  <c r="AR15" i="14"/>
  <c r="AU15" i="14" s="1"/>
  <c r="AR62" i="14"/>
  <c r="AU62" i="14" s="1"/>
  <c r="AR61" i="14"/>
  <c r="AU61" i="14" s="1"/>
  <c r="AR30" i="14"/>
  <c r="AU30" i="14" s="1"/>
  <c r="AR37" i="14"/>
  <c r="AU37" i="14" s="1"/>
  <c r="AR39" i="14"/>
  <c r="AU39" i="14" s="1"/>
  <c r="AR45" i="14"/>
  <c r="AU45" i="14" s="1"/>
  <c r="AR8" i="14"/>
  <c r="AU8" i="14" s="1"/>
  <c r="AR36" i="14"/>
  <c r="AU36" i="14" s="1"/>
  <c r="AR43" i="14"/>
  <c r="AU43" i="14" s="1"/>
  <c r="AR42" i="14"/>
  <c r="AU42" i="14" s="1"/>
  <c r="AR38" i="14"/>
  <c r="AU38" i="14" s="1"/>
  <c r="AR21" i="14"/>
  <c r="AU21" i="14" s="1"/>
  <c r="AR68" i="14"/>
  <c r="AU68" i="14" s="1"/>
  <c r="AR25" i="14"/>
  <c r="AU25" i="14" s="1"/>
  <c r="AJ71" i="14"/>
  <c r="AK71" i="14"/>
  <c r="AK72" i="14"/>
  <c r="AJ72" i="14"/>
  <c r="AU49" i="14"/>
  <c r="AK25" i="14"/>
  <c r="AJ25" i="14"/>
  <c r="AK49" i="14"/>
  <c r="AJ49" i="14"/>
  <c r="AU26" i="14"/>
  <c r="AU72" i="14"/>
  <c r="AK26" i="14"/>
  <c r="AJ26" i="14"/>
  <c r="BP26" i="6"/>
  <c r="AL58" i="6"/>
  <c r="AN58" i="6" s="1"/>
  <c r="AL54" i="6"/>
  <c r="AN54" i="6" s="1"/>
  <c r="AL46" i="6"/>
  <c r="AN46" i="6" s="1"/>
  <c r="AO46" i="6" s="1"/>
  <c r="AV46" i="6" s="1"/>
  <c r="AX46" i="6" s="1"/>
  <c r="AL26" i="6"/>
  <c r="AN26" i="6" s="1"/>
  <c r="AO26" i="6" s="1"/>
  <c r="AV26" i="6" s="1"/>
  <c r="AX26" i="6" s="1"/>
  <c r="AL38" i="6"/>
  <c r="AN38" i="6" s="1"/>
  <c r="AL4" i="6"/>
  <c r="AN4" i="6" s="1"/>
  <c r="AO4" i="6" s="1"/>
  <c r="AL48" i="6"/>
  <c r="AN48" i="6" s="1"/>
  <c r="AO48" i="6" s="1"/>
  <c r="AF17" i="13"/>
  <c r="BS17" i="13" s="1"/>
  <c r="AA46" i="14"/>
  <c r="AB46" i="14" s="1"/>
  <c r="AJ69" i="14"/>
  <c r="AL69" i="14" s="1"/>
  <c r="AN69" i="14" s="1"/>
  <c r="AL15" i="14"/>
  <c r="AN15" i="14" s="1"/>
  <c r="AO15" i="14" s="1"/>
  <c r="AO62" i="6"/>
  <c r="AO41" i="6"/>
  <c r="AO16" i="6"/>
  <c r="AV16" i="6" s="1"/>
  <c r="AX16" i="6" s="1"/>
  <c r="AO43" i="6"/>
  <c r="AV43" i="6" s="1"/>
  <c r="AX43" i="6" s="1"/>
  <c r="AO19" i="6"/>
  <c r="AO20" i="6"/>
  <c r="AO61" i="6"/>
  <c r="AV61" i="6" s="1"/>
  <c r="AX61" i="6" s="1"/>
  <c r="AO14" i="6"/>
  <c r="AO21" i="6"/>
  <c r="AV21" i="6" s="1"/>
  <c r="AX21" i="6" s="1"/>
  <c r="AO63" i="6"/>
  <c r="AO23" i="6"/>
  <c r="AV23" i="6" s="1"/>
  <c r="AX23" i="6" s="1"/>
  <c r="AO59" i="6"/>
  <c r="AO42" i="6"/>
  <c r="AV42" i="6" s="1"/>
  <c r="AX42" i="6" s="1"/>
  <c r="AA30" i="14"/>
  <c r="AB30" i="14" s="1"/>
  <c r="AG30" i="14" s="1"/>
  <c r="BR30" i="14" s="1"/>
  <c r="AF20" i="14"/>
  <c r="AF19" i="14"/>
  <c r="AF61" i="14"/>
  <c r="AF68" i="14"/>
  <c r="AF46" i="14"/>
  <c r="AA47" i="14"/>
  <c r="AB47" i="14" s="1"/>
  <c r="AA40" i="14"/>
  <c r="AB40" i="14" s="1"/>
  <c r="AF67" i="14"/>
  <c r="AA65" i="14"/>
  <c r="AB65" i="14" s="1"/>
  <c r="AF40" i="14"/>
  <c r="AA45" i="14"/>
  <c r="AB45" i="14" s="1"/>
  <c r="AA69" i="14"/>
  <c r="AB69" i="14" s="1"/>
  <c r="AA67" i="14"/>
  <c r="AB67" i="14" s="1"/>
  <c r="AF64" i="14"/>
  <c r="AL62" i="14"/>
  <c r="AN62" i="14" s="1"/>
  <c r="AF70" i="14"/>
  <c r="AF41" i="14"/>
  <c r="AA42" i="14"/>
  <c r="AB42" i="14" s="1"/>
  <c r="AA43" i="14"/>
  <c r="AB43" i="14" s="1"/>
  <c r="AF44" i="14"/>
  <c r="AF66" i="14"/>
  <c r="AF45" i="14"/>
  <c r="AA44" i="14"/>
  <c r="AB44" i="14" s="1"/>
  <c r="AA70" i="14"/>
  <c r="AB70" i="14" s="1"/>
  <c r="AF63" i="14"/>
  <c r="AF47" i="14"/>
  <c r="AA66" i="14"/>
  <c r="AB66" i="14" s="1"/>
  <c r="AA39" i="14"/>
  <c r="AB39" i="14" s="1"/>
  <c r="AA41" i="14"/>
  <c r="AB41" i="14" s="1"/>
  <c r="AF39" i="14"/>
  <c r="AF62" i="14"/>
  <c r="AF42" i="14"/>
  <c r="AA61" i="14"/>
  <c r="AB61" i="14" s="1"/>
  <c r="AU19" i="14"/>
  <c r="AF65" i="14"/>
  <c r="AU66" i="14"/>
  <c r="AJ22" i="14"/>
  <c r="AK22" i="14"/>
  <c r="AU40" i="14"/>
  <c r="AJ46" i="14"/>
  <c r="AK46" i="14"/>
  <c r="AK70" i="14"/>
  <c r="AJ70" i="14"/>
  <c r="AK45" i="14"/>
  <c r="AJ45" i="14"/>
  <c r="AK68" i="14"/>
  <c r="AJ68" i="14"/>
  <c r="AJ20" i="14"/>
  <c r="AK20" i="14"/>
  <c r="AK23" i="14"/>
  <c r="AJ23" i="14"/>
  <c r="AF23" i="14"/>
  <c r="AA18" i="14"/>
  <c r="AB18" i="14" s="1"/>
  <c r="AK19" i="14"/>
  <c r="AJ19" i="14"/>
  <c r="AK18" i="14"/>
  <c r="AJ18" i="14"/>
  <c r="AK24" i="14"/>
  <c r="AJ24" i="14"/>
  <c r="AK66" i="14"/>
  <c r="AJ66" i="14"/>
  <c r="AK63" i="14"/>
  <c r="AJ63" i="14"/>
  <c r="AK47" i="14"/>
  <c r="AJ47" i="14"/>
  <c r="AF69" i="14"/>
  <c r="AF38" i="14"/>
  <c r="AJ64" i="14"/>
  <c r="AK64" i="14"/>
  <c r="AA62" i="14"/>
  <c r="AB62" i="14" s="1"/>
  <c r="AA63" i="14"/>
  <c r="AB63" i="14" s="1"/>
  <c r="AJ39" i="14"/>
  <c r="AK39" i="14"/>
  <c r="AJ38" i="14"/>
  <c r="AK38" i="14"/>
  <c r="AK21" i="14"/>
  <c r="AJ21" i="14"/>
  <c r="AA68" i="14"/>
  <c r="AB68" i="14" s="1"/>
  <c r="AK43" i="14"/>
  <c r="AJ43" i="14"/>
  <c r="AK42" i="14"/>
  <c r="AJ42" i="14"/>
  <c r="AK16" i="14"/>
  <c r="AJ16" i="14"/>
  <c r="AJ65" i="14"/>
  <c r="AK65" i="14"/>
  <c r="AA64" i="14"/>
  <c r="AB64" i="14" s="1"/>
  <c r="AA38" i="14"/>
  <c r="AB38" i="14" s="1"/>
  <c r="AJ40" i="14"/>
  <c r="AK40" i="14"/>
  <c r="AJ41" i="14"/>
  <c r="AK41" i="14"/>
  <c r="AF43" i="14"/>
  <c r="AK17" i="14"/>
  <c r="AJ17" i="14"/>
  <c r="AK67" i="14"/>
  <c r="AJ67" i="14"/>
  <c r="AA52" i="14"/>
  <c r="AB52" i="14" s="1"/>
  <c r="AG52" i="14" s="1"/>
  <c r="AF17" i="14"/>
  <c r="AA20" i="14"/>
  <c r="AB20" i="14" s="1"/>
  <c r="AA22" i="14"/>
  <c r="AB22" i="14" s="1"/>
  <c r="AA16" i="14"/>
  <c r="AB16" i="14" s="1"/>
  <c r="AA21" i="14"/>
  <c r="AB21" i="14" s="1"/>
  <c r="AA24" i="14"/>
  <c r="AB24" i="14" s="1"/>
  <c r="AA15" i="14"/>
  <c r="AB15" i="14" s="1"/>
  <c r="AU31" i="13"/>
  <c r="AF97" i="7"/>
  <c r="AF24" i="14"/>
  <c r="AF22" i="14"/>
  <c r="AF16" i="14"/>
  <c r="AF56" i="7"/>
  <c r="BS56" i="7" s="1"/>
  <c r="AF149" i="7"/>
  <c r="AF21" i="14"/>
  <c r="AA23" i="14"/>
  <c r="AB23" i="14" s="1"/>
  <c r="AF12" i="7"/>
  <c r="BS12" i="7" s="1"/>
  <c r="AA36" i="7"/>
  <c r="AB36" i="7" s="1"/>
  <c r="AA36" i="13"/>
  <c r="AB36" i="13" s="1"/>
  <c r="AA97" i="7"/>
  <c r="AB97" i="7" s="1"/>
  <c r="AA72" i="7"/>
  <c r="AB72" i="7" s="1"/>
  <c r="AF18" i="14"/>
  <c r="AF15" i="14"/>
  <c r="AA17" i="14"/>
  <c r="AB17" i="14" s="1"/>
  <c r="AA19" i="14"/>
  <c r="AB19" i="14" s="1"/>
  <c r="AN80" i="13"/>
  <c r="AU58" i="13"/>
  <c r="AU44" i="13"/>
  <c r="AU40" i="7"/>
  <c r="AU53" i="7"/>
  <c r="AU74" i="13"/>
  <c r="AU68" i="13"/>
  <c r="AU81" i="13"/>
  <c r="AU54" i="13"/>
  <c r="AU103" i="7"/>
  <c r="AU60" i="13"/>
  <c r="AU93" i="13"/>
  <c r="AU38" i="7"/>
  <c r="AU15" i="13"/>
  <c r="AU9" i="13"/>
  <c r="AU154" i="7"/>
  <c r="AU17" i="13"/>
  <c r="AU149" i="7"/>
  <c r="AU97" i="7"/>
  <c r="AU45" i="7"/>
  <c r="AL50" i="7"/>
  <c r="AJ59" i="14"/>
  <c r="AL59" i="14" s="1"/>
  <c r="AN59" i="14" s="1"/>
  <c r="AO59" i="14" s="1"/>
  <c r="AV59" i="14" s="1"/>
  <c r="AX59" i="14" s="1"/>
  <c r="AL80" i="7"/>
  <c r="AA149" i="7"/>
  <c r="AB149" i="7" s="1"/>
  <c r="AA45" i="7"/>
  <c r="AB45" i="7" s="1"/>
  <c r="AF45" i="7"/>
  <c r="AF143" i="7"/>
  <c r="BS143" i="7" s="1"/>
  <c r="AF51" i="13"/>
  <c r="BS51" i="13" s="1"/>
  <c r="AA83" i="7"/>
  <c r="AL97" i="7"/>
  <c r="AL145" i="7"/>
  <c r="AF107" i="7"/>
  <c r="BS107" i="7" s="1"/>
  <c r="AA53" i="7"/>
  <c r="AB53" i="7" s="1"/>
  <c r="AA108" i="7"/>
  <c r="AB108" i="7" s="1"/>
  <c r="AF156" i="7"/>
  <c r="BS156" i="7" s="1"/>
  <c r="AL45" i="7"/>
  <c r="AL49" i="7"/>
  <c r="AF25" i="13"/>
  <c r="BS25" i="13" s="1"/>
  <c r="AF74" i="13"/>
  <c r="BS74" i="13" s="1"/>
  <c r="AF52" i="13"/>
  <c r="BS52" i="13" s="1"/>
  <c r="AF20" i="13"/>
  <c r="BS20" i="13" s="1"/>
  <c r="AF64" i="7"/>
  <c r="BS64" i="7" s="1"/>
  <c r="AL93" i="7"/>
  <c r="AF125" i="7"/>
  <c r="BS125" i="7" s="1"/>
  <c r="AF89" i="7"/>
  <c r="BS89" i="7" s="1"/>
  <c r="AL81" i="7"/>
  <c r="AL154" i="7"/>
  <c r="AA136" i="7"/>
  <c r="AB136" i="7" s="1"/>
  <c r="AK14" i="14"/>
  <c r="AJ14" i="14"/>
  <c r="AJ60" i="14"/>
  <c r="AK60" i="14"/>
  <c r="AJ13" i="14"/>
  <c r="AK13" i="14"/>
  <c r="AK37" i="14"/>
  <c r="AJ37" i="14"/>
  <c r="AJ36" i="14"/>
  <c r="AK36" i="14"/>
  <c r="AU90" i="13"/>
  <c r="AU38" i="13"/>
  <c r="AU8" i="13"/>
  <c r="AU59" i="13"/>
  <c r="AU94" i="7"/>
  <c r="AU39" i="7"/>
  <c r="AU73" i="13"/>
  <c r="AU81" i="7"/>
  <c r="AU90" i="7"/>
  <c r="AU105" i="7"/>
  <c r="AA27" i="13"/>
  <c r="AB27" i="13" s="1"/>
  <c r="AA36" i="14"/>
  <c r="AB36" i="14" s="1"/>
  <c r="AU46" i="13"/>
  <c r="AU121" i="7"/>
  <c r="AU28" i="13"/>
  <c r="AU57" i="13"/>
  <c r="AU126" i="7"/>
  <c r="AU61" i="13"/>
  <c r="AU43" i="13"/>
  <c r="AU16" i="7"/>
  <c r="AU84" i="13"/>
  <c r="AU25" i="7"/>
  <c r="AU47" i="13"/>
  <c r="AU63" i="13"/>
  <c r="AU52" i="13"/>
  <c r="AU159" i="7"/>
  <c r="AU20" i="7"/>
  <c r="AU82" i="13"/>
  <c r="AU51" i="13"/>
  <c r="AU26" i="7"/>
  <c r="AU29" i="13"/>
  <c r="AU51" i="7"/>
  <c r="AU147" i="7"/>
  <c r="AU33" i="13"/>
  <c r="AU76" i="7"/>
  <c r="AU28" i="7"/>
  <c r="AU20" i="13"/>
  <c r="AU89" i="13"/>
  <c r="AU74" i="7"/>
  <c r="AU91" i="13"/>
  <c r="AU158" i="7"/>
  <c r="AU127" i="7"/>
  <c r="AU70" i="7"/>
  <c r="AA8" i="13"/>
  <c r="AA49" i="13"/>
  <c r="AF4" i="14"/>
  <c r="BS4" i="14" s="1"/>
  <c r="AF13" i="14"/>
  <c r="AU62" i="13"/>
  <c r="AU142" i="7"/>
  <c r="AU53" i="13"/>
  <c r="AU17" i="7"/>
  <c r="AU76" i="13"/>
  <c r="AA13" i="7"/>
  <c r="AF14" i="14"/>
  <c r="AA80" i="7"/>
  <c r="AB80" i="7" s="1"/>
  <c r="AF45" i="6"/>
  <c r="BS45" i="6" s="1"/>
  <c r="AU69" i="13"/>
  <c r="AU23" i="13"/>
  <c r="AU50" i="13"/>
  <c r="AU37" i="7"/>
  <c r="AU14" i="13"/>
  <c r="AU123" i="7"/>
  <c r="AU77" i="13"/>
  <c r="AU39" i="13"/>
  <c r="AU92" i="13"/>
  <c r="AU16" i="13"/>
  <c r="AU52" i="7"/>
  <c r="AU21" i="13"/>
  <c r="AU132" i="7"/>
  <c r="AU73" i="7"/>
  <c r="AU27" i="13"/>
  <c r="AU36" i="7"/>
  <c r="AU15" i="7"/>
  <c r="AU10" i="13"/>
  <c r="AU70" i="13"/>
  <c r="AU88" i="13"/>
  <c r="AU153" i="7"/>
  <c r="AU89" i="7"/>
  <c r="AU141" i="7"/>
  <c r="AU87" i="13"/>
  <c r="AU30" i="13"/>
  <c r="AU32" i="13"/>
  <c r="AU80" i="13"/>
  <c r="AU156" i="7"/>
  <c r="AU83" i="13"/>
  <c r="AU13" i="13"/>
  <c r="AU144" i="7"/>
  <c r="AU29" i="7"/>
  <c r="AU45" i="13"/>
  <c r="AU22" i="13"/>
  <c r="AU130" i="7"/>
  <c r="AU40" i="13"/>
  <c r="AU75" i="13"/>
  <c r="AU24" i="13"/>
  <c r="AU14" i="7"/>
  <c r="AA4" i="13"/>
  <c r="AF16" i="6"/>
  <c r="AF26" i="6"/>
  <c r="AK26" i="13"/>
  <c r="AL26" i="13" s="1"/>
  <c r="AL11" i="13"/>
  <c r="AL12" i="13"/>
  <c r="AL99" i="7"/>
  <c r="AL5" i="13"/>
  <c r="AL55" i="13"/>
  <c r="AK122" i="7"/>
  <c r="AL107" i="7"/>
  <c r="AL150" i="7"/>
  <c r="AL78" i="13"/>
  <c r="AL19" i="13"/>
  <c r="AL25" i="13"/>
  <c r="AL42" i="13"/>
  <c r="AL66" i="13"/>
  <c r="AJ68" i="7"/>
  <c r="AK120" i="7"/>
  <c r="AK20" i="7"/>
  <c r="AK70" i="7"/>
  <c r="AK105" i="7"/>
  <c r="AK71" i="7"/>
  <c r="AK44" i="7"/>
  <c r="AK123" i="7"/>
  <c r="AK16" i="7"/>
  <c r="AK18" i="7"/>
  <c r="AK72" i="7"/>
  <c r="AJ123" i="7"/>
  <c r="AL123" i="7" s="1"/>
  <c r="AJ124" i="7"/>
  <c r="AK19" i="7"/>
  <c r="AJ19" i="7"/>
  <c r="AJ127" i="7"/>
  <c r="AJ71" i="7"/>
  <c r="AJ122" i="7"/>
  <c r="AK126" i="7"/>
  <c r="AK94" i="7"/>
  <c r="AJ20" i="7"/>
  <c r="AJ72" i="7"/>
  <c r="AJ16" i="7"/>
  <c r="AJ70" i="7"/>
  <c r="AK124" i="7"/>
  <c r="AK21" i="7"/>
  <c r="AJ18" i="7"/>
  <c r="AJ120" i="7"/>
  <c r="AK74" i="7"/>
  <c r="AK23" i="7"/>
  <c r="AK148" i="7"/>
  <c r="AK68" i="7"/>
  <c r="AK22" i="7"/>
  <c r="AK96" i="7"/>
  <c r="AL56" i="13"/>
  <c r="AK73" i="7"/>
  <c r="AK103" i="7"/>
  <c r="AK127" i="7"/>
  <c r="AK51" i="7"/>
  <c r="AK42" i="7"/>
  <c r="AK155" i="7"/>
  <c r="AK53" i="7"/>
  <c r="AK125" i="7"/>
  <c r="AL106" i="7"/>
  <c r="AK157" i="7"/>
  <c r="AK146" i="7"/>
  <c r="AL47" i="7"/>
  <c r="AL54" i="7"/>
  <c r="AL48" i="13"/>
  <c r="AL55" i="7"/>
  <c r="AL37" i="13"/>
  <c r="AN21" i="13"/>
  <c r="AL86" i="13"/>
  <c r="AL46" i="7"/>
  <c r="AL65" i="13"/>
  <c r="AN9" i="13"/>
  <c r="AN57" i="13"/>
  <c r="AN40" i="13"/>
  <c r="AN43" i="13"/>
  <c r="AN50" i="13"/>
  <c r="AN13" i="13"/>
  <c r="AN58" i="13"/>
  <c r="AN74" i="13"/>
  <c r="AN38" i="13"/>
  <c r="AN39" i="13"/>
  <c r="AN81" i="13"/>
  <c r="AN76" i="13"/>
  <c r="AN51" i="13"/>
  <c r="AN73" i="13"/>
  <c r="AN28" i="13"/>
  <c r="AN87" i="13"/>
  <c r="AN44" i="13"/>
  <c r="AN69" i="13"/>
  <c r="AN68" i="13"/>
  <c r="AN88" i="13"/>
  <c r="AA16" i="6"/>
  <c r="AB16" i="6" s="1"/>
  <c r="AF37" i="14"/>
  <c r="AA14" i="14"/>
  <c r="AB14" i="14" s="1"/>
  <c r="AA37" i="14"/>
  <c r="AB37" i="14" s="1"/>
  <c r="AF56" i="6"/>
  <c r="AA60" i="14"/>
  <c r="AB60" i="14" s="1"/>
  <c r="AF36" i="6"/>
  <c r="AA13" i="14"/>
  <c r="AB13" i="14" s="1"/>
  <c r="AA46" i="6"/>
  <c r="AB46" i="6" s="1"/>
  <c r="AA6" i="6"/>
  <c r="AB6" i="6" s="1"/>
  <c r="AF6" i="6"/>
  <c r="AA59" i="14"/>
  <c r="AB59" i="14" s="1"/>
  <c r="AA36" i="6"/>
  <c r="AB36" i="6" s="1"/>
  <c r="AF36" i="14"/>
  <c r="AF60" i="14"/>
  <c r="AF59" i="14"/>
  <c r="BS59" i="14" s="1"/>
  <c r="AA56" i="6"/>
  <c r="AB56" i="6" s="1"/>
  <c r="AF46" i="6"/>
  <c r="AA120" i="7"/>
  <c r="AA26" i="6"/>
  <c r="AB26" i="6" s="1"/>
  <c r="AA33" i="14"/>
  <c r="AB33" i="14" s="1"/>
  <c r="AG33" i="14" s="1"/>
  <c r="BR33" i="14" s="1"/>
  <c r="AA7" i="7"/>
  <c r="AB7" i="7" s="1"/>
  <c r="AF57" i="7"/>
  <c r="BS57" i="7" s="1"/>
  <c r="AF59" i="13"/>
  <c r="BS59" i="13" s="1"/>
  <c r="AF150" i="7"/>
  <c r="BS150" i="7" s="1"/>
  <c r="AF34" i="13"/>
  <c r="BS34" i="13" s="1"/>
  <c r="AA51" i="6"/>
  <c r="AB51" i="6" s="1"/>
  <c r="AG51" i="6" s="1"/>
  <c r="AF74" i="7"/>
  <c r="BS74" i="7" s="1"/>
  <c r="AL114" i="7"/>
  <c r="AL84" i="13"/>
  <c r="AL15" i="13"/>
  <c r="AA12" i="6"/>
  <c r="AB12" i="6" s="1"/>
  <c r="AG12" i="6" s="1"/>
  <c r="AA33" i="13"/>
  <c r="AL47" i="13"/>
  <c r="AU86" i="13"/>
  <c r="AU6" i="7"/>
  <c r="AU63" i="7"/>
  <c r="AU37" i="13"/>
  <c r="AU11" i="13"/>
  <c r="AU36" i="13"/>
  <c r="AU6" i="13"/>
  <c r="AU49" i="13"/>
  <c r="AU13" i="7"/>
  <c r="AU137" i="7"/>
  <c r="AU151" i="7"/>
  <c r="AU136" i="7"/>
  <c r="AU135" i="7"/>
  <c r="AU31" i="7"/>
  <c r="AU138" i="7"/>
  <c r="AU25" i="13"/>
  <c r="AU5" i="13"/>
  <c r="AU72" i="13"/>
  <c r="AU42" i="13"/>
  <c r="AU4" i="13"/>
  <c r="AU85" i="13"/>
  <c r="AU79" i="13"/>
  <c r="AU56" i="13"/>
  <c r="AU26" i="13"/>
  <c r="AU112" i="7"/>
  <c r="AU65" i="13"/>
  <c r="AU30" i="7"/>
  <c r="AU66" i="13"/>
  <c r="AU98" i="7"/>
  <c r="AU41" i="13"/>
  <c r="AU35" i="13"/>
  <c r="AU12" i="13"/>
  <c r="AU59" i="7"/>
  <c r="AU56" i="7"/>
  <c r="AU64" i="13"/>
  <c r="AU19" i="13"/>
  <c r="AU7" i="13"/>
  <c r="AU71" i="13"/>
  <c r="AU48" i="13"/>
  <c r="AU34" i="13"/>
  <c r="AU67" i="13"/>
  <c r="AU78" i="13"/>
  <c r="AU114" i="7"/>
  <c r="AU4" i="7"/>
  <c r="AU86" i="7"/>
  <c r="AU55" i="13"/>
  <c r="AU18" i="13"/>
  <c r="AA40" i="6"/>
  <c r="AF57" i="6"/>
  <c r="BS57" i="6" s="1"/>
  <c r="AA10" i="6"/>
  <c r="AA11" i="6"/>
  <c r="AL77" i="13"/>
  <c r="AL62" i="13"/>
  <c r="AL31" i="13"/>
  <c r="AL23" i="13"/>
  <c r="AL32" i="13"/>
  <c r="AL91" i="13"/>
  <c r="AL16" i="13"/>
  <c r="AL24" i="13"/>
  <c r="AL92" i="13"/>
  <c r="AL61" i="13"/>
  <c r="AL90" i="13"/>
  <c r="AL30" i="13"/>
  <c r="AL63" i="13"/>
  <c r="AL29" i="13"/>
  <c r="AL22" i="13"/>
  <c r="AL60" i="13"/>
  <c r="AL46" i="13"/>
  <c r="AL33" i="13"/>
  <c r="AL52" i="13"/>
  <c r="AL53" i="13"/>
  <c r="AL93" i="13"/>
  <c r="AF42" i="7"/>
  <c r="BS42" i="7" s="1"/>
  <c r="AA65" i="7"/>
  <c r="AA25" i="7"/>
  <c r="AB25" i="7" s="1"/>
  <c r="AR49" i="7"/>
  <c r="AR99" i="7"/>
  <c r="AR125" i="7"/>
  <c r="AR118" i="7"/>
  <c r="AR75" i="7"/>
  <c r="AR58" i="7"/>
  <c r="AR140" i="7"/>
  <c r="AR82" i="7"/>
  <c r="AR143" i="7"/>
  <c r="AR64" i="7"/>
  <c r="AR148" i="7"/>
  <c r="AR19" i="7"/>
  <c r="AR41" i="7"/>
  <c r="AR11" i="7"/>
  <c r="AR150" i="7"/>
  <c r="AR122" i="7"/>
  <c r="AR42" i="7"/>
  <c r="AR84" i="7"/>
  <c r="AR111" i="7"/>
  <c r="AR21" i="7"/>
  <c r="AR145" i="7"/>
  <c r="AR155" i="7"/>
  <c r="AR50" i="7"/>
  <c r="AR146" i="7"/>
  <c r="AR80" i="7"/>
  <c r="AR157" i="7"/>
  <c r="AR61" i="7"/>
  <c r="AR79" i="7"/>
  <c r="AR96" i="7"/>
  <c r="AR129" i="7"/>
  <c r="AR48" i="7"/>
  <c r="AR5" i="7"/>
  <c r="AR133" i="7"/>
  <c r="AR110" i="7"/>
  <c r="AR44" i="7"/>
  <c r="AR72" i="7"/>
  <c r="AR128" i="7"/>
  <c r="AR116" i="7"/>
  <c r="AR65" i="7"/>
  <c r="AR83" i="7"/>
  <c r="AR27" i="7"/>
  <c r="AR113" i="7"/>
  <c r="AR46" i="7"/>
  <c r="AR8" i="7"/>
  <c r="AU8" i="7" s="1"/>
  <c r="AR92" i="7"/>
  <c r="AA58" i="7"/>
  <c r="AB58" i="7" s="1"/>
  <c r="AR34" i="7"/>
  <c r="AR152" i="7"/>
  <c r="AR107" i="7"/>
  <c r="AR134" i="7"/>
  <c r="AR117" i="7"/>
  <c r="AR24" i="7"/>
  <c r="AR106" i="7"/>
  <c r="AR93" i="7"/>
  <c r="AR9" i="7"/>
  <c r="AR139" i="7"/>
  <c r="AR102" i="7"/>
  <c r="AR66" i="7"/>
  <c r="AR69" i="7"/>
  <c r="AR91" i="7"/>
  <c r="AR119" i="7"/>
  <c r="AR115" i="7"/>
  <c r="AR10" i="7"/>
  <c r="AR22" i="7"/>
  <c r="AR100" i="7"/>
  <c r="AR18" i="7"/>
  <c r="AR7" i="7"/>
  <c r="AR60" i="7"/>
  <c r="AR57" i="7"/>
  <c r="AR120" i="7"/>
  <c r="AR108" i="7"/>
  <c r="AR77" i="7"/>
  <c r="AR67" i="7"/>
  <c r="AR71" i="7"/>
  <c r="AR87" i="7"/>
  <c r="AR43" i="7"/>
  <c r="AR109" i="7"/>
  <c r="AR85" i="7"/>
  <c r="AR12" i="7"/>
  <c r="AR47" i="7"/>
  <c r="AR62" i="7"/>
  <c r="AR32" i="7"/>
  <c r="AR68" i="7"/>
  <c r="AR95" i="7"/>
  <c r="AR101" i="7"/>
  <c r="AR55" i="7"/>
  <c r="AR88" i="7"/>
  <c r="AR33" i="7"/>
  <c r="AR104" i="7"/>
  <c r="AR23" i="7"/>
  <c r="AR35" i="7"/>
  <c r="AR78" i="7"/>
  <c r="AR131" i="7"/>
  <c r="AR124" i="7"/>
  <c r="AR54" i="7"/>
  <c r="AA30" i="7"/>
  <c r="AL17" i="13"/>
  <c r="AL83" i="13"/>
  <c r="AL54" i="13"/>
  <c r="AL75" i="13"/>
  <c r="AL45" i="13"/>
  <c r="AL89" i="13"/>
  <c r="AL82" i="13"/>
  <c r="AL59" i="13"/>
  <c r="AL159" i="7"/>
  <c r="AL36" i="7"/>
  <c r="AO52" i="6"/>
  <c r="AL39" i="7"/>
  <c r="AF33" i="6"/>
  <c r="BS33" i="6" s="1"/>
  <c r="AA17" i="6"/>
  <c r="AB17" i="6" s="1"/>
  <c r="AG17" i="6" s="1"/>
  <c r="AA15" i="13"/>
  <c r="AB15" i="13" s="1"/>
  <c r="AA48" i="13"/>
  <c r="AA48" i="6"/>
  <c r="AO33" i="6"/>
  <c r="AV33" i="6" s="1"/>
  <c r="AX33" i="6" s="1"/>
  <c r="AO40" i="6"/>
  <c r="AV40" i="6" s="1"/>
  <c r="AX40" i="6" s="1"/>
  <c r="AL52" i="7"/>
  <c r="AO60" i="6"/>
  <c r="AV60" i="6" s="1"/>
  <c r="AX60" i="6" s="1"/>
  <c r="AJ7" i="14"/>
  <c r="AL7" i="14" s="1"/>
  <c r="AN7" i="14" s="1"/>
  <c r="AJ12" i="14"/>
  <c r="AL12" i="14" s="1"/>
  <c r="AN12" i="14" s="1"/>
  <c r="AJ27" i="14"/>
  <c r="AL27" i="14" s="1"/>
  <c r="AN27" i="14" s="1"/>
  <c r="AO9" i="6"/>
  <c r="AV9" i="6" s="1"/>
  <c r="AX9" i="6" s="1"/>
  <c r="AJ54" i="14"/>
  <c r="AL54" i="14" s="1"/>
  <c r="AN54" i="14" s="1"/>
  <c r="AO49" i="6"/>
  <c r="AV49" i="6" s="1"/>
  <c r="AX49" i="6" s="1"/>
  <c r="AL26" i="7"/>
  <c r="AO31" i="6"/>
  <c r="AV31" i="6" s="1"/>
  <c r="AX31" i="6" s="1"/>
  <c r="AL63" i="7"/>
  <c r="AL121" i="7"/>
  <c r="AJ32" i="14"/>
  <c r="AL32" i="14" s="1"/>
  <c r="AN32" i="14" s="1"/>
  <c r="AL144" i="7"/>
  <c r="AL156" i="7"/>
  <c r="AJ4" i="14"/>
  <c r="AL4" i="14" s="1"/>
  <c r="AN4" i="14" s="1"/>
  <c r="AL6" i="13"/>
  <c r="AL37" i="7"/>
  <c r="AL4" i="7"/>
  <c r="AL49" i="13"/>
  <c r="AK29" i="14"/>
  <c r="AL29" i="14" s="1"/>
  <c r="AN29" i="14" s="1"/>
  <c r="AL25" i="7"/>
  <c r="AL38" i="7"/>
  <c r="AL151" i="7"/>
  <c r="AL147" i="7"/>
  <c r="AL20" i="13"/>
  <c r="AK9" i="14"/>
  <c r="AL9" i="14" s="1"/>
  <c r="AN9" i="14" s="1"/>
  <c r="AO9" i="14" s="1"/>
  <c r="AV9" i="14" s="1"/>
  <c r="AX9" i="14" s="1"/>
  <c r="AL79" i="13"/>
  <c r="AL13" i="7"/>
  <c r="AL89" i="7"/>
  <c r="AK52" i="14"/>
  <c r="AL52" i="14" s="1"/>
  <c r="AN52" i="14" s="1"/>
  <c r="AL98" i="7"/>
  <c r="AO12" i="6"/>
  <c r="AK33" i="14"/>
  <c r="AL33" i="14" s="1"/>
  <c r="AN33" i="14" s="1"/>
  <c r="AL72" i="13"/>
  <c r="AL130" i="7"/>
  <c r="AO32" i="6"/>
  <c r="AJ11" i="14"/>
  <c r="AL11" i="14" s="1"/>
  <c r="AN11" i="14" s="1"/>
  <c r="AK51" i="14"/>
  <c r="AL51" i="14" s="1"/>
  <c r="AN51" i="14" s="1"/>
  <c r="AO39" i="6"/>
  <c r="AV39" i="6" s="1"/>
  <c r="AX39" i="6" s="1"/>
  <c r="AL27" i="13"/>
  <c r="AL17" i="7"/>
  <c r="AO22" i="6"/>
  <c r="AO11" i="6"/>
  <c r="AL158" i="7"/>
  <c r="AL136" i="7"/>
  <c r="AL59" i="7"/>
  <c r="AL8" i="13"/>
  <c r="AL138" i="7"/>
  <c r="AL31" i="7"/>
  <c r="AL41" i="13"/>
  <c r="AL28" i="7"/>
  <c r="AL14" i="13"/>
  <c r="AL40" i="7"/>
  <c r="AL85" i="13"/>
  <c r="AL64" i="13"/>
  <c r="AO18" i="6"/>
  <c r="AV18" i="6" s="1"/>
  <c r="AX18" i="6" s="1"/>
  <c r="AL7" i="13"/>
  <c r="AL71" i="13"/>
  <c r="AO51" i="6"/>
  <c r="AV51" i="6" s="1"/>
  <c r="AX51" i="6" s="1"/>
  <c r="AL86" i="7"/>
  <c r="AL35" i="13"/>
  <c r="AL135" i="7"/>
  <c r="AV10" i="6"/>
  <c r="AX10" i="6" s="1"/>
  <c r="AL90" i="7"/>
  <c r="AL112" i="7"/>
  <c r="AO8" i="6"/>
  <c r="AL36" i="13"/>
  <c r="AL29" i="7"/>
  <c r="AL6" i="7"/>
  <c r="AL34" i="13"/>
  <c r="AL76" i="7"/>
  <c r="AV50" i="6"/>
  <c r="AX50" i="6" s="1"/>
  <c r="AR12" i="6"/>
  <c r="AU12" i="6" s="1"/>
  <c r="AR55" i="6"/>
  <c r="AU55" i="6" s="1"/>
  <c r="AR7" i="6"/>
  <c r="AU7" i="6" s="1"/>
  <c r="AR32" i="6"/>
  <c r="AU32" i="6" s="1"/>
  <c r="AR48" i="6"/>
  <c r="AU48" i="6" s="1"/>
  <c r="AR28" i="6"/>
  <c r="AU28" i="6" s="1"/>
  <c r="AR63" i="6"/>
  <c r="AU63" i="6" s="1"/>
  <c r="AR35" i="6"/>
  <c r="AU35" i="6" s="1"/>
  <c r="AR8" i="6"/>
  <c r="AU8" i="6" s="1"/>
  <c r="AR62" i="6"/>
  <c r="AU62" i="6" s="1"/>
  <c r="AR14" i="6"/>
  <c r="AU14" i="6" s="1"/>
  <c r="AR41" i="6"/>
  <c r="AU41" i="6" s="1"/>
  <c r="AV13" i="6"/>
  <c r="AX13" i="6" s="1"/>
  <c r="AU4" i="6"/>
  <c r="AR52" i="6"/>
  <c r="AU52" i="6" s="1"/>
  <c r="AR38" i="6"/>
  <c r="AU38" i="6" s="1"/>
  <c r="AR22" i="6"/>
  <c r="AU22" i="6" s="1"/>
  <c r="AR11" i="6"/>
  <c r="AU11" i="6" s="1"/>
  <c r="AR37" i="6"/>
  <c r="AU37" i="6" s="1"/>
  <c r="AJ50" i="14"/>
  <c r="AL50" i="14" s="1"/>
  <c r="AN50" i="14" s="1"/>
  <c r="AL18" i="13"/>
  <c r="AR44" i="6"/>
  <c r="AU44" i="6" s="1"/>
  <c r="AR57" i="6"/>
  <c r="AU57" i="6" s="1"/>
  <c r="AR25" i="6"/>
  <c r="AU25" i="6" s="1"/>
  <c r="AR19" i="6"/>
  <c r="AU19" i="6" s="1"/>
  <c r="AR5" i="6"/>
  <c r="AU5" i="6" s="1"/>
  <c r="AR20" i="6"/>
  <c r="AU20" i="6" s="1"/>
  <c r="AR58" i="6"/>
  <c r="AU58" i="6" s="1"/>
  <c r="AR24" i="6"/>
  <c r="AU24" i="6" s="1"/>
  <c r="AR59" i="6"/>
  <c r="AU59" i="6" s="1"/>
  <c r="AR17" i="6"/>
  <c r="AU17" i="6" s="1"/>
  <c r="AR53" i="6"/>
  <c r="AU53" i="6" s="1"/>
  <c r="AR27" i="6"/>
  <c r="AU27" i="6" s="1"/>
  <c r="AJ58" i="14"/>
  <c r="AL58" i="14" s="1"/>
  <c r="AN58" i="14" s="1"/>
  <c r="AJ57" i="14"/>
  <c r="AL57" i="14" s="1"/>
  <c r="AN57" i="14" s="1"/>
  <c r="AG5" i="14"/>
  <c r="BR5" i="14" s="1"/>
  <c r="AG86" i="13"/>
  <c r="BR86" i="13" s="1"/>
  <c r="AF21" i="7"/>
  <c r="BS21" i="7" s="1"/>
  <c r="AF30" i="13"/>
  <c r="AF32" i="14"/>
  <c r="AG8" i="14"/>
  <c r="BR8" i="14" s="1"/>
  <c r="AA96" i="7"/>
  <c r="AB96" i="7" s="1"/>
  <c r="AF137" i="7"/>
  <c r="BS137" i="7" s="1"/>
  <c r="AF42" i="6"/>
  <c r="BS42" i="6" s="1"/>
  <c r="AG54" i="14"/>
  <c r="BR54" i="14" s="1"/>
  <c r="AA41" i="13"/>
  <c r="AB41" i="13" s="1"/>
  <c r="AG22" i="13"/>
  <c r="BR22" i="13" s="1"/>
  <c r="AG60" i="7"/>
  <c r="BR60" i="7" s="1"/>
  <c r="AF21" i="13"/>
  <c r="AA11" i="13"/>
  <c r="AB11" i="13" s="1"/>
  <c r="AA159" i="7"/>
  <c r="AB159" i="7" s="1"/>
  <c r="AF96" i="7"/>
  <c r="AF40" i="7"/>
  <c r="AA19" i="13"/>
  <c r="AB19" i="13" s="1"/>
  <c r="AF17" i="7"/>
  <c r="AA32" i="13"/>
  <c r="AB32" i="13" s="1"/>
  <c r="AA111" i="7"/>
  <c r="AB111" i="7" s="1"/>
  <c r="AA7" i="13"/>
  <c r="AB7" i="13" s="1"/>
  <c r="AF83" i="13"/>
  <c r="BS83" i="13" s="1"/>
  <c r="AG29" i="6"/>
  <c r="BR29" i="6" s="1"/>
  <c r="AF11" i="14"/>
  <c r="AA24" i="7"/>
  <c r="AB24" i="7" s="1"/>
  <c r="AA27" i="7"/>
  <c r="AB27" i="7" s="1"/>
  <c r="AF90" i="7"/>
  <c r="AA11" i="14"/>
  <c r="AB11" i="14" s="1"/>
  <c r="AA64" i="13"/>
  <c r="AB64" i="13" s="1"/>
  <c r="AA40" i="13"/>
  <c r="AB40" i="13" s="1"/>
  <c r="AF56" i="13"/>
  <c r="AA16" i="7"/>
  <c r="AB16" i="7" s="1"/>
  <c r="AF79" i="13"/>
  <c r="AF47" i="7"/>
  <c r="AF116" i="7"/>
  <c r="AF64" i="13"/>
  <c r="AA12" i="13"/>
  <c r="AB12" i="13" s="1"/>
  <c r="AF98" i="7"/>
  <c r="AF110" i="7"/>
  <c r="AF151" i="7"/>
  <c r="AA144" i="7"/>
  <c r="AB144" i="7" s="1"/>
  <c r="AA139" i="7"/>
  <c r="AB139" i="7" s="1"/>
  <c r="AO28" i="6"/>
  <c r="AA49" i="7"/>
  <c r="AB49" i="7" s="1"/>
  <c r="AA17" i="7"/>
  <c r="AB17" i="7" s="1"/>
  <c r="AF24" i="13"/>
  <c r="AL15" i="7"/>
  <c r="AL153" i="7"/>
  <c r="AF46" i="13"/>
  <c r="AF29" i="13"/>
  <c r="AF142" i="7"/>
  <c r="AA133" i="7"/>
  <c r="AB133" i="7" s="1"/>
  <c r="AF60" i="13"/>
  <c r="AF32" i="13"/>
  <c r="AA63" i="7"/>
  <c r="AB63" i="7" s="1"/>
  <c r="AA124" i="7"/>
  <c r="AB124" i="7" s="1"/>
  <c r="AF50" i="7"/>
  <c r="AF124" i="7"/>
  <c r="AF55" i="14"/>
  <c r="AA23" i="13"/>
  <c r="AB23" i="13" s="1"/>
  <c r="AF77" i="7"/>
  <c r="AF148" i="7"/>
  <c r="AF92" i="7"/>
  <c r="AA53" i="13"/>
  <c r="AB53" i="13" s="1"/>
  <c r="AA106" i="7"/>
  <c r="AB106" i="7" s="1"/>
  <c r="AF82" i="13"/>
  <c r="AA61" i="13"/>
  <c r="AB61" i="13" s="1"/>
  <c r="AF73" i="7"/>
  <c r="AF12" i="14"/>
  <c r="AF47" i="13"/>
  <c r="AF59" i="7"/>
  <c r="AF69" i="7"/>
  <c r="AF42" i="13"/>
  <c r="AA127" i="7"/>
  <c r="AB127" i="7" s="1"/>
  <c r="AF131" i="7"/>
  <c r="AF72" i="13"/>
  <c r="AF144" i="7"/>
  <c r="AA55" i="14"/>
  <c r="AB55" i="14" s="1"/>
  <c r="AA20" i="7"/>
  <c r="AB20" i="7" s="1"/>
  <c r="AF23" i="13"/>
  <c r="BS23" i="13" s="1"/>
  <c r="AA51" i="7"/>
  <c r="AB51" i="7" s="1"/>
  <c r="AA70" i="13"/>
  <c r="AB70" i="13" s="1"/>
  <c r="AA92" i="13"/>
  <c r="AB92" i="13" s="1"/>
  <c r="AA26" i="13"/>
  <c r="AB26" i="13" s="1"/>
  <c r="AF9" i="13"/>
  <c r="AF57" i="13"/>
  <c r="AA5" i="13"/>
  <c r="AB5" i="13" s="1"/>
  <c r="AA142" i="7"/>
  <c r="AB142" i="7" s="1"/>
  <c r="AA71" i="7"/>
  <c r="AB71" i="7" s="1"/>
  <c r="AA146" i="7"/>
  <c r="AB146" i="7" s="1"/>
  <c r="AL142" i="7"/>
  <c r="AF75" i="7"/>
  <c r="AA48" i="7"/>
  <c r="AB48" i="7" s="1"/>
  <c r="AA4" i="7"/>
  <c r="AB4" i="7" s="1"/>
  <c r="AF31" i="13"/>
  <c r="AF53" i="14"/>
  <c r="AA52" i="7"/>
  <c r="AB52" i="7" s="1"/>
  <c r="AA37" i="7"/>
  <c r="AB37" i="7" s="1"/>
  <c r="AF24" i="7"/>
  <c r="AA72" i="13"/>
  <c r="AB72" i="13" s="1"/>
  <c r="AL132" i="7"/>
  <c r="AA100" i="7"/>
  <c r="AB100" i="7" s="1"/>
  <c r="AA89" i="13"/>
  <c r="AB89" i="13" s="1"/>
  <c r="AA55" i="13"/>
  <c r="AB55" i="13" s="1"/>
  <c r="AF14" i="13"/>
  <c r="AF71" i="7"/>
  <c r="AF146" i="7"/>
  <c r="AA116" i="7"/>
  <c r="AB116" i="7" s="1"/>
  <c r="AF112" i="7"/>
  <c r="AA103" i="7"/>
  <c r="AB103" i="7" s="1"/>
  <c r="AF88" i="13"/>
  <c r="AA12" i="14"/>
  <c r="AB12" i="14" s="1"/>
  <c r="AA10" i="13"/>
  <c r="AB10" i="13" s="1"/>
  <c r="AF130" i="7"/>
  <c r="AA42" i="13"/>
  <c r="AB42" i="13" s="1"/>
  <c r="AF11" i="13"/>
  <c r="AF10" i="7"/>
  <c r="AA81" i="13"/>
  <c r="AB81" i="13" s="1"/>
  <c r="AF48" i="7"/>
  <c r="AL56" i="7"/>
  <c r="AA122" i="7"/>
  <c r="AB122" i="7" s="1"/>
  <c r="AA110" i="7"/>
  <c r="AB110" i="7" s="1"/>
  <c r="AF66" i="7"/>
  <c r="AA66" i="13"/>
  <c r="AB66" i="13" s="1"/>
  <c r="AA140" i="7"/>
  <c r="AB140" i="7" s="1"/>
  <c r="AF62" i="7"/>
  <c r="AF54" i="13"/>
  <c r="AF39" i="13"/>
  <c r="AA38" i="13"/>
  <c r="AB38" i="13" s="1"/>
  <c r="AA30" i="13"/>
  <c r="AB30" i="13" s="1"/>
  <c r="AA50" i="7"/>
  <c r="AB50" i="7" s="1"/>
  <c r="AF4" i="7"/>
  <c r="AA112" i="7"/>
  <c r="AB112" i="7" s="1"/>
  <c r="AA27" i="14"/>
  <c r="AB27" i="14" s="1"/>
  <c r="AA88" i="13"/>
  <c r="AB88" i="13" s="1"/>
  <c r="AF113" i="7"/>
  <c r="BS113" i="7" s="1"/>
  <c r="AF10" i="13"/>
  <c r="BS10" i="13" s="1"/>
  <c r="AF95" i="7"/>
  <c r="AA54" i="7"/>
  <c r="AB54" i="7" s="1"/>
  <c r="AF8" i="7"/>
  <c r="AF53" i="13"/>
  <c r="AA29" i="14"/>
  <c r="AB29" i="14" s="1"/>
  <c r="AF6" i="13"/>
  <c r="AA85" i="7"/>
  <c r="AB85" i="7" s="1"/>
  <c r="AF127" i="7"/>
  <c r="AF79" i="7"/>
  <c r="AF55" i="13"/>
  <c r="AF12" i="13"/>
  <c r="AF7" i="13"/>
  <c r="AA22" i="7"/>
  <c r="AB22" i="7" s="1"/>
  <c r="AA31" i="13"/>
  <c r="AB31" i="13" s="1"/>
  <c r="AF50" i="13"/>
  <c r="AA138" i="7"/>
  <c r="AB138" i="7" s="1"/>
  <c r="AA9" i="14"/>
  <c r="AB9" i="14" s="1"/>
  <c r="AF28" i="14"/>
  <c r="BP44" i="7"/>
  <c r="AF103" i="7"/>
  <c r="AF78" i="7"/>
  <c r="AA121" i="7"/>
  <c r="AB121" i="7" s="1"/>
  <c r="AF122" i="7"/>
  <c r="AA69" i="7"/>
  <c r="AB69" i="7" s="1"/>
  <c r="AF19" i="13"/>
  <c r="AF69" i="13"/>
  <c r="AA98" i="7"/>
  <c r="AB98" i="7" s="1"/>
  <c r="AA34" i="14"/>
  <c r="AB34" i="14" s="1"/>
  <c r="AA35" i="13"/>
  <c r="AB35" i="13" s="1"/>
  <c r="AA6" i="13"/>
  <c r="AB6" i="13" s="1"/>
  <c r="AA33" i="7"/>
  <c r="AB33" i="7" s="1"/>
  <c r="AA40" i="7"/>
  <c r="AB40" i="7" s="1"/>
  <c r="BP88" i="13"/>
  <c r="BP116" i="7"/>
  <c r="BP11" i="7"/>
  <c r="BP87" i="7"/>
  <c r="BP81" i="13"/>
  <c r="BP28" i="7"/>
  <c r="AA32" i="14"/>
  <c r="AB32" i="14" s="1"/>
  <c r="AA117" i="7"/>
  <c r="AB117" i="7" s="1"/>
  <c r="AA19" i="7"/>
  <c r="AB19" i="7" s="1"/>
  <c r="AA44" i="13"/>
  <c r="AB44" i="13" s="1"/>
  <c r="AF70" i="13"/>
  <c r="AF111" i="7"/>
  <c r="AA62" i="7"/>
  <c r="AB62" i="7" s="1"/>
  <c r="AF27" i="7"/>
  <c r="AA53" i="14"/>
  <c r="AB53" i="14" s="1"/>
  <c r="AA69" i="13"/>
  <c r="AB69" i="13" s="1"/>
  <c r="AA31" i="14"/>
  <c r="AB31" i="14" s="1"/>
  <c r="AF37" i="13"/>
  <c r="AA46" i="13"/>
  <c r="AB46" i="13" s="1"/>
  <c r="AA68" i="13"/>
  <c r="AB68" i="13" s="1"/>
  <c r="AA155" i="7"/>
  <c r="AB155" i="7" s="1"/>
  <c r="AA105" i="7"/>
  <c r="AB105" i="7" s="1"/>
  <c r="AA92" i="7"/>
  <c r="AB92" i="7" s="1"/>
  <c r="AF106" i="7"/>
  <c r="AA50" i="14"/>
  <c r="AB50" i="14" s="1"/>
  <c r="AA126" i="7"/>
  <c r="AB126" i="7" s="1"/>
  <c r="AA47" i="13"/>
  <c r="AB47" i="13" s="1"/>
  <c r="AA50" i="13"/>
  <c r="AB50" i="13" s="1"/>
  <c r="AF78" i="13"/>
  <c r="AA87" i="7"/>
  <c r="AB87" i="7" s="1"/>
  <c r="AF89" i="13"/>
  <c r="AA34" i="7"/>
  <c r="AB34" i="7" s="1"/>
  <c r="AF56" i="14"/>
  <c r="AF102" i="7"/>
  <c r="AF133" i="7"/>
  <c r="AF155" i="7"/>
  <c r="AF26" i="13"/>
  <c r="AF86" i="7"/>
  <c r="AA56" i="14"/>
  <c r="AB56" i="14" s="1"/>
  <c r="AA99" i="7"/>
  <c r="AB99" i="7" s="1"/>
  <c r="AA44" i="7"/>
  <c r="AB44" i="7" s="1"/>
  <c r="AA70" i="7"/>
  <c r="AB70" i="7" s="1"/>
  <c r="AF29" i="14"/>
  <c r="AA78" i="13"/>
  <c r="AB78" i="13" s="1"/>
  <c r="AF153" i="7"/>
  <c r="AA157" i="7"/>
  <c r="AB157" i="7" s="1"/>
  <c r="AF76" i="7"/>
  <c r="AA79" i="13"/>
  <c r="AB79" i="13" s="1"/>
  <c r="AF139" i="7"/>
  <c r="AF22" i="7"/>
  <c r="BP53" i="13"/>
  <c r="BP154" i="7"/>
  <c r="BP85" i="7"/>
  <c r="BP81" i="7"/>
  <c r="AF73" i="13"/>
  <c r="AA56" i="13"/>
  <c r="AB56" i="13" s="1"/>
  <c r="AA77" i="7"/>
  <c r="AB77" i="7" s="1"/>
  <c r="AF75" i="13"/>
  <c r="AF16" i="7"/>
  <c r="AA59" i="7"/>
  <c r="AB59" i="7" s="1"/>
  <c r="AF70" i="7"/>
  <c r="AF40" i="13"/>
  <c r="AA76" i="7"/>
  <c r="AB76" i="7" s="1"/>
  <c r="AA66" i="7"/>
  <c r="AB66" i="7" s="1"/>
  <c r="AF66" i="13"/>
  <c r="AA131" i="7"/>
  <c r="AB131" i="7" s="1"/>
  <c r="AA75" i="13"/>
  <c r="AB75" i="13" s="1"/>
  <c r="AA8" i="7"/>
  <c r="AB8" i="7" s="1"/>
  <c r="AA104" i="7"/>
  <c r="AB104" i="7" s="1"/>
  <c r="AA16" i="13"/>
  <c r="AB16" i="13" s="1"/>
  <c r="AA11" i="7"/>
  <c r="AB11" i="7" s="1"/>
  <c r="AA5" i="7"/>
  <c r="AB5" i="7" s="1"/>
  <c r="AF37" i="7"/>
  <c r="AF27" i="14"/>
  <c r="AA148" i="7"/>
  <c r="AB148" i="7" s="1"/>
  <c r="AF145" i="7"/>
  <c r="AA86" i="7"/>
  <c r="AB86" i="7" s="1"/>
  <c r="AF16" i="13"/>
  <c r="BS16" i="13" s="1"/>
  <c r="AF138" i="7"/>
  <c r="AA153" i="7"/>
  <c r="AB153" i="7" s="1"/>
  <c r="AA6" i="14"/>
  <c r="AB6" i="14" s="1"/>
  <c r="AF11" i="7"/>
  <c r="AA37" i="13"/>
  <c r="AB37" i="13" s="1"/>
  <c r="AF50" i="14"/>
  <c r="AF58" i="13"/>
  <c r="AA45" i="13"/>
  <c r="AB45" i="13" s="1"/>
  <c r="AA67" i="7"/>
  <c r="AB67" i="7" s="1"/>
  <c r="AF121" i="7"/>
  <c r="AA114" i="7"/>
  <c r="AB114" i="7" s="1"/>
  <c r="AA73" i="13"/>
  <c r="AB73" i="13" s="1"/>
  <c r="AF5" i="13"/>
  <c r="AA135" i="7"/>
  <c r="AB135" i="7" s="1"/>
  <c r="AF90" i="13"/>
  <c r="AF99" i="7"/>
  <c r="AF7" i="14"/>
  <c r="AA54" i="13"/>
  <c r="AB54" i="13" s="1"/>
  <c r="AF54" i="7"/>
  <c r="AF20" i="7"/>
  <c r="AF159" i="7"/>
  <c r="AF105" i="7"/>
  <c r="AF154" i="7"/>
  <c r="AA119" i="7"/>
  <c r="AB119" i="7" s="1"/>
  <c r="AF28" i="7"/>
  <c r="AA57" i="13"/>
  <c r="AB57" i="13" s="1"/>
  <c r="AF38" i="13"/>
  <c r="AA102" i="7"/>
  <c r="AB102" i="7" s="1"/>
  <c r="AA13" i="13"/>
  <c r="AB13" i="13" s="1"/>
  <c r="AA39" i="7"/>
  <c r="AB39" i="7" s="1"/>
  <c r="AA58" i="13"/>
  <c r="AB58" i="13" s="1"/>
  <c r="AF34" i="14"/>
  <c r="AF44" i="13"/>
  <c r="AF100" i="7"/>
  <c r="AF49" i="7"/>
  <c r="AF18" i="7"/>
  <c r="AF87" i="13"/>
  <c r="AA67" i="13"/>
  <c r="AB67" i="13" s="1"/>
  <c r="AF44" i="7"/>
  <c r="AF9" i="14"/>
  <c r="AF135" i="7"/>
  <c r="AA47" i="7"/>
  <c r="AB47" i="7" s="1"/>
  <c r="AF157" i="7"/>
  <c r="AF117" i="7"/>
  <c r="AA60" i="13"/>
  <c r="AB60" i="13" s="1"/>
  <c r="AA73" i="7"/>
  <c r="AB73" i="7" s="1"/>
  <c r="AF123" i="7"/>
  <c r="AF5" i="7"/>
  <c r="AF68" i="13"/>
  <c r="AF31" i="14"/>
  <c r="AF13" i="13"/>
  <c r="AF33" i="7"/>
  <c r="AA28" i="14"/>
  <c r="AB28" i="14" s="1"/>
  <c r="AA39" i="13"/>
  <c r="AB39" i="13" s="1"/>
  <c r="AF140" i="7"/>
  <c r="AF126" i="7"/>
  <c r="AA151" i="7"/>
  <c r="AB151" i="7" s="1"/>
  <c r="AF61" i="13"/>
  <c r="AF67" i="7"/>
  <c r="AA145" i="7"/>
  <c r="AB145" i="7" s="1"/>
  <c r="AF82" i="7"/>
  <c r="AF34" i="7"/>
  <c r="AA79" i="7"/>
  <c r="AB79" i="7" s="1"/>
  <c r="AA123" i="7"/>
  <c r="AB123" i="7" s="1"/>
  <c r="AA75" i="7"/>
  <c r="AB75" i="7" s="1"/>
  <c r="AA87" i="13"/>
  <c r="AB87" i="13" s="1"/>
  <c r="AF92" i="13"/>
  <c r="AA130" i="7"/>
  <c r="AB130" i="7" s="1"/>
  <c r="AA35" i="7"/>
  <c r="AB35" i="7" s="1"/>
  <c r="AF87" i="7"/>
  <c r="AA21" i="13"/>
  <c r="AB21" i="13" s="1"/>
  <c r="AA154" i="7"/>
  <c r="AB154" i="7" s="1"/>
  <c r="AF45" i="13"/>
  <c r="AF114" i="7"/>
  <c r="AA78" i="7"/>
  <c r="AB78" i="7" s="1"/>
  <c r="AA82" i="7"/>
  <c r="AB82" i="7" s="1"/>
  <c r="AF119" i="7"/>
  <c r="AF35" i="7"/>
  <c r="AF35" i="13"/>
  <c r="AF85" i="7"/>
  <c r="AA90" i="13"/>
  <c r="AB90" i="13" s="1"/>
  <c r="AA18" i="7"/>
  <c r="AB18" i="7" s="1"/>
  <c r="AF6" i="14"/>
  <c r="AF51" i="7"/>
  <c r="AF63" i="7"/>
  <c r="AA95" i="7"/>
  <c r="AB95" i="7" s="1"/>
  <c r="AA7" i="14"/>
  <c r="AB7" i="14" s="1"/>
  <c r="AA10" i="7"/>
  <c r="AB10" i="7" s="1"/>
  <c r="AA14" i="13"/>
  <c r="AB14" i="13" s="1"/>
  <c r="AF39" i="7"/>
  <c r="AA24" i="13"/>
  <c r="AB24" i="13" s="1"/>
  <c r="AA9" i="13"/>
  <c r="AB9" i="13" s="1"/>
  <c r="AF67" i="13"/>
  <c r="AA82" i="13"/>
  <c r="AB82" i="13" s="1"/>
  <c r="AF52" i="7"/>
  <c r="AF19" i="7"/>
  <c r="AF41" i="13"/>
  <c r="AF81" i="13"/>
  <c r="AF104" i="7"/>
  <c r="AA28" i="7"/>
  <c r="AB28" i="7" s="1"/>
  <c r="AG152" i="7"/>
  <c r="BR152" i="7" s="1"/>
  <c r="AA29" i="13"/>
  <c r="AB29" i="13" s="1"/>
  <c r="AA90" i="7"/>
  <c r="AB90" i="7" s="1"/>
  <c r="AF18" i="6"/>
  <c r="AA13" i="6"/>
  <c r="AB13" i="6" s="1"/>
  <c r="AF34" i="6"/>
  <c r="BS34" i="6" s="1"/>
  <c r="AF13" i="6"/>
  <c r="AF31" i="6"/>
  <c r="AL67" i="13"/>
  <c r="AL137" i="7"/>
  <c r="AA37" i="6"/>
  <c r="AB37" i="6" s="1"/>
  <c r="AF24" i="6"/>
  <c r="AA31" i="6"/>
  <c r="AB31" i="6" s="1"/>
  <c r="AL79" i="7"/>
  <c r="AL4" i="13"/>
  <c r="AL10" i="13"/>
  <c r="AF25" i="6"/>
  <c r="AA22" i="6"/>
  <c r="AB22" i="6" s="1"/>
  <c r="AF4" i="6"/>
  <c r="AJ53" i="14"/>
  <c r="AK53" i="14"/>
  <c r="AJ5" i="14"/>
  <c r="AK5" i="14"/>
  <c r="AL14" i="7"/>
  <c r="AL141" i="7"/>
  <c r="AO29" i="6"/>
  <c r="AV29" i="6" s="1"/>
  <c r="AX29" i="6" s="1"/>
  <c r="AL35" i="14"/>
  <c r="AN35" i="14" s="1"/>
  <c r="AL70" i="13"/>
  <c r="AJ6" i="14"/>
  <c r="AL6" i="14" s="1"/>
  <c r="AN6" i="14" s="1"/>
  <c r="AK55" i="14"/>
  <c r="AL55" i="14" s="1"/>
  <c r="AN55" i="14" s="1"/>
  <c r="AK28" i="14"/>
  <c r="AL28" i="14" s="1"/>
  <c r="AN28" i="14" s="1"/>
  <c r="AN30" i="6"/>
  <c r="AL34" i="14"/>
  <c r="AN34" i="14" s="1"/>
  <c r="AA61" i="6"/>
  <c r="AB61" i="6" s="1"/>
  <c r="AA19" i="6"/>
  <c r="AB19" i="6" s="1"/>
  <c r="AG19" i="6" s="1"/>
  <c r="BR19" i="6" s="1"/>
  <c r="AF37" i="6"/>
  <c r="AA38" i="6"/>
  <c r="AB38" i="6" s="1"/>
  <c r="AG55" i="6"/>
  <c r="BR55" i="6" s="1"/>
  <c r="AF60" i="6"/>
  <c r="AG44" i="6"/>
  <c r="BR44" i="6" s="1"/>
  <c r="AA60" i="6"/>
  <c r="AB60" i="6" s="1"/>
  <c r="AG62" i="6"/>
  <c r="BR62" i="6" s="1"/>
  <c r="AF15" i="6"/>
  <c r="AA18" i="6"/>
  <c r="AB18" i="6" s="1"/>
  <c r="AG27" i="6"/>
  <c r="BR27" i="6" s="1"/>
  <c r="AA25" i="6"/>
  <c r="AB25" i="6" s="1"/>
  <c r="AF14" i="6"/>
  <c r="AF22" i="6"/>
  <c r="AA15" i="6"/>
  <c r="AB15" i="6" s="1"/>
  <c r="AA24" i="6"/>
  <c r="AB24" i="6" s="1"/>
  <c r="AF59" i="6"/>
  <c r="AA4" i="6"/>
  <c r="AB4" i="6" s="1"/>
  <c r="AF41" i="6"/>
  <c r="AA14" i="6"/>
  <c r="AB14" i="6" s="1"/>
  <c r="AA59" i="6"/>
  <c r="AB59" i="6" s="1"/>
  <c r="AA58" i="6"/>
  <c r="AB58" i="6" s="1"/>
  <c r="AF23" i="6"/>
  <c r="AF61" i="6"/>
  <c r="AF38" i="6"/>
  <c r="AA41" i="6"/>
  <c r="AB41" i="6" s="1"/>
  <c r="AG52" i="6"/>
  <c r="BR52" i="6" s="1"/>
  <c r="AF58" i="6"/>
  <c r="AA23" i="6"/>
  <c r="AB23" i="6" s="1"/>
  <c r="AG28" i="6"/>
  <c r="BR28" i="6" s="1"/>
  <c r="AL8" i="14"/>
  <c r="AN8" i="14" s="1"/>
  <c r="AL56" i="14"/>
  <c r="AN56" i="14" s="1"/>
  <c r="AL10" i="14"/>
  <c r="AN10" i="14" s="1"/>
  <c r="AO53" i="6"/>
  <c r="AL31" i="14"/>
  <c r="AN31" i="14" s="1"/>
  <c r="AL30" i="14"/>
  <c r="AN30" i="14" s="1"/>
  <c r="BU29" i="7" l="1"/>
  <c r="BW29" i="7" s="1"/>
  <c r="BY29" i="7" s="1"/>
  <c r="BS50" i="14"/>
  <c r="BS43" i="14"/>
  <c r="BS66" i="13"/>
  <c r="BS49" i="14"/>
  <c r="BU49" i="14" s="1"/>
  <c r="BW49" i="14" s="1"/>
  <c r="BY49" i="14" s="1"/>
  <c r="BZ49" i="14" s="1"/>
  <c r="CA49" i="14" s="1"/>
  <c r="AG71" i="14"/>
  <c r="BR71" i="14" s="1"/>
  <c r="BU71" i="14" s="1"/>
  <c r="BW71" i="14" s="1"/>
  <c r="BY71" i="14" s="1"/>
  <c r="BZ71" i="14" s="1"/>
  <c r="CA71" i="14" s="1"/>
  <c r="BS70" i="7"/>
  <c r="BS121" i="7"/>
  <c r="BS25" i="14"/>
  <c r="BU25" i="14" s="1"/>
  <c r="BW25" i="14" s="1"/>
  <c r="BY25" i="14" s="1"/>
  <c r="BZ25" i="14" s="1"/>
  <c r="CA25" i="14" s="1"/>
  <c r="AG26" i="14"/>
  <c r="BR26" i="14" s="1"/>
  <c r="BS72" i="14"/>
  <c r="BU72" i="14" s="1"/>
  <c r="BW72" i="14" s="1"/>
  <c r="BY72" i="14" s="1"/>
  <c r="BZ72" i="14" s="1"/>
  <c r="CA72" i="14" s="1"/>
  <c r="BS26" i="14"/>
  <c r="BS48" i="14"/>
  <c r="BS69" i="14"/>
  <c r="BS45" i="14"/>
  <c r="BS135" i="7"/>
  <c r="AG118" i="7"/>
  <c r="BR118" i="7" s="1"/>
  <c r="BS114" i="7"/>
  <c r="BU91" i="13"/>
  <c r="BW91" i="13" s="1"/>
  <c r="BY91" i="13" s="1"/>
  <c r="BZ91" i="13" s="1"/>
  <c r="CA91" i="13" s="1"/>
  <c r="AG21" i="6"/>
  <c r="BS32" i="6"/>
  <c r="BU32" i="6" s="1"/>
  <c r="BW32" i="6" s="1"/>
  <c r="BY32" i="6" s="1"/>
  <c r="BU61" i="7"/>
  <c r="BW61" i="7" s="1"/>
  <c r="BY61" i="7" s="1"/>
  <c r="BZ61" i="7" s="1"/>
  <c r="CA61" i="7" s="1"/>
  <c r="BS127" i="7"/>
  <c r="BS55" i="14"/>
  <c r="BS38" i="6"/>
  <c r="AO34" i="6"/>
  <c r="AV34" i="6" s="1"/>
  <c r="AX34" i="6" s="1"/>
  <c r="AO55" i="6"/>
  <c r="AV55" i="6" s="1"/>
  <c r="AX55" i="6" s="1"/>
  <c r="AO17" i="6"/>
  <c r="AV17" i="6" s="1"/>
  <c r="AX17" i="6" s="1"/>
  <c r="AO57" i="6"/>
  <c r="AV57" i="6" s="1"/>
  <c r="AX57" i="6" s="1"/>
  <c r="AO35" i="6"/>
  <c r="AV35" i="6" s="1"/>
  <c r="AX35" i="6" s="1"/>
  <c r="AO15" i="6"/>
  <c r="AV15" i="6" s="1"/>
  <c r="AX15" i="6" s="1"/>
  <c r="AO37" i="6"/>
  <c r="AV37" i="6" s="1"/>
  <c r="AX37" i="6" s="1"/>
  <c r="BS4" i="6"/>
  <c r="BS59" i="7"/>
  <c r="BS29" i="14"/>
  <c r="BS103" i="7"/>
  <c r="BS122" i="7"/>
  <c r="BS106" i="7"/>
  <c r="AG41" i="7"/>
  <c r="AG9" i="6"/>
  <c r="BR9" i="6" s="1"/>
  <c r="AG7" i="6"/>
  <c r="BR7" i="6" s="1"/>
  <c r="BS7" i="13"/>
  <c r="AG35" i="14"/>
  <c r="AG63" i="13"/>
  <c r="BR63" i="13" s="1"/>
  <c r="AG35" i="6"/>
  <c r="BS19" i="7"/>
  <c r="BS85" i="7"/>
  <c r="BS111" i="7"/>
  <c r="AG129" i="7"/>
  <c r="BU31" i="7"/>
  <c r="BW31" i="7" s="1"/>
  <c r="BY31" i="7" s="1"/>
  <c r="BS99" i="7"/>
  <c r="BU18" i="13"/>
  <c r="BW18" i="13" s="1"/>
  <c r="BY18" i="13" s="1"/>
  <c r="BZ18" i="13" s="1"/>
  <c r="CA18" i="13" s="1"/>
  <c r="BU93" i="13"/>
  <c r="BW93" i="13" s="1"/>
  <c r="BY93" i="13" s="1"/>
  <c r="BZ93" i="13" s="1"/>
  <c r="CA93" i="13" s="1"/>
  <c r="BS100" i="7"/>
  <c r="BS37" i="7"/>
  <c r="BS35" i="13"/>
  <c r="BS54" i="7"/>
  <c r="BS102" i="7"/>
  <c r="BS37" i="13"/>
  <c r="BS67" i="13"/>
  <c r="BS119" i="7"/>
  <c r="BS82" i="7"/>
  <c r="BS44" i="13"/>
  <c r="BS145" i="7"/>
  <c r="AG109" i="7"/>
  <c r="AG53" i="6"/>
  <c r="BU28" i="13"/>
  <c r="BW28" i="13" s="1"/>
  <c r="BY28" i="13" s="1"/>
  <c r="BZ28" i="13" s="1"/>
  <c r="CA28" i="13" s="1"/>
  <c r="AG141" i="7"/>
  <c r="BS16" i="7"/>
  <c r="BS46" i="13"/>
  <c r="BS64" i="13"/>
  <c r="BS6" i="6"/>
  <c r="BS60" i="14"/>
  <c r="BS36" i="6"/>
  <c r="BS66" i="14"/>
  <c r="BS46" i="14"/>
  <c r="BS80" i="7"/>
  <c r="BU49" i="6"/>
  <c r="BW49" i="6" s="1"/>
  <c r="BY49" i="6" s="1"/>
  <c r="BU128" i="7"/>
  <c r="BW128" i="7" s="1"/>
  <c r="BY128" i="7" s="1"/>
  <c r="BS16" i="14"/>
  <c r="BS23" i="14"/>
  <c r="BS65" i="14"/>
  <c r="BS50" i="7"/>
  <c r="BS76" i="7"/>
  <c r="BS79" i="7"/>
  <c r="BS95" i="7"/>
  <c r="BS22" i="6"/>
  <c r="BS51" i="7"/>
  <c r="BS45" i="13"/>
  <c r="BS68" i="13"/>
  <c r="BS87" i="13"/>
  <c r="BS159" i="7"/>
  <c r="BS22" i="7"/>
  <c r="BS53" i="13"/>
  <c r="BS14" i="13"/>
  <c r="BS131" i="7"/>
  <c r="BS92" i="7"/>
  <c r="BS142" i="7"/>
  <c r="BS17" i="7"/>
  <c r="BS40" i="7"/>
  <c r="BS21" i="13"/>
  <c r="BS32" i="14"/>
  <c r="BS23" i="6"/>
  <c r="BS41" i="6"/>
  <c r="BS59" i="6"/>
  <c r="BS14" i="6"/>
  <c r="BS15" i="6"/>
  <c r="BS60" i="6"/>
  <c r="BS18" i="6"/>
  <c r="BS104" i="7"/>
  <c r="BS117" i="7"/>
  <c r="BS9" i="14"/>
  <c r="BS18" i="7"/>
  <c r="BS34" i="14"/>
  <c r="BS139" i="7"/>
  <c r="BS26" i="13"/>
  <c r="BS56" i="14"/>
  <c r="BS78" i="13"/>
  <c r="BS69" i="13"/>
  <c r="BS50" i="13"/>
  <c r="BS4" i="7"/>
  <c r="BS39" i="13"/>
  <c r="BS11" i="13"/>
  <c r="BS53" i="14"/>
  <c r="BS57" i="13"/>
  <c r="BS47" i="13"/>
  <c r="BS82" i="13"/>
  <c r="BS47" i="7"/>
  <c r="BS96" i="7"/>
  <c r="BS56" i="6"/>
  <c r="BS21" i="14"/>
  <c r="BS39" i="14"/>
  <c r="BS47" i="14"/>
  <c r="BS67" i="14"/>
  <c r="BS79" i="13"/>
  <c r="AB83" i="7"/>
  <c r="AG83" i="7" s="1"/>
  <c r="BS83" i="7"/>
  <c r="BS34" i="7"/>
  <c r="BS58" i="13"/>
  <c r="BS71" i="7"/>
  <c r="BS45" i="7"/>
  <c r="BS38" i="14"/>
  <c r="BS42" i="14"/>
  <c r="BS41" i="14"/>
  <c r="BS40" i="14"/>
  <c r="BR134" i="7"/>
  <c r="BU134" i="7" s="1"/>
  <c r="BW134" i="7" s="1"/>
  <c r="BY134" i="7" s="1"/>
  <c r="BS40" i="13"/>
  <c r="BS89" i="13"/>
  <c r="BS86" i="7"/>
  <c r="BS27" i="7"/>
  <c r="BU80" i="13"/>
  <c r="BW80" i="13" s="1"/>
  <c r="BY80" i="13" s="1"/>
  <c r="BZ80" i="13" s="1"/>
  <c r="CA80" i="13" s="1"/>
  <c r="BS11" i="14"/>
  <c r="AB48" i="6"/>
  <c r="AG48" i="6" s="1"/>
  <c r="BS48" i="6"/>
  <c r="AB48" i="13"/>
  <c r="AG48" i="13" s="1"/>
  <c r="BR48" i="13" s="1"/>
  <c r="BS48" i="13"/>
  <c r="AB65" i="7"/>
  <c r="AG65" i="7" s="1"/>
  <c r="BS65" i="7"/>
  <c r="BS25" i="6"/>
  <c r="BS126" i="7"/>
  <c r="BS20" i="7"/>
  <c r="BS7" i="14"/>
  <c r="BS5" i="13"/>
  <c r="BS75" i="7"/>
  <c r="BS24" i="13"/>
  <c r="BS151" i="7"/>
  <c r="BS16" i="6"/>
  <c r="BS61" i="6"/>
  <c r="BS37" i="6"/>
  <c r="BS24" i="6"/>
  <c r="BS41" i="13"/>
  <c r="BS63" i="7"/>
  <c r="BS35" i="7"/>
  <c r="BS87" i="7"/>
  <c r="BS61" i="13"/>
  <c r="BS31" i="14"/>
  <c r="BS105" i="7"/>
  <c r="BS90" i="13"/>
  <c r="BS75" i="13"/>
  <c r="BS133" i="7"/>
  <c r="BS70" i="13"/>
  <c r="BS62" i="7"/>
  <c r="BS130" i="7"/>
  <c r="BS72" i="13"/>
  <c r="BS69" i="7"/>
  <c r="BS73" i="7"/>
  <c r="BS60" i="13"/>
  <c r="BS98" i="7"/>
  <c r="BS56" i="13"/>
  <c r="AB30" i="7"/>
  <c r="AG30" i="7" s="1"/>
  <c r="BR30" i="7" s="1"/>
  <c r="BS30" i="7"/>
  <c r="BS25" i="7"/>
  <c r="BS10" i="7"/>
  <c r="BS112" i="7"/>
  <c r="BS32" i="7"/>
  <c r="BS52" i="7"/>
  <c r="BS33" i="7"/>
  <c r="BS5" i="7"/>
  <c r="BS138" i="7"/>
  <c r="BS12" i="13"/>
  <c r="BS8" i="7"/>
  <c r="BS148" i="7"/>
  <c r="AB49" i="13"/>
  <c r="AG49" i="13" s="1"/>
  <c r="BR49" i="13" s="1"/>
  <c r="BS49" i="13"/>
  <c r="BS97" i="7"/>
  <c r="BS28" i="7"/>
  <c r="BS15" i="13"/>
  <c r="BS19" i="6"/>
  <c r="BU19" i="6" s="1"/>
  <c r="BW19" i="6" s="1"/>
  <c r="BY19" i="6" s="1"/>
  <c r="BS31" i="6"/>
  <c r="BS153" i="7"/>
  <c r="AB11" i="6"/>
  <c r="AG11" i="6" s="1"/>
  <c r="BS11" i="6"/>
  <c r="AB10" i="6"/>
  <c r="AG10" i="6" s="1"/>
  <c r="BR10" i="6" s="1"/>
  <c r="BS10" i="6"/>
  <c r="AB40" i="6"/>
  <c r="AG40" i="6" s="1"/>
  <c r="BS40" i="6"/>
  <c r="AB33" i="13"/>
  <c r="AG33" i="13" s="1"/>
  <c r="BS33" i="13"/>
  <c r="AB120" i="7"/>
  <c r="AG120" i="7" s="1"/>
  <c r="BS120" i="7"/>
  <c r="AB4" i="13"/>
  <c r="AG4" i="13" s="1"/>
  <c r="BS4" i="13"/>
  <c r="AB13" i="7"/>
  <c r="AG13" i="7" s="1"/>
  <c r="BS13" i="7"/>
  <c r="AB8" i="13"/>
  <c r="AG8" i="13" s="1"/>
  <c r="BR8" i="13" s="1"/>
  <c r="BS8" i="13"/>
  <c r="BS63" i="6"/>
  <c r="BS158" i="7"/>
  <c r="AG158" i="7"/>
  <c r="BS17" i="6"/>
  <c r="BS136" i="7"/>
  <c r="BS15" i="14"/>
  <c r="BS149" i="7"/>
  <c r="BS63" i="14"/>
  <c r="BS64" i="14"/>
  <c r="BS68" i="14"/>
  <c r="BS19" i="14"/>
  <c r="AG132" i="7"/>
  <c r="BS132" i="7"/>
  <c r="BS36" i="7"/>
  <c r="BS27" i="13"/>
  <c r="BS36" i="14"/>
  <c r="BS13" i="14"/>
  <c r="BS18" i="14"/>
  <c r="BS22" i="14"/>
  <c r="BS17" i="14"/>
  <c r="BS61" i="14"/>
  <c r="BS20" i="14"/>
  <c r="AG76" i="13"/>
  <c r="BR76" i="13" s="1"/>
  <c r="BS76" i="13"/>
  <c r="AG84" i="13"/>
  <c r="BR84" i="13" s="1"/>
  <c r="BS84" i="13"/>
  <c r="BS57" i="14"/>
  <c r="BU71" i="13"/>
  <c r="BW71" i="13" s="1"/>
  <c r="BY71" i="13" s="1"/>
  <c r="BZ71" i="13" s="1"/>
  <c r="CA71" i="13" s="1"/>
  <c r="BS53" i="7"/>
  <c r="BS36" i="13"/>
  <c r="BS7" i="7"/>
  <c r="BS72" i="7"/>
  <c r="BS58" i="7"/>
  <c r="BS46" i="6"/>
  <c r="BS58" i="6"/>
  <c r="BS13" i="6"/>
  <c r="BS81" i="13"/>
  <c r="BS39" i="7"/>
  <c r="BS6" i="14"/>
  <c r="BS92" i="13"/>
  <c r="BS67" i="7"/>
  <c r="BS140" i="7"/>
  <c r="BS13" i="13"/>
  <c r="BS123" i="7"/>
  <c r="BS157" i="7"/>
  <c r="BS44" i="7"/>
  <c r="BS49" i="7"/>
  <c r="BS38" i="13"/>
  <c r="BS154" i="7"/>
  <c r="BS11" i="7"/>
  <c r="BS27" i="14"/>
  <c r="BS73" i="13"/>
  <c r="BS155" i="7"/>
  <c r="BS19" i="13"/>
  <c r="BS78" i="7"/>
  <c r="BS28" i="14"/>
  <c r="BS55" i="13"/>
  <c r="BS6" i="13"/>
  <c r="BS54" i="13"/>
  <c r="BS66" i="7"/>
  <c r="BS48" i="7"/>
  <c r="BS88" i="13"/>
  <c r="BS146" i="7"/>
  <c r="BS24" i="7"/>
  <c r="BS31" i="13"/>
  <c r="BS9" i="13"/>
  <c r="BS144" i="7"/>
  <c r="BS42" i="13"/>
  <c r="BS12" i="14"/>
  <c r="BS77" i="7"/>
  <c r="BS124" i="7"/>
  <c r="BS32" i="13"/>
  <c r="BS29" i="13"/>
  <c r="BS110" i="7"/>
  <c r="BS116" i="7"/>
  <c r="BS90" i="7"/>
  <c r="BS30" i="13"/>
  <c r="BS37" i="14"/>
  <c r="BS26" i="6"/>
  <c r="BS14" i="14"/>
  <c r="BS24" i="14"/>
  <c r="BS62" i="14"/>
  <c r="BS44" i="14"/>
  <c r="BS70" i="14"/>
  <c r="AG47" i="6"/>
  <c r="BR47" i="6" s="1"/>
  <c r="BS47" i="6"/>
  <c r="AG30" i="6"/>
  <c r="BS30" i="6"/>
  <c r="AG93" i="7"/>
  <c r="BS93" i="7"/>
  <c r="BS12" i="6"/>
  <c r="BS30" i="14"/>
  <c r="BU30" i="14" s="1"/>
  <c r="BW30" i="14" s="1"/>
  <c r="BY30" i="14" s="1"/>
  <c r="BZ30" i="14" s="1"/>
  <c r="CA30" i="14" s="1"/>
  <c r="BS52" i="14"/>
  <c r="BS108" i="7"/>
  <c r="BS51" i="6"/>
  <c r="BS33" i="14"/>
  <c r="BU33" i="14" s="1"/>
  <c r="BW33" i="14" s="1"/>
  <c r="BY33" i="14" s="1"/>
  <c r="AG26" i="7"/>
  <c r="AG63" i="6"/>
  <c r="AG101" i="7"/>
  <c r="AG50" i="6"/>
  <c r="BR51" i="14"/>
  <c r="BU51" i="14" s="1"/>
  <c r="BW51" i="14" s="1"/>
  <c r="BY51" i="14" s="1"/>
  <c r="BR81" i="7"/>
  <c r="BU81" i="7" s="1"/>
  <c r="BW81" i="7" s="1"/>
  <c r="BY81" i="7" s="1"/>
  <c r="AG23" i="7"/>
  <c r="BR23" i="7" s="1"/>
  <c r="AG88" i="7"/>
  <c r="AG58" i="7"/>
  <c r="AG74" i="7"/>
  <c r="BR74" i="7" s="1"/>
  <c r="AG136" i="7"/>
  <c r="AG125" i="7"/>
  <c r="AG7" i="7"/>
  <c r="AG80" i="7"/>
  <c r="AG27" i="13"/>
  <c r="BR27" i="13" s="1"/>
  <c r="AG108" i="7"/>
  <c r="AG25" i="7"/>
  <c r="AG42" i="7"/>
  <c r="AG113" i="7"/>
  <c r="AG137" i="7"/>
  <c r="AG15" i="13"/>
  <c r="BR15" i="13" s="1"/>
  <c r="BR52" i="14"/>
  <c r="AG107" i="7"/>
  <c r="AG36" i="13"/>
  <c r="AG65" i="13"/>
  <c r="BR65" i="13" s="1"/>
  <c r="AG58" i="14"/>
  <c r="AG68" i="7"/>
  <c r="BR91" i="7"/>
  <c r="BU91" i="7" s="1"/>
  <c r="BW91" i="7" s="1"/>
  <c r="BY91" i="7" s="1"/>
  <c r="AG25" i="13"/>
  <c r="BR25" i="13" s="1"/>
  <c r="AG53" i="7"/>
  <c r="AG72" i="7"/>
  <c r="AG36" i="7"/>
  <c r="AG56" i="7"/>
  <c r="AG57" i="14"/>
  <c r="AG6" i="7"/>
  <c r="BR43" i="7"/>
  <c r="BU43" i="7" s="1"/>
  <c r="BW43" i="7" s="1"/>
  <c r="BY43" i="7" s="1"/>
  <c r="BZ43" i="7" s="1"/>
  <c r="CA43" i="7" s="1"/>
  <c r="AG115" i="7"/>
  <c r="BR147" i="7"/>
  <c r="BU147" i="7" s="1"/>
  <c r="BW147" i="7" s="1"/>
  <c r="BY147" i="7" s="1"/>
  <c r="BR15" i="7"/>
  <c r="BU15" i="7" s="1"/>
  <c r="BW15" i="7" s="1"/>
  <c r="BY15" i="7" s="1"/>
  <c r="AG62" i="13"/>
  <c r="BR62" i="13" s="1"/>
  <c r="AG10" i="14"/>
  <c r="BR10" i="14" s="1"/>
  <c r="AG85" i="13"/>
  <c r="BR85" i="13" s="1"/>
  <c r="AG14" i="7"/>
  <c r="AG32" i="7"/>
  <c r="BR17" i="6"/>
  <c r="BR12" i="6"/>
  <c r="AO38" i="13"/>
  <c r="AV38" i="13" s="1"/>
  <c r="AX38" i="13" s="1"/>
  <c r="AO21" i="13"/>
  <c r="AV21" i="13" s="1"/>
  <c r="AX21" i="13" s="1"/>
  <c r="AG57" i="6"/>
  <c r="AO88" i="13"/>
  <c r="AV88" i="13" s="1"/>
  <c r="AX88" i="13" s="1"/>
  <c r="AO87" i="13"/>
  <c r="AV87" i="13" s="1"/>
  <c r="AX87" i="13" s="1"/>
  <c r="AO73" i="13"/>
  <c r="AV73" i="13" s="1"/>
  <c r="AX73" i="13" s="1"/>
  <c r="AO58" i="13"/>
  <c r="AV58" i="13" s="1"/>
  <c r="AX58" i="13" s="1"/>
  <c r="AG8" i="6"/>
  <c r="BR51" i="6"/>
  <c r="AO28" i="13"/>
  <c r="AV28" i="13" s="1"/>
  <c r="AX28" i="13" s="1"/>
  <c r="BA28" i="13" s="1"/>
  <c r="BC28" i="13" s="1"/>
  <c r="BE28" i="13" s="1"/>
  <c r="BF28" i="13" s="1"/>
  <c r="BG28" i="13" s="1"/>
  <c r="AO9" i="13"/>
  <c r="AV9" i="13" s="1"/>
  <c r="AX9" i="13" s="1"/>
  <c r="AO80" i="13"/>
  <c r="AV80" i="13" s="1"/>
  <c r="AX80" i="13" s="1"/>
  <c r="BA80" i="13" s="1"/>
  <c r="BC80" i="13" s="1"/>
  <c r="BE80" i="13" s="1"/>
  <c r="BF80" i="13" s="1"/>
  <c r="BG80" i="13" s="1"/>
  <c r="BR54" i="6"/>
  <c r="BU54" i="6" s="1"/>
  <c r="BW54" i="6" s="1"/>
  <c r="BY54" i="6" s="1"/>
  <c r="AO50" i="13"/>
  <c r="AV50" i="13" s="1"/>
  <c r="AX50" i="13" s="1"/>
  <c r="AG5" i="6"/>
  <c r="BU43" i="13"/>
  <c r="BW43" i="13" s="1"/>
  <c r="BY43" i="13" s="1"/>
  <c r="BZ43" i="13" s="1"/>
  <c r="CA43" i="13" s="1"/>
  <c r="AG9" i="7"/>
  <c r="AG94" i="7"/>
  <c r="AG39" i="6"/>
  <c r="AG38" i="7"/>
  <c r="AG84" i="7"/>
  <c r="AG77" i="13"/>
  <c r="BR77" i="13" s="1"/>
  <c r="AG20" i="6"/>
  <c r="AG46" i="7"/>
  <c r="AG43" i="6"/>
  <c r="AG55" i="7"/>
  <c r="AL72" i="14"/>
  <c r="AN72" i="14" s="1"/>
  <c r="AL26" i="14"/>
  <c r="AN26" i="14" s="1"/>
  <c r="AV15" i="14"/>
  <c r="AX15" i="14" s="1"/>
  <c r="AV61" i="14"/>
  <c r="AX61" i="14" s="1"/>
  <c r="AL71" i="14"/>
  <c r="AN71" i="14" s="1"/>
  <c r="AO71" i="14" s="1"/>
  <c r="AV71" i="14" s="1"/>
  <c r="AX71" i="14" s="1"/>
  <c r="BA71" i="14" s="1"/>
  <c r="BC71" i="14" s="1"/>
  <c r="BE71" i="14" s="1"/>
  <c r="BF71" i="14" s="1"/>
  <c r="BG71" i="14" s="1"/>
  <c r="AX48" i="14"/>
  <c r="BA48" i="14" s="1"/>
  <c r="BC48" i="14" s="1"/>
  <c r="BE48" i="14" s="1"/>
  <c r="BF48" i="14" s="1"/>
  <c r="BG48" i="14" s="1"/>
  <c r="AL49" i="14"/>
  <c r="AN49" i="14" s="1"/>
  <c r="AL25" i="14"/>
  <c r="AN25" i="14" s="1"/>
  <c r="AO25" i="14" s="1"/>
  <c r="AV25" i="14" s="1"/>
  <c r="AG20" i="14"/>
  <c r="AG61" i="14"/>
  <c r="BR61" i="14" s="1"/>
  <c r="AG66" i="14"/>
  <c r="AO58" i="6"/>
  <c r="AV58" i="6" s="1"/>
  <c r="AX58" i="6" s="1"/>
  <c r="AO38" i="6"/>
  <c r="AV38" i="6" s="1"/>
  <c r="AX38" i="6" s="1"/>
  <c r="AO54" i="6"/>
  <c r="AV54" i="6" s="1"/>
  <c r="AX54" i="6" s="1"/>
  <c r="AG17" i="13"/>
  <c r="BR17" i="13" s="1"/>
  <c r="AG40" i="14"/>
  <c r="BR40" i="14" s="1"/>
  <c r="AG74" i="13"/>
  <c r="BR74" i="13" s="1"/>
  <c r="AG65" i="14"/>
  <c r="AG69" i="14"/>
  <c r="AG45" i="14"/>
  <c r="AG63" i="14"/>
  <c r="AG68" i="14"/>
  <c r="BR68" i="14" s="1"/>
  <c r="AG20" i="13"/>
  <c r="BR20" i="13" s="1"/>
  <c r="AG19" i="14"/>
  <c r="BR19" i="14" s="1"/>
  <c r="AG64" i="14"/>
  <c r="BR64" i="14" s="1"/>
  <c r="AG143" i="7"/>
  <c r="AG97" i="7"/>
  <c r="BR97" i="7" s="1"/>
  <c r="AG47" i="14"/>
  <c r="AG44" i="14"/>
  <c r="BR44" i="14" s="1"/>
  <c r="AG67" i="14"/>
  <c r="AU66" i="7"/>
  <c r="AU128" i="7"/>
  <c r="AN29" i="13"/>
  <c r="AO4" i="14"/>
  <c r="AV4" i="14" s="1"/>
  <c r="AX4" i="14" s="1"/>
  <c r="AO29" i="14"/>
  <c r="AV29" i="14" s="1"/>
  <c r="AX29" i="14" s="1"/>
  <c r="AV14" i="6"/>
  <c r="AX14" i="6" s="1"/>
  <c r="AV63" i="6"/>
  <c r="AX63" i="6" s="1"/>
  <c r="AV20" i="6"/>
  <c r="AX20" i="6" s="1"/>
  <c r="AG46" i="14"/>
  <c r="AG39" i="14"/>
  <c r="AG41" i="14"/>
  <c r="AL18" i="14"/>
  <c r="AN18" i="14" s="1"/>
  <c r="AL70" i="14"/>
  <c r="AN70" i="14" s="1"/>
  <c r="AG70" i="14"/>
  <c r="AL16" i="14"/>
  <c r="AN16" i="14" s="1"/>
  <c r="AL17" i="14"/>
  <c r="AN17" i="14" s="1"/>
  <c r="AO17" i="14" s="1"/>
  <c r="AV17" i="14" s="1"/>
  <c r="AX17" i="14" s="1"/>
  <c r="AG42" i="14"/>
  <c r="AL40" i="14"/>
  <c r="AN40" i="14" s="1"/>
  <c r="AO40" i="14" s="1"/>
  <c r="AV40" i="14" s="1"/>
  <c r="AX40" i="14" s="1"/>
  <c r="AL65" i="14"/>
  <c r="AN65" i="14" s="1"/>
  <c r="AL38" i="14"/>
  <c r="AN38" i="14" s="1"/>
  <c r="AO38" i="14" s="1"/>
  <c r="AV38" i="14" s="1"/>
  <c r="AX38" i="14" s="1"/>
  <c r="AL24" i="14"/>
  <c r="AN24" i="14" s="1"/>
  <c r="AL22" i="14"/>
  <c r="AN22" i="14" s="1"/>
  <c r="AG45" i="7"/>
  <c r="BR45" i="7" s="1"/>
  <c r="AG17" i="14"/>
  <c r="BR17" i="14" s="1"/>
  <c r="AL46" i="14"/>
  <c r="AN46" i="14" s="1"/>
  <c r="AL43" i="14"/>
  <c r="AN43" i="14" s="1"/>
  <c r="AL39" i="14"/>
  <c r="AN39" i="14" s="1"/>
  <c r="AL45" i="14"/>
  <c r="AN45" i="14" s="1"/>
  <c r="AG23" i="14"/>
  <c r="AL63" i="14"/>
  <c r="AN63" i="14" s="1"/>
  <c r="AL20" i="14"/>
  <c r="AN20" i="14" s="1"/>
  <c r="AL21" i="14"/>
  <c r="AN21" i="14" s="1"/>
  <c r="AL47" i="14"/>
  <c r="AN47" i="14" s="1"/>
  <c r="AL23" i="14"/>
  <c r="AN23" i="14" s="1"/>
  <c r="AL67" i="14"/>
  <c r="AN67" i="14" s="1"/>
  <c r="AO67" i="14" s="1"/>
  <c r="AV67" i="14" s="1"/>
  <c r="AX67" i="14" s="1"/>
  <c r="AG38" i="14"/>
  <c r="BR38" i="14" s="1"/>
  <c r="AL42" i="14"/>
  <c r="AN42" i="14" s="1"/>
  <c r="AO42" i="14" s="1"/>
  <c r="AV42" i="14" s="1"/>
  <c r="AX42" i="14" s="1"/>
  <c r="AG62" i="14"/>
  <c r="AL64" i="14"/>
  <c r="AN64" i="14" s="1"/>
  <c r="AL66" i="14"/>
  <c r="AN66" i="14" s="1"/>
  <c r="AO44" i="14"/>
  <c r="AV44" i="14" s="1"/>
  <c r="AL68" i="14"/>
  <c r="AN68" i="14" s="1"/>
  <c r="AO69" i="14"/>
  <c r="AV69" i="14" s="1"/>
  <c r="AX69" i="14" s="1"/>
  <c r="AL41" i="14"/>
  <c r="AN41" i="14" s="1"/>
  <c r="AG16" i="14"/>
  <c r="AG43" i="14"/>
  <c r="BR43" i="14" s="1"/>
  <c r="AO62" i="14"/>
  <c r="AV62" i="14" s="1"/>
  <c r="AX62" i="14" s="1"/>
  <c r="AL19" i="14"/>
  <c r="AN19" i="14" s="1"/>
  <c r="AG24" i="14"/>
  <c r="AG22" i="14"/>
  <c r="AG15" i="14"/>
  <c r="BR15" i="14" s="1"/>
  <c r="AU92" i="7"/>
  <c r="AU43" i="7"/>
  <c r="AG12" i="7"/>
  <c r="AG149" i="7"/>
  <c r="BR149" i="7" s="1"/>
  <c r="AG18" i="14"/>
  <c r="AG21" i="14"/>
  <c r="AU44" i="7"/>
  <c r="AU140" i="7"/>
  <c r="AU107" i="7"/>
  <c r="AN53" i="13"/>
  <c r="AU155" i="7"/>
  <c r="AU27" i="7"/>
  <c r="AU42" i="7"/>
  <c r="AU18" i="7"/>
  <c r="AN45" i="7"/>
  <c r="AO45" i="7" s="1"/>
  <c r="AV45" i="7" s="1"/>
  <c r="AX45" i="7" s="1"/>
  <c r="AU157" i="7"/>
  <c r="AN149" i="7"/>
  <c r="AU106" i="7"/>
  <c r="AN97" i="7"/>
  <c r="AO97" i="7" s="1"/>
  <c r="AV97" i="7" s="1"/>
  <c r="AX97" i="7" s="1"/>
  <c r="AU139" i="7"/>
  <c r="AU152" i="7"/>
  <c r="AU146" i="7"/>
  <c r="AU122" i="7"/>
  <c r="AU124" i="7"/>
  <c r="AU78" i="7"/>
  <c r="AU148" i="7"/>
  <c r="AU133" i="7"/>
  <c r="AU101" i="7"/>
  <c r="AG156" i="7"/>
  <c r="BR156" i="7" s="1"/>
  <c r="AG51" i="13"/>
  <c r="BR51" i="13" s="1"/>
  <c r="AU100" i="7"/>
  <c r="AU96" i="7"/>
  <c r="AU91" i="7"/>
  <c r="AU88" i="7"/>
  <c r="AU93" i="7"/>
  <c r="AU69" i="7"/>
  <c r="AL70" i="7"/>
  <c r="AN70" i="7" s="1"/>
  <c r="AL14" i="14"/>
  <c r="AN14" i="14" s="1"/>
  <c r="AL60" i="14"/>
  <c r="AN60" i="14" s="1"/>
  <c r="AL19" i="7"/>
  <c r="AN19" i="7" s="1"/>
  <c r="AG64" i="7"/>
  <c r="BR64" i="7" s="1"/>
  <c r="AG52" i="13"/>
  <c r="BR52" i="13" s="1"/>
  <c r="AG13" i="14"/>
  <c r="BR13" i="14" s="1"/>
  <c r="AG78" i="13"/>
  <c r="BR78" i="13" s="1"/>
  <c r="AG36" i="6"/>
  <c r="BR36" i="6" s="1"/>
  <c r="AG89" i="7"/>
  <c r="BR89" i="7" s="1"/>
  <c r="AU21" i="7"/>
  <c r="AU119" i="7"/>
  <c r="AU125" i="7"/>
  <c r="AG57" i="7"/>
  <c r="BR57" i="7" s="1"/>
  <c r="AU79" i="7"/>
  <c r="AU143" i="7"/>
  <c r="AG4" i="14"/>
  <c r="AG26" i="6"/>
  <c r="BR26" i="6" s="1"/>
  <c r="AG59" i="13"/>
  <c r="AG36" i="14"/>
  <c r="BR36" i="14" s="1"/>
  <c r="AG45" i="6"/>
  <c r="BR45" i="6" s="1"/>
  <c r="AL37" i="14"/>
  <c r="AN37" i="14" s="1"/>
  <c r="AL36" i="14"/>
  <c r="AN36" i="14" s="1"/>
  <c r="AL13" i="14"/>
  <c r="AN13" i="14" s="1"/>
  <c r="AG16" i="6"/>
  <c r="BR16" i="6" s="1"/>
  <c r="AU67" i="7"/>
  <c r="AU129" i="7"/>
  <c r="AU75" i="7"/>
  <c r="AU131" i="7"/>
  <c r="AU95" i="7"/>
  <c r="AU77" i="7"/>
  <c r="AU54" i="7"/>
  <c r="AU104" i="7"/>
  <c r="AU22" i="7"/>
  <c r="AU48" i="7"/>
  <c r="AU80" i="7"/>
  <c r="AU118" i="7"/>
  <c r="AU71" i="7"/>
  <c r="AU19" i="7"/>
  <c r="AN26" i="13"/>
  <c r="AU24" i="7"/>
  <c r="AU50" i="7"/>
  <c r="AU68" i="7"/>
  <c r="AG6" i="6"/>
  <c r="BU5" i="14"/>
  <c r="BW5" i="14" s="1"/>
  <c r="BY5" i="14" s="1"/>
  <c r="AU87" i="7"/>
  <c r="AN78" i="13"/>
  <c r="AU102" i="7"/>
  <c r="AU41" i="7"/>
  <c r="AN11" i="13"/>
  <c r="AG14" i="14"/>
  <c r="AU72" i="7"/>
  <c r="AU49" i="7"/>
  <c r="AU23" i="7"/>
  <c r="AG56" i="6"/>
  <c r="BR56" i="6" s="1"/>
  <c r="AG150" i="7"/>
  <c r="BR150" i="7" s="1"/>
  <c r="AG37" i="14"/>
  <c r="BR37" i="14" s="1"/>
  <c r="AU35" i="7"/>
  <c r="AU55" i="7"/>
  <c r="AU120" i="7"/>
  <c r="AU145" i="7"/>
  <c r="AG46" i="6"/>
  <c r="BR46" i="6" s="1"/>
  <c r="AN12" i="13"/>
  <c r="AL122" i="7"/>
  <c r="AN122" i="7" s="1"/>
  <c r="AN5" i="13"/>
  <c r="AN25" i="13"/>
  <c r="AN55" i="13"/>
  <c r="AN19" i="13"/>
  <c r="AJ42" i="7"/>
  <c r="AL42" i="7" s="1"/>
  <c r="AN42" i="7" s="1"/>
  <c r="AJ74" i="7"/>
  <c r="AL74" i="7" s="1"/>
  <c r="AN74" i="7" s="1"/>
  <c r="AN42" i="13"/>
  <c r="AN66" i="13"/>
  <c r="AJ103" i="7"/>
  <c r="AL103" i="7" s="1"/>
  <c r="AN103" i="7" s="1"/>
  <c r="AL120" i="7"/>
  <c r="AN120" i="7" s="1"/>
  <c r="AL16" i="7"/>
  <c r="AN16" i="7" s="1"/>
  <c r="AJ155" i="7"/>
  <c r="AL155" i="7" s="1"/>
  <c r="AN155" i="7" s="1"/>
  <c r="AL18" i="7"/>
  <c r="AN18" i="7" s="1"/>
  <c r="AL124" i="7"/>
  <c r="AN124" i="7" s="1"/>
  <c r="AL20" i="7"/>
  <c r="AN20" i="7" s="1"/>
  <c r="AL68" i="7"/>
  <c r="AN68" i="7" s="1"/>
  <c r="AL72" i="7"/>
  <c r="AN72" i="7" s="1"/>
  <c r="AJ148" i="7"/>
  <c r="AL148" i="7" s="1"/>
  <c r="AN148" i="7" s="1"/>
  <c r="AJ96" i="7"/>
  <c r="AL96" i="7" s="1"/>
  <c r="AJ94" i="7"/>
  <c r="AL94" i="7" s="1"/>
  <c r="AJ75" i="7"/>
  <c r="AL75" i="7" s="1"/>
  <c r="AJ157" i="7"/>
  <c r="AL157" i="7" s="1"/>
  <c r="AN157" i="7" s="1"/>
  <c r="AJ23" i="7"/>
  <c r="AL23" i="7" s="1"/>
  <c r="AN23" i="7" s="1"/>
  <c r="AJ44" i="7"/>
  <c r="AL44" i="7" s="1"/>
  <c r="AJ125" i="7"/>
  <c r="AL125" i="7" s="1"/>
  <c r="AN125" i="7" s="1"/>
  <c r="AJ146" i="7"/>
  <c r="AL146" i="7" s="1"/>
  <c r="AN146" i="7" s="1"/>
  <c r="AJ126" i="7"/>
  <c r="AL126" i="7" s="1"/>
  <c r="AL127" i="7"/>
  <c r="AN127" i="7" s="1"/>
  <c r="AJ21" i="7"/>
  <c r="AL21" i="7" s="1"/>
  <c r="AN21" i="7" s="1"/>
  <c r="AJ22" i="7"/>
  <c r="AL22" i="7" s="1"/>
  <c r="AN22" i="7" s="1"/>
  <c r="AJ51" i="7"/>
  <c r="AL51" i="7" s="1"/>
  <c r="AN51" i="7" s="1"/>
  <c r="AJ73" i="7"/>
  <c r="AL73" i="7" s="1"/>
  <c r="AN73" i="7" s="1"/>
  <c r="AJ53" i="7"/>
  <c r="AL53" i="7" s="1"/>
  <c r="AN53" i="7" s="1"/>
  <c r="AJ105" i="7"/>
  <c r="AL105" i="7" s="1"/>
  <c r="AL71" i="7"/>
  <c r="AN71" i="7" s="1"/>
  <c r="AN56" i="13"/>
  <c r="AN48" i="13"/>
  <c r="AN101" i="7"/>
  <c r="AN87" i="7"/>
  <c r="AN22" i="13"/>
  <c r="AN37" i="13"/>
  <c r="AN48" i="7"/>
  <c r="AN118" i="7"/>
  <c r="AN119" i="7"/>
  <c r="AN129" i="7"/>
  <c r="AN8" i="13"/>
  <c r="AN86" i="13"/>
  <c r="AN128" i="7"/>
  <c r="AN25" i="7"/>
  <c r="AN89" i="13"/>
  <c r="AN145" i="7"/>
  <c r="AN46" i="7"/>
  <c r="AN29" i="7"/>
  <c r="AN100" i="7"/>
  <c r="AN78" i="7"/>
  <c r="AN121" i="7"/>
  <c r="AN65" i="13"/>
  <c r="AN144" i="7"/>
  <c r="AN59" i="13"/>
  <c r="AN130" i="7"/>
  <c r="AN91" i="7"/>
  <c r="AN14" i="7"/>
  <c r="AN76" i="7"/>
  <c r="AN37" i="7"/>
  <c r="AN102" i="7"/>
  <c r="AN141" i="7"/>
  <c r="AN10" i="13"/>
  <c r="AN17" i="7"/>
  <c r="AN52" i="13"/>
  <c r="AN31" i="13"/>
  <c r="AN84" i="13"/>
  <c r="AN147" i="7"/>
  <c r="AN39" i="7"/>
  <c r="AN54" i="7"/>
  <c r="AN64" i="13"/>
  <c r="AN133" i="7"/>
  <c r="AN43" i="7"/>
  <c r="AO57" i="13"/>
  <c r="AV57" i="13" s="1"/>
  <c r="AX57" i="13" s="1"/>
  <c r="AN91" i="13"/>
  <c r="AN77" i="7"/>
  <c r="AN79" i="7"/>
  <c r="AN153" i="7"/>
  <c r="AN90" i="7"/>
  <c r="AN14" i="13"/>
  <c r="AN77" i="13"/>
  <c r="AN95" i="7"/>
  <c r="AN80" i="7"/>
  <c r="AN142" i="7"/>
  <c r="AN15" i="7"/>
  <c r="AN33" i="13"/>
  <c r="AN139" i="7"/>
  <c r="AN132" i="7"/>
  <c r="AN89" i="7"/>
  <c r="AN38" i="7"/>
  <c r="AN36" i="7"/>
  <c r="AN30" i="13"/>
  <c r="AN24" i="13"/>
  <c r="AO43" i="13"/>
  <c r="AV43" i="13" s="1"/>
  <c r="AX43" i="13" s="1"/>
  <c r="BA43" i="13" s="1"/>
  <c r="BC43" i="13" s="1"/>
  <c r="BE43" i="13" s="1"/>
  <c r="BF43" i="13" s="1"/>
  <c r="BG43" i="13" s="1"/>
  <c r="AO13" i="13"/>
  <c r="AV13" i="13" s="1"/>
  <c r="AX13" i="13" s="1"/>
  <c r="AO40" i="13"/>
  <c r="AV40" i="13" s="1"/>
  <c r="AX40" i="13" s="1"/>
  <c r="AN106" i="7"/>
  <c r="AO68" i="13"/>
  <c r="AV68" i="13" s="1"/>
  <c r="AX68" i="13" s="1"/>
  <c r="AN158" i="7"/>
  <c r="AN82" i="13"/>
  <c r="AN54" i="13"/>
  <c r="AN61" i="13"/>
  <c r="AN154" i="7"/>
  <c r="AN104" i="7"/>
  <c r="AN75" i="13"/>
  <c r="AN93" i="7"/>
  <c r="AN40" i="7"/>
  <c r="AN83" i="13"/>
  <c r="AN46" i="13"/>
  <c r="AN92" i="13"/>
  <c r="AN32" i="13"/>
  <c r="AN152" i="7"/>
  <c r="AN69" i="7"/>
  <c r="AO69" i="13"/>
  <c r="AV69" i="13" s="1"/>
  <c r="AX69" i="13" s="1"/>
  <c r="AN47" i="13"/>
  <c r="AN15" i="13"/>
  <c r="AN16" i="13"/>
  <c r="AN27" i="7"/>
  <c r="AN59" i="7"/>
  <c r="AO59" i="7" s="1"/>
  <c r="AV59" i="7" s="1"/>
  <c r="AX59" i="7" s="1"/>
  <c r="AN131" i="7"/>
  <c r="AN45" i="13"/>
  <c r="AN17" i="13"/>
  <c r="AN93" i="13"/>
  <c r="AN92" i="7"/>
  <c r="AN156" i="7"/>
  <c r="AN26" i="7"/>
  <c r="AN52" i="7"/>
  <c r="AN60" i="13"/>
  <c r="AN49" i="7"/>
  <c r="AO39" i="13"/>
  <c r="AV39" i="13" s="1"/>
  <c r="AX39" i="13" s="1"/>
  <c r="AN70" i="13"/>
  <c r="AN135" i="7"/>
  <c r="AO135" i="7" s="1"/>
  <c r="AV135" i="7" s="1"/>
  <c r="AX135" i="7" s="1"/>
  <c r="AN27" i="13"/>
  <c r="AN90" i="13"/>
  <c r="AN41" i="7"/>
  <c r="AN107" i="7"/>
  <c r="AN35" i="7"/>
  <c r="AO44" i="13"/>
  <c r="AV44" i="13" s="1"/>
  <c r="AX44" i="13" s="1"/>
  <c r="AO81" i="13"/>
  <c r="AV81" i="13" s="1"/>
  <c r="AX81" i="13" s="1"/>
  <c r="AN50" i="7"/>
  <c r="AN62" i="13"/>
  <c r="AN143" i="7"/>
  <c r="AN137" i="7"/>
  <c r="AN117" i="7"/>
  <c r="AN24" i="7"/>
  <c r="AN66" i="7"/>
  <c r="AN140" i="7"/>
  <c r="AN67" i="7"/>
  <c r="AN81" i="7"/>
  <c r="AN35" i="13"/>
  <c r="AO74" i="13"/>
  <c r="AV74" i="13" s="1"/>
  <c r="AX74" i="13" s="1"/>
  <c r="AN67" i="13"/>
  <c r="AN20" i="13"/>
  <c r="AN63" i="13"/>
  <c r="AN123" i="7"/>
  <c r="AN28" i="7"/>
  <c r="AN13" i="7"/>
  <c r="AO13" i="7" s="1"/>
  <c r="AV13" i="7" s="1"/>
  <c r="AX13" i="7" s="1"/>
  <c r="AN159" i="7"/>
  <c r="AN23" i="13"/>
  <c r="AN88" i="7"/>
  <c r="AN55" i="7"/>
  <c r="AN71" i="13"/>
  <c r="AN31" i="7"/>
  <c r="AO31" i="7" s="1"/>
  <c r="AV31" i="7" s="1"/>
  <c r="AX31" i="7" s="1"/>
  <c r="BA31" i="7" s="1"/>
  <c r="BC31" i="7" s="1"/>
  <c r="BE31" i="7" s="1"/>
  <c r="AN86" i="7"/>
  <c r="AO86" i="7" s="1"/>
  <c r="AV86" i="7" s="1"/>
  <c r="AX86" i="7" s="1"/>
  <c r="AU85" i="7"/>
  <c r="AN6" i="7"/>
  <c r="AN138" i="7"/>
  <c r="AU34" i="7"/>
  <c r="AG59" i="14"/>
  <c r="BR59" i="14" s="1"/>
  <c r="AG60" i="14"/>
  <c r="BR60" i="14" s="1"/>
  <c r="BA51" i="6"/>
  <c r="BC51" i="6" s="1"/>
  <c r="BE51" i="6" s="1"/>
  <c r="BF51" i="6" s="1"/>
  <c r="BG51" i="6" s="1"/>
  <c r="AU62" i="7"/>
  <c r="AU117" i="7"/>
  <c r="AN112" i="7"/>
  <c r="AO112" i="7" s="1"/>
  <c r="AV112" i="7" s="1"/>
  <c r="AX112" i="7" s="1"/>
  <c r="AN6" i="13"/>
  <c r="AU60" i="7"/>
  <c r="AU150" i="7"/>
  <c r="AO51" i="13"/>
  <c r="AV51" i="13" s="1"/>
  <c r="AX51" i="13" s="1"/>
  <c r="AN18" i="13"/>
  <c r="AN4" i="7"/>
  <c r="AO4" i="7" s="1"/>
  <c r="AV4" i="7" s="1"/>
  <c r="AX4" i="7" s="1"/>
  <c r="AN151" i="7"/>
  <c r="AU57" i="7"/>
  <c r="AU83" i="7"/>
  <c r="AN85" i="13"/>
  <c r="AU12" i="7"/>
  <c r="AU108" i="7"/>
  <c r="AU5" i="7"/>
  <c r="AN36" i="13"/>
  <c r="AN79" i="13"/>
  <c r="AU58" i="7"/>
  <c r="AN7" i="13"/>
  <c r="AU109" i="7"/>
  <c r="AU115" i="7"/>
  <c r="AG34" i="13"/>
  <c r="BR34" i="13" s="1"/>
  <c r="AN34" i="7"/>
  <c r="AN136" i="7"/>
  <c r="AO136" i="7" s="1"/>
  <c r="AV136" i="7" s="1"/>
  <c r="AX136" i="7" s="1"/>
  <c r="AN49" i="13"/>
  <c r="AU7" i="7"/>
  <c r="AN62" i="7"/>
  <c r="AN34" i="13"/>
  <c r="AU33" i="7"/>
  <c r="AU47" i="7"/>
  <c r="AU9" i="7"/>
  <c r="AU46" i="7"/>
  <c r="AU65" i="7"/>
  <c r="AU61" i="7"/>
  <c r="AU111" i="7"/>
  <c r="AU82" i="7"/>
  <c r="AN110" i="7"/>
  <c r="AN41" i="13"/>
  <c r="AN72" i="13"/>
  <c r="AN98" i="7"/>
  <c r="AN63" i="7"/>
  <c r="AO63" i="7" s="1"/>
  <c r="AV63" i="7" s="1"/>
  <c r="AX63" i="7" s="1"/>
  <c r="AU110" i="7"/>
  <c r="AN83" i="7"/>
  <c r="AN109" i="7"/>
  <c r="AN12" i="7"/>
  <c r="AN60" i="7"/>
  <c r="AN4" i="13"/>
  <c r="AN56" i="7"/>
  <c r="AO56" i="7" s="1"/>
  <c r="AV56" i="7" s="1"/>
  <c r="AX56" i="7" s="1"/>
  <c r="AN64" i="7"/>
  <c r="AU32" i="7"/>
  <c r="AU10" i="7"/>
  <c r="AU134" i="7"/>
  <c r="AU113" i="7"/>
  <c r="AU116" i="7"/>
  <c r="AU84" i="7"/>
  <c r="AU11" i="7"/>
  <c r="AU64" i="7"/>
  <c r="AU99" i="7"/>
  <c r="AN5" i="7"/>
  <c r="AO5" i="7" s="1"/>
  <c r="AN30" i="7"/>
  <c r="AN150" i="7"/>
  <c r="AO150" i="7" s="1"/>
  <c r="AN32" i="7"/>
  <c r="AO32" i="7" s="1"/>
  <c r="AN99" i="7"/>
  <c r="AO99" i="7" s="1"/>
  <c r="AN8" i="7"/>
  <c r="AO8" i="7" s="1"/>
  <c r="AV8" i="7" s="1"/>
  <c r="AX8" i="7" s="1"/>
  <c r="AN11" i="7"/>
  <c r="AN113" i="7"/>
  <c r="AN115" i="7"/>
  <c r="AO115" i="7" s="1"/>
  <c r="AN58" i="7"/>
  <c r="AO58" i="7" s="1"/>
  <c r="AN108" i="7"/>
  <c r="AO108" i="7" s="1"/>
  <c r="AN10" i="7"/>
  <c r="AO10" i="7" s="1"/>
  <c r="AN61" i="7"/>
  <c r="AN47" i="7"/>
  <c r="AO47" i="7" s="1"/>
  <c r="AN134" i="7"/>
  <c r="AN82" i="7"/>
  <c r="AN116" i="7"/>
  <c r="AO116" i="7" s="1"/>
  <c r="AN57" i="7"/>
  <c r="AO57" i="7" s="1"/>
  <c r="AN84" i="7"/>
  <c r="AO84" i="7" s="1"/>
  <c r="AN111" i="7"/>
  <c r="AO111" i="7" s="1"/>
  <c r="AN33" i="7"/>
  <c r="AO33" i="7" s="1"/>
  <c r="AN65" i="7"/>
  <c r="AN7" i="7"/>
  <c r="AO7" i="7" s="1"/>
  <c r="AN114" i="7"/>
  <c r="AN85" i="7"/>
  <c r="AN9" i="7"/>
  <c r="AO9" i="7" s="1"/>
  <c r="AO76" i="13"/>
  <c r="AV76" i="13" s="1"/>
  <c r="AX76" i="13" s="1"/>
  <c r="BA40" i="6"/>
  <c r="BC40" i="6" s="1"/>
  <c r="BA9" i="6"/>
  <c r="BC9" i="6" s="1"/>
  <c r="AG33" i="6"/>
  <c r="BR33" i="6" s="1"/>
  <c r="AV52" i="6"/>
  <c r="AX52" i="6" s="1"/>
  <c r="AO54" i="14"/>
  <c r="AV54" i="14" s="1"/>
  <c r="AX54" i="14" s="1"/>
  <c r="AO32" i="14"/>
  <c r="AV32" i="14" s="1"/>
  <c r="AX32" i="14" s="1"/>
  <c r="AO25" i="6"/>
  <c r="AV25" i="6" s="1"/>
  <c r="AX25" i="6" s="1"/>
  <c r="AO52" i="14"/>
  <c r="AV52" i="14" s="1"/>
  <c r="AX52" i="14" s="1"/>
  <c r="AV48" i="6"/>
  <c r="AX48" i="6" s="1"/>
  <c r="AV8" i="6"/>
  <c r="AX8" i="6" s="1"/>
  <c r="BA49" i="6"/>
  <c r="BC49" i="6" s="1"/>
  <c r="BE49" i="6" s="1"/>
  <c r="AV62" i="6"/>
  <c r="AX62" i="6" s="1"/>
  <c r="AV28" i="6"/>
  <c r="AX28" i="6" s="1"/>
  <c r="AV59" i="6"/>
  <c r="AX59" i="6" s="1"/>
  <c r="AV11" i="6"/>
  <c r="AX11" i="6" s="1"/>
  <c r="AV41" i="6"/>
  <c r="AX41" i="6" s="1"/>
  <c r="AV32" i="6"/>
  <c r="AX32" i="6" s="1"/>
  <c r="AV27" i="6"/>
  <c r="AX27" i="6" s="1"/>
  <c r="AV19" i="6"/>
  <c r="AX19" i="6" s="1"/>
  <c r="AV12" i="6"/>
  <c r="AX12" i="6" s="1"/>
  <c r="AV24" i="6"/>
  <c r="AX24" i="6" s="1"/>
  <c r="AV22" i="6"/>
  <c r="AX22" i="6" s="1"/>
  <c r="AV4" i="6"/>
  <c r="AX4" i="6" s="1"/>
  <c r="AV44" i="6"/>
  <c r="AX44" i="6" s="1"/>
  <c r="AV7" i="6"/>
  <c r="AX7" i="6" s="1"/>
  <c r="AV53" i="6"/>
  <c r="AX53" i="6" s="1"/>
  <c r="AV5" i="6"/>
  <c r="AX5" i="6" s="1"/>
  <c r="BA50" i="6"/>
  <c r="BC50" i="6" s="1"/>
  <c r="AG32" i="14"/>
  <c r="BR32" i="14" s="1"/>
  <c r="AG24" i="13"/>
  <c r="BR24" i="13" s="1"/>
  <c r="AG30" i="13"/>
  <c r="BR30" i="13" s="1"/>
  <c r="AG140" i="7"/>
  <c r="BR140" i="7" s="1"/>
  <c r="BU86" i="13"/>
  <c r="BW86" i="13" s="1"/>
  <c r="BY86" i="13" s="1"/>
  <c r="BZ86" i="13" s="1"/>
  <c r="CA86" i="13" s="1"/>
  <c r="BZ29" i="7"/>
  <c r="CA29" i="7" s="1"/>
  <c r="BU60" i="7"/>
  <c r="BW60" i="7" s="1"/>
  <c r="BY60" i="7" s="1"/>
  <c r="AG77" i="7"/>
  <c r="BR77" i="7" s="1"/>
  <c r="AG21" i="7"/>
  <c r="AG34" i="6"/>
  <c r="BR34" i="6" s="1"/>
  <c r="AG42" i="6"/>
  <c r="BR42" i="6" s="1"/>
  <c r="BU8" i="14"/>
  <c r="BW8" i="14" s="1"/>
  <c r="BY8" i="14" s="1"/>
  <c r="AG83" i="13"/>
  <c r="BR83" i="13" s="1"/>
  <c r="AG138" i="7"/>
  <c r="BR138" i="7" s="1"/>
  <c r="BA10" i="6"/>
  <c r="BC10" i="6" s="1"/>
  <c r="AG79" i="13"/>
  <c r="BR79" i="13" s="1"/>
  <c r="AG37" i="6"/>
  <c r="BR37" i="6" s="1"/>
  <c r="AG105" i="7"/>
  <c r="BR105" i="7" s="1"/>
  <c r="AG82" i="13"/>
  <c r="BR82" i="13" s="1"/>
  <c r="AG110" i="7"/>
  <c r="BR110" i="7" s="1"/>
  <c r="AG116" i="7"/>
  <c r="BR116" i="7" s="1"/>
  <c r="AG14" i="13"/>
  <c r="BR14" i="13" s="1"/>
  <c r="AG17" i="7"/>
  <c r="AG73" i="13"/>
  <c r="BR73" i="13" s="1"/>
  <c r="AG55" i="13"/>
  <c r="AG71" i="7"/>
  <c r="BR71" i="7" s="1"/>
  <c r="AG64" i="13"/>
  <c r="BR64" i="13" s="1"/>
  <c r="BU54" i="14"/>
  <c r="BW54" i="14" s="1"/>
  <c r="BY54" i="14" s="1"/>
  <c r="AG35" i="7"/>
  <c r="AG151" i="7"/>
  <c r="BR151" i="7" s="1"/>
  <c r="AG23" i="13"/>
  <c r="BR23" i="13" s="1"/>
  <c r="AG123" i="7"/>
  <c r="BR123" i="7" s="1"/>
  <c r="AG40" i="7"/>
  <c r="AG42" i="13"/>
  <c r="BR42" i="13" s="1"/>
  <c r="AG96" i="7"/>
  <c r="BR96" i="7" s="1"/>
  <c r="AG145" i="7"/>
  <c r="BR145" i="7" s="1"/>
  <c r="AG157" i="7"/>
  <c r="BR157" i="7" s="1"/>
  <c r="AG53" i="14"/>
  <c r="AG25" i="6"/>
  <c r="BR25" i="6" s="1"/>
  <c r="AG90" i="13"/>
  <c r="BR90" i="13" s="1"/>
  <c r="AG21" i="13"/>
  <c r="BR21" i="13" s="1"/>
  <c r="AG75" i="13"/>
  <c r="BR75" i="13" s="1"/>
  <c r="AG26" i="13"/>
  <c r="BR26" i="13" s="1"/>
  <c r="AG12" i="14"/>
  <c r="AG29" i="13"/>
  <c r="BR29" i="13" s="1"/>
  <c r="AG18" i="7"/>
  <c r="BR18" i="7" s="1"/>
  <c r="AG54" i="7"/>
  <c r="BR54" i="7" s="1"/>
  <c r="AG22" i="6"/>
  <c r="AG41" i="13"/>
  <c r="BR41" i="13" s="1"/>
  <c r="AG28" i="14"/>
  <c r="BR28" i="14" s="1"/>
  <c r="AG131" i="7"/>
  <c r="BR131" i="7" s="1"/>
  <c r="AG68" i="13"/>
  <c r="BR68" i="13" s="1"/>
  <c r="AG103" i="7"/>
  <c r="BR103" i="7" s="1"/>
  <c r="AG100" i="7"/>
  <c r="BR100" i="7" s="1"/>
  <c r="AG5" i="13"/>
  <c r="BR5" i="13" s="1"/>
  <c r="AG111" i="7"/>
  <c r="BR111" i="7" s="1"/>
  <c r="BU22" i="13"/>
  <c r="BW22" i="13" s="1"/>
  <c r="BY22" i="13" s="1"/>
  <c r="BZ22" i="13" s="1"/>
  <c r="CA22" i="13" s="1"/>
  <c r="AG34" i="14"/>
  <c r="BR34" i="14" s="1"/>
  <c r="AG142" i="7"/>
  <c r="BR142" i="7" s="1"/>
  <c r="AG159" i="7"/>
  <c r="BR159" i="7" s="1"/>
  <c r="AG146" i="7"/>
  <c r="BR146" i="7" s="1"/>
  <c r="BU29" i="6"/>
  <c r="BW29" i="6" s="1"/>
  <c r="BY29" i="6" s="1"/>
  <c r="BA29" i="6"/>
  <c r="BC29" i="6" s="1"/>
  <c r="BE29" i="6" s="1"/>
  <c r="AG7" i="13"/>
  <c r="BR7" i="13" s="1"/>
  <c r="AG24" i="7"/>
  <c r="AG13" i="6"/>
  <c r="AG34" i="7"/>
  <c r="BR34" i="7" s="1"/>
  <c r="AG106" i="7"/>
  <c r="BR106" i="7" s="1"/>
  <c r="BA21" i="6"/>
  <c r="BC21" i="6" s="1"/>
  <c r="AG78" i="7"/>
  <c r="BR78" i="7" s="1"/>
  <c r="AG53" i="13"/>
  <c r="BR53" i="13" s="1"/>
  <c r="AG16" i="7"/>
  <c r="BR16" i="7" s="1"/>
  <c r="AG24" i="6"/>
  <c r="BR24" i="6" s="1"/>
  <c r="AG50" i="14"/>
  <c r="BR50" i="14" s="1"/>
  <c r="AG69" i="13"/>
  <c r="BR69" i="13" s="1"/>
  <c r="AG29" i="14"/>
  <c r="BR29" i="14" s="1"/>
  <c r="AG27" i="14"/>
  <c r="BR27" i="14" s="1"/>
  <c r="AG66" i="13"/>
  <c r="BR66" i="13" s="1"/>
  <c r="AG31" i="6"/>
  <c r="BR31" i="6" s="1"/>
  <c r="AG75" i="7"/>
  <c r="BR75" i="7" s="1"/>
  <c r="AG31" i="13"/>
  <c r="AG49" i="7"/>
  <c r="BR49" i="7" s="1"/>
  <c r="AG8" i="7"/>
  <c r="AG63" i="7"/>
  <c r="BR63" i="7" s="1"/>
  <c r="AG47" i="7"/>
  <c r="BR47" i="7" s="1"/>
  <c r="AG76" i="7"/>
  <c r="BR76" i="7" s="1"/>
  <c r="AG11" i="14"/>
  <c r="BR11" i="14" s="1"/>
  <c r="AG28" i="7"/>
  <c r="BR28" i="7" s="1"/>
  <c r="AG66" i="7"/>
  <c r="BR66" i="7" s="1"/>
  <c r="AG50" i="7"/>
  <c r="BR50" i="7" s="1"/>
  <c r="AG55" i="14"/>
  <c r="BR55" i="14" s="1"/>
  <c r="AG6" i="13"/>
  <c r="BR6" i="13" s="1"/>
  <c r="AG40" i="13"/>
  <c r="BR40" i="13" s="1"/>
  <c r="AG148" i="7"/>
  <c r="BR148" i="7" s="1"/>
  <c r="AG56" i="13"/>
  <c r="BR56" i="13" s="1"/>
  <c r="AG89" i="13"/>
  <c r="BR89" i="13" s="1"/>
  <c r="AG144" i="7"/>
  <c r="BR144" i="7" s="1"/>
  <c r="AG7" i="14"/>
  <c r="BR7" i="14" s="1"/>
  <c r="AG60" i="13"/>
  <c r="BR60" i="13" s="1"/>
  <c r="AG61" i="13"/>
  <c r="BR61" i="13" s="1"/>
  <c r="AG9" i="13"/>
  <c r="BR9" i="13" s="1"/>
  <c r="AG10" i="7"/>
  <c r="AG19" i="13"/>
  <c r="BR19" i="13" s="1"/>
  <c r="AG32" i="13"/>
  <c r="BR32" i="13" s="1"/>
  <c r="AG67" i="13"/>
  <c r="BR67" i="13" s="1"/>
  <c r="AG69" i="7"/>
  <c r="BR69" i="7" s="1"/>
  <c r="AG117" i="7"/>
  <c r="BR117" i="7" s="1"/>
  <c r="AG62" i="7"/>
  <c r="BR62" i="7" s="1"/>
  <c r="AG33" i="7"/>
  <c r="AG133" i="7"/>
  <c r="BR133" i="7" s="1"/>
  <c r="AG54" i="13"/>
  <c r="BR54" i="13" s="1"/>
  <c r="AG59" i="6"/>
  <c r="BR59" i="6" s="1"/>
  <c r="AG87" i="7"/>
  <c r="BR87" i="7" s="1"/>
  <c r="AG86" i="7"/>
  <c r="BR86" i="7" s="1"/>
  <c r="AG56" i="14"/>
  <c r="BR56" i="14" s="1"/>
  <c r="AG44" i="7"/>
  <c r="AG9" i="14"/>
  <c r="BR9" i="14" s="1"/>
  <c r="AG90" i="7"/>
  <c r="BR90" i="7" s="1"/>
  <c r="AG39" i="7"/>
  <c r="AG154" i="7"/>
  <c r="BR154" i="7" s="1"/>
  <c r="AG70" i="7"/>
  <c r="BR70" i="7" s="1"/>
  <c r="AG47" i="13"/>
  <c r="BR47" i="13" s="1"/>
  <c r="AG20" i="7"/>
  <c r="AG12" i="13"/>
  <c r="BR12" i="13" s="1"/>
  <c r="AG38" i="13"/>
  <c r="BR38" i="13" s="1"/>
  <c r="AG10" i="13"/>
  <c r="BR10" i="13" s="1"/>
  <c r="AG27" i="7"/>
  <c r="AG102" i="7"/>
  <c r="BR102" i="7" s="1"/>
  <c r="AG112" i="7"/>
  <c r="BR112" i="7" s="1"/>
  <c r="AG37" i="7"/>
  <c r="AG92" i="13"/>
  <c r="BR92" i="13" s="1"/>
  <c r="AG121" i="7"/>
  <c r="BR121" i="7" s="1"/>
  <c r="AG4" i="7"/>
  <c r="AG11" i="13"/>
  <c r="BR11" i="13" s="1"/>
  <c r="AG70" i="13"/>
  <c r="BR70" i="13" s="1"/>
  <c r="AG72" i="13"/>
  <c r="BR72" i="13" s="1"/>
  <c r="AG98" i="7"/>
  <c r="BR98" i="7" s="1"/>
  <c r="AG127" i="7"/>
  <c r="BR127" i="7" s="1"/>
  <c r="AG59" i="7"/>
  <c r="BR59" i="7" s="1"/>
  <c r="AG92" i="7"/>
  <c r="BR92" i="7" s="1"/>
  <c r="AG18" i="6"/>
  <c r="BR18" i="6" s="1"/>
  <c r="AG139" i="7"/>
  <c r="BR139" i="7" s="1"/>
  <c r="AG73" i="7"/>
  <c r="BR73" i="7" s="1"/>
  <c r="AG58" i="13"/>
  <c r="BR58" i="13" s="1"/>
  <c r="AG82" i="7"/>
  <c r="BR82" i="7" s="1"/>
  <c r="AG79" i="7"/>
  <c r="BR79" i="7" s="1"/>
  <c r="AG39" i="13"/>
  <c r="BR39" i="13" s="1"/>
  <c r="AG95" i="7"/>
  <c r="BR95" i="7" s="1"/>
  <c r="AG85" i="7"/>
  <c r="BR85" i="7" s="1"/>
  <c r="AG130" i="7"/>
  <c r="BR130" i="7" s="1"/>
  <c r="AG44" i="13"/>
  <c r="AG57" i="13"/>
  <c r="BR57" i="13" s="1"/>
  <c r="AG37" i="13"/>
  <c r="BR37" i="13" s="1"/>
  <c r="AG88" i="13"/>
  <c r="BR88" i="13" s="1"/>
  <c r="AG124" i="7"/>
  <c r="BR124" i="7" s="1"/>
  <c r="AG122" i="7"/>
  <c r="BR122" i="7" s="1"/>
  <c r="AG126" i="7"/>
  <c r="BR126" i="7" s="1"/>
  <c r="AG46" i="13"/>
  <c r="BR46" i="13" s="1"/>
  <c r="AG13" i="13"/>
  <c r="BR13" i="13" s="1"/>
  <c r="AG99" i="7"/>
  <c r="BR99" i="7" s="1"/>
  <c r="AG153" i="7"/>
  <c r="BR153" i="7" s="1"/>
  <c r="AG50" i="13"/>
  <c r="BR50" i="13" s="1"/>
  <c r="AG87" i="13"/>
  <c r="BR87" i="13" s="1"/>
  <c r="AG48" i="7"/>
  <c r="BR48" i="7" s="1"/>
  <c r="AG31" i="14"/>
  <c r="BR31" i="14" s="1"/>
  <c r="AG155" i="7"/>
  <c r="BR155" i="7" s="1"/>
  <c r="AG22" i="7"/>
  <c r="AG45" i="13"/>
  <c r="BR45" i="13" s="1"/>
  <c r="AG114" i="7"/>
  <c r="BR114" i="7" s="1"/>
  <c r="AG11" i="7"/>
  <c r="AG135" i="7"/>
  <c r="BR135" i="7" s="1"/>
  <c r="AG16" i="13"/>
  <c r="BR16" i="13" s="1"/>
  <c r="AG67" i="7"/>
  <c r="BR67" i="7" s="1"/>
  <c r="AG5" i="7"/>
  <c r="AG119" i="7"/>
  <c r="BR119" i="7" s="1"/>
  <c r="BU152" i="7"/>
  <c r="BW152" i="7" s="1"/>
  <c r="BY152" i="7" s="1"/>
  <c r="AG35" i="13"/>
  <c r="BR35" i="13" s="1"/>
  <c r="AG19" i="7"/>
  <c r="BR19" i="7" s="1"/>
  <c r="AG51" i="7"/>
  <c r="BR51" i="7" s="1"/>
  <c r="AG52" i="7"/>
  <c r="BR52" i="7" s="1"/>
  <c r="AG81" i="13"/>
  <c r="BR81" i="13" s="1"/>
  <c r="AG6" i="14"/>
  <c r="AG104" i="7"/>
  <c r="BR104" i="7" s="1"/>
  <c r="AG60" i="6"/>
  <c r="BR60" i="6" s="1"/>
  <c r="AL53" i="14"/>
  <c r="AN53" i="14" s="1"/>
  <c r="AO53" i="14" s="1"/>
  <c r="AV53" i="14" s="1"/>
  <c r="AX53" i="14" s="1"/>
  <c r="AG4" i="6"/>
  <c r="BR4" i="6" s="1"/>
  <c r="BU28" i="6"/>
  <c r="BW28" i="6" s="1"/>
  <c r="BY28" i="6" s="1"/>
  <c r="BU52" i="6"/>
  <c r="BW52" i="6" s="1"/>
  <c r="BY52" i="6" s="1"/>
  <c r="BZ52" i="6" s="1"/>
  <c r="BZ32" i="6"/>
  <c r="BU62" i="6"/>
  <c r="BW62" i="6" s="1"/>
  <c r="BY62" i="6" s="1"/>
  <c r="BZ62" i="6" s="1"/>
  <c r="BU44" i="6"/>
  <c r="BW44" i="6" s="1"/>
  <c r="BY44" i="6" s="1"/>
  <c r="AO58" i="14"/>
  <c r="AV58" i="14" s="1"/>
  <c r="AX58" i="14" s="1"/>
  <c r="AO34" i="14"/>
  <c r="AV34" i="14" s="1"/>
  <c r="AX34" i="14" s="1"/>
  <c r="BU27" i="6"/>
  <c r="BW27" i="6" s="1"/>
  <c r="BY27" i="6" s="1"/>
  <c r="BZ27" i="6" s="1"/>
  <c r="CA27" i="6" s="1"/>
  <c r="BU55" i="6"/>
  <c r="BW55" i="6" s="1"/>
  <c r="BY55" i="6" s="1"/>
  <c r="AO30" i="14"/>
  <c r="AV30" i="14" s="1"/>
  <c r="AX30" i="14" s="1"/>
  <c r="AO11" i="14"/>
  <c r="AV11" i="14" s="1"/>
  <c r="AX11" i="14" s="1"/>
  <c r="AO55" i="14"/>
  <c r="AV55" i="14" s="1"/>
  <c r="AX55" i="14" s="1"/>
  <c r="AL5" i="14"/>
  <c r="AN5" i="14" s="1"/>
  <c r="AO28" i="14"/>
  <c r="AV28" i="14" s="1"/>
  <c r="AX28" i="14" s="1"/>
  <c r="AO30" i="6"/>
  <c r="AV30" i="6" s="1"/>
  <c r="AX30" i="6" s="1"/>
  <c r="AG15" i="6"/>
  <c r="AG14" i="6"/>
  <c r="AG23" i="6"/>
  <c r="AG41" i="6"/>
  <c r="BR41" i="6" s="1"/>
  <c r="AG61" i="6"/>
  <c r="BR61" i="6" s="1"/>
  <c r="AG38" i="6"/>
  <c r="BR38" i="6" s="1"/>
  <c r="AG58" i="6"/>
  <c r="BR58" i="6" s="1"/>
  <c r="AO6" i="14"/>
  <c r="AV6" i="14" s="1"/>
  <c r="AX6" i="14" s="1"/>
  <c r="AO8" i="14"/>
  <c r="AV8" i="14" s="1"/>
  <c r="AX8" i="14" s="1"/>
  <c r="AO50" i="14"/>
  <c r="AV50" i="14" s="1"/>
  <c r="AX50" i="14" s="1"/>
  <c r="AO33" i="14"/>
  <c r="AV33" i="14" s="1"/>
  <c r="AX33" i="14" s="1"/>
  <c r="AO7" i="14"/>
  <c r="AV7" i="14" s="1"/>
  <c r="AX7" i="14" s="1"/>
  <c r="AO27" i="14"/>
  <c r="AV27" i="14" s="1"/>
  <c r="AX27" i="14" s="1"/>
  <c r="AO56" i="14"/>
  <c r="AV56" i="14" s="1"/>
  <c r="AX56" i="14" s="1"/>
  <c r="AO51" i="14"/>
  <c r="AV51" i="14" s="1"/>
  <c r="AX51" i="14" s="1"/>
  <c r="BA51" i="14" s="1"/>
  <c r="BC51" i="14" s="1"/>
  <c r="BE51" i="14" s="1"/>
  <c r="AO10" i="14"/>
  <c r="AV10" i="14" s="1"/>
  <c r="AX10" i="14" s="1"/>
  <c r="AO35" i="14"/>
  <c r="AV35" i="14" s="1"/>
  <c r="AX35" i="14" s="1"/>
  <c r="AO31" i="14"/>
  <c r="AV31" i="14" s="1"/>
  <c r="AX31" i="14" s="1"/>
  <c r="AO57" i="14"/>
  <c r="AV57" i="14" s="1"/>
  <c r="AX57" i="14" s="1"/>
  <c r="BA57" i="14" s="1"/>
  <c r="BC57" i="14" s="1"/>
  <c r="AO12" i="14"/>
  <c r="AV12" i="14" s="1"/>
  <c r="AX12" i="14" s="1"/>
  <c r="BU26" i="14" l="1"/>
  <c r="BW26" i="14" s="1"/>
  <c r="BY26" i="14" s="1"/>
  <c r="BZ26" i="14" s="1"/>
  <c r="CA26" i="14" s="1"/>
  <c r="BU48" i="14"/>
  <c r="BW48" i="14" s="1"/>
  <c r="BY48" i="14" s="1"/>
  <c r="BZ48" i="14" s="1"/>
  <c r="CA48" i="14" s="1"/>
  <c r="BU118" i="7"/>
  <c r="BW118" i="7" s="1"/>
  <c r="BY118" i="7" s="1"/>
  <c r="BZ118" i="7" s="1"/>
  <c r="CA118" i="7" s="1"/>
  <c r="BR21" i="6"/>
  <c r="BU21" i="6" s="1"/>
  <c r="BW21" i="6" s="1"/>
  <c r="BY21" i="6" s="1"/>
  <c r="BZ21" i="6" s="1"/>
  <c r="CA21" i="6" s="1"/>
  <c r="BE21" i="6"/>
  <c r="BF21" i="6" s="1"/>
  <c r="BG21" i="6" s="1"/>
  <c r="BU17" i="6"/>
  <c r="BW17" i="6" s="1"/>
  <c r="BY17" i="6" s="1"/>
  <c r="BZ17" i="6" s="1"/>
  <c r="CA17" i="6" s="1"/>
  <c r="BU9" i="6"/>
  <c r="BW9" i="6" s="1"/>
  <c r="BY9" i="6" s="1"/>
  <c r="BZ9" i="6" s="1"/>
  <c r="CA9" i="6" s="1"/>
  <c r="BE40" i="6"/>
  <c r="BF40" i="6" s="1"/>
  <c r="BG40" i="6" s="1"/>
  <c r="BE9" i="6"/>
  <c r="BF9" i="6" s="1"/>
  <c r="BG9" i="6" s="1"/>
  <c r="BE57" i="14"/>
  <c r="BF57" i="14" s="1"/>
  <c r="BG57" i="14" s="1"/>
  <c r="BZ31" i="7"/>
  <c r="CA31" i="7" s="1"/>
  <c r="BR53" i="6"/>
  <c r="BU53" i="6" s="1"/>
  <c r="BW53" i="6" s="1"/>
  <c r="BY53" i="6" s="1"/>
  <c r="BZ53" i="6" s="1"/>
  <c r="CA53" i="6" s="1"/>
  <c r="BR35" i="6"/>
  <c r="BU35" i="6" s="1"/>
  <c r="BW35" i="6" s="1"/>
  <c r="BY35" i="6" s="1"/>
  <c r="BZ35" i="6" s="1"/>
  <c r="CA35" i="6" s="1"/>
  <c r="BR41" i="7"/>
  <c r="BU41" i="7" s="1"/>
  <c r="BW41" i="7" s="1"/>
  <c r="BY41" i="7" s="1"/>
  <c r="BU77" i="13"/>
  <c r="BW77" i="13" s="1"/>
  <c r="BY77" i="13" s="1"/>
  <c r="BZ77" i="13" s="1"/>
  <c r="CA77" i="13" s="1"/>
  <c r="BR109" i="7"/>
  <c r="BU109" i="7" s="1"/>
  <c r="BW109" i="7" s="1"/>
  <c r="BY109" i="7" s="1"/>
  <c r="BR129" i="7"/>
  <c r="BU129" i="7" s="1"/>
  <c r="BW129" i="7" s="1"/>
  <c r="BY129" i="7" s="1"/>
  <c r="BR136" i="7"/>
  <c r="BU136" i="7" s="1"/>
  <c r="BW136" i="7" s="1"/>
  <c r="BY136" i="7" s="1"/>
  <c r="BU85" i="13"/>
  <c r="BW85" i="13" s="1"/>
  <c r="BY85" i="13" s="1"/>
  <c r="BZ85" i="13" s="1"/>
  <c r="CA85" i="13" s="1"/>
  <c r="BR57" i="6"/>
  <c r="BU57" i="6" s="1"/>
  <c r="BW57" i="6" s="1"/>
  <c r="BY57" i="6" s="1"/>
  <c r="BR35" i="14"/>
  <c r="BU35" i="14" s="1"/>
  <c r="BW35" i="14" s="1"/>
  <c r="BY35" i="14" s="1"/>
  <c r="BU65" i="13"/>
  <c r="BW65" i="13" s="1"/>
  <c r="BY65" i="13" s="1"/>
  <c r="BZ65" i="13" s="1"/>
  <c r="CA65" i="13" s="1"/>
  <c r="BR26" i="7"/>
  <c r="BU26" i="7" s="1"/>
  <c r="BW26" i="7" s="1"/>
  <c r="BY26" i="7" s="1"/>
  <c r="BR93" i="7"/>
  <c r="BU93" i="7" s="1"/>
  <c r="BW93" i="7" s="1"/>
  <c r="BY93" i="7" s="1"/>
  <c r="BR40" i="6"/>
  <c r="BU40" i="6" s="1"/>
  <c r="BW40" i="6" s="1"/>
  <c r="BY40" i="6" s="1"/>
  <c r="BR11" i="6"/>
  <c r="BU11" i="6" s="1"/>
  <c r="BW11" i="6" s="1"/>
  <c r="BY11" i="6" s="1"/>
  <c r="BZ11" i="6" s="1"/>
  <c r="CA11" i="6" s="1"/>
  <c r="BR113" i="7"/>
  <c r="BU113" i="7" s="1"/>
  <c r="BW113" i="7" s="1"/>
  <c r="BY113" i="7" s="1"/>
  <c r="BU10" i="6"/>
  <c r="BW10" i="6" s="1"/>
  <c r="BY10" i="6" s="1"/>
  <c r="BR30" i="6"/>
  <c r="BU30" i="6" s="1"/>
  <c r="BW30" i="6" s="1"/>
  <c r="BY30" i="6" s="1"/>
  <c r="BU25" i="13"/>
  <c r="BW25" i="13" s="1"/>
  <c r="BY25" i="13" s="1"/>
  <c r="BZ25" i="13" s="1"/>
  <c r="CA25" i="13" s="1"/>
  <c r="BR158" i="7"/>
  <c r="BU158" i="7" s="1"/>
  <c r="BW158" i="7" s="1"/>
  <c r="BY158" i="7" s="1"/>
  <c r="BE10" i="6"/>
  <c r="BF10" i="6" s="1"/>
  <c r="BG10" i="6" s="1"/>
  <c r="BZ128" i="7"/>
  <c r="CA128" i="7" s="1"/>
  <c r="BU49" i="13"/>
  <c r="BW49" i="13" s="1"/>
  <c r="BY49" i="13" s="1"/>
  <c r="BZ49" i="13" s="1"/>
  <c r="CA49" i="13" s="1"/>
  <c r="BR141" i="7"/>
  <c r="BU141" i="7" s="1"/>
  <c r="BW141" i="7" s="1"/>
  <c r="BY141" i="7" s="1"/>
  <c r="BR108" i="7"/>
  <c r="BU108" i="7" s="1"/>
  <c r="BW108" i="7" s="1"/>
  <c r="BY108" i="7" s="1"/>
  <c r="BR58" i="7"/>
  <c r="BU58" i="7" s="1"/>
  <c r="BW58" i="7" s="1"/>
  <c r="BY58" i="7" s="1"/>
  <c r="BR83" i="7"/>
  <c r="BU83" i="7" s="1"/>
  <c r="BW83" i="7" s="1"/>
  <c r="BY83" i="7" s="1"/>
  <c r="BU84" i="13"/>
  <c r="BW84" i="13" s="1"/>
  <c r="BY84" i="13" s="1"/>
  <c r="BZ84" i="13" s="1"/>
  <c r="CA84" i="13" s="1"/>
  <c r="BZ49" i="6"/>
  <c r="CA49" i="6" s="1"/>
  <c r="BR56" i="7"/>
  <c r="BU56" i="7" s="1"/>
  <c r="BW56" i="7" s="1"/>
  <c r="BY56" i="7" s="1"/>
  <c r="BR125" i="7"/>
  <c r="BU125" i="7" s="1"/>
  <c r="BW125" i="7" s="1"/>
  <c r="BY125" i="7" s="1"/>
  <c r="BR63" i="6"/>
  <c r="BU63" i="6" s="1"/>
  <c r="BW63" i="6" s="1"/>
  <c r="BY63" i="6" s="1"/>
  <c r="BZ63" i="6" s="1"/>
  <c r="CA63" i="6" s="1"/>
  <c r="BR36" i="7"/>
  <c r="BU36" i="7" s="1"/>
  <c r="BW36" i="7" s="1"/>
  <c r="BY36" i="7" s="1"/>
  <c r="BZ36" i="7" s="1"/>
  <c r="CA36" i="7" s="1"/>
  <c r="BR94" i="7"/>
  <c r="BU94" i="7" s="1"/>
  <c r="BW94" i="7" s="1"/>
  <c r="BY94" i="7" s="1"/>
  <c r="BR48" i="6"/>
  <c r="BU48" i="6" s="1"/>
  <c r="BW48" i="6" s="1"/>
  <c r="BY48" i="6" s="1"/>
  <c r="BR65" i="7"/>
  <c r="BU65" i="7" s="1"/>
  <c r="BW65" i="7" s="1"/>
  <c r="BY65" i="7" s="1"/>
  <c r="BR137" i="7"/>
  <c r="BU137" i="7" s="1"/>
  <c r="BW137" i="7" s="1"/>
  <c r="BY137" i="7" s="1"/>
  <c r="BR132" i="7"/>
  <c r="BU132" i="7" s="1"/>
  <c r="BW132" i="7" s="1"/>
  <c r="BY132" i="7" s="1"/>
  <c r="BR120" i="7"/>
  <c r="BU120" i="7" s="1"/>
  <c r="BW120" i="7" s="1"/>
  <c r="BY120" i="7" s="1"/>
  <c r="BZ15" i="7"/>
  <c r="CA15" i="7" s="1"/>
  <c r="BZ54" i="6"/>
  <c r="CA54" i="6" s="1"/>
  <c r="BZ134" i="7"/>
  <c r="CA134" i="7" s="1"/>
  <c r="BZ91" i="7"/>
  <c r="CA91" i="7" s="1"/>
  <c r="BZ147" i="7"/>
  <c r="CA147" i="7" s="1"/>
  <c r="BZ51" i="14"/>
  <c r="CA51" i="14" s="1"/>
  <c r="BR107" i="7"/>
  <c r="BU107" i="7" s="1"/>
  <c r="BW107" i="7" s="1"/>
  <c r="BY107" i="7" s="1"/>
  <c r="BR101" i="7"/>
  <c r="BU101" i="7" s="1"/>
  <c r="BW101" i="7" s="1"/>
  <c r="BY101" i="7" s="1"/>
  <c r="BU10" i="14"/>
  <c r="BW10" i="14" s="1"/>
  <c r="BY10" i="14" s="1"/>
  <c r="BU63" i="13"/>
  <c r="BW63" i="13" s="1"/>
  <c r="BY63" i="13" s="1"/>
  <c r="BZ63" i="13" s="1"/>
  <c r="CA63" i="13" s="1"/>
  <c r="BU76" i="13"/>
  <c r="BW76" i="13" s="1"/>
  <c r="BY76" i="13" s="1"/>
  <c r="BZ76" i="13" s="1"/>
  <c r="CA76" i="13" s="1"/>
  <c r="BU15" i="13"/>
  <c r="BW15" i="13" s="1"/>
  <c r="BY15" i="13" s="1"/>
  <c r="BZ15" i="13" s="1"/>
  <c r="CA15" i="13" s="1"/>
  <c r="BU8" i="13"/>
  <c r="BW8" i="13" s="1"/>
  <c r="BY8" i="13" s="1"/>
  <c r="BZ8" i="13" s="1"/>
  <c r="CA8" i="13" s="1"/>
  <c r="BU27" i="13"/>
  <c r="BW27" i="13" s="1"/>
  <c r="BY27" i="13" s="1"/>
  <c r="BZ27" i="13" s="1"/>
  <c r="CA27" i="13" s="1"/>
  <c r="BU23" i="7"/>
  <c r="BW23" i="7" s="1"/>
  <c r="BY23" i="7" s="1"/>
  <c r="BR72" i="7"/>
  <c r="BU72" i="7" s="1"/>
  <c r="BW72" i="7" s="1"/>
  <c r="BY72" i="7" s="1"/>
  <c r="BR58" i="14"/>
  <c r="BU58" i="14" s="1"/>
  <c r="BW58" i="14" s="1"/>
  <c r="BY58" i="14" s="1"/>
  <c r="BR80" i="7"/>
  <c r="BU80" i="7" s="1"/>
  <c r="BW80" i="7" s="1"/>
  <c r="BY80" i="7" s="1"/>
  <c r="BR50" i="6"/>
  <c r="BU50" i="6" s="1"/>
  <c r="BW50" i="6" s="1"/>
  <c r="BY50" i="6" s="1"/>
  <c r="BE50" i="6"/>
  <c r="BF50" i="6" s="1"/>
  <c r="BG50" i="6" s="1"/>
  <c r="BR88" i="7"/>
  <c r="BU88" i="7" s="1"/>
  <c r="BW88" i="7" s="1"/>
  <c r="BY88" i="7" s="1"/>
  <c r="BU52" i="14"/>
  <c r="BW52" i="14" s="1"/>
  <c r="BY52" i="14" s="1"/>
  <c r="BU7" i="6"/>
  <c r="BW7" i="6" s="1"/>
  <c r="BY7" i="6" s="1"/>
  <c r="BZ7" i="6" s="1"/>
  <c r="CA7" i="6" s="1"/>
  <c r="BU47" i="6"/>
  <c r="BW47" i="6" s="1"/>
  <c r="BY47" i="6" s="1"/>
  <c r="BZ47" i="6" s="1"/>
  <c r="CA47" i="6" s="1"/>
  <c r="BU62" i="13"/>
  <c r="BW62" i="13" s="1"/>
  <c r="BY62" i="13" s="1"/>
  <c r="BZ62" i="13" s="1"/>
  <c r="CA62" i="13" s="1"/>
  <c r="BU48" i="13"/>
  <c r="BW48" i="13" s="1"/>
  <c r="BY48" i="13" s="1"/>
  <c r="BZ48" i="13" s="1"/>
  <c r="CA48" i="13" s="1"/>
  <c r="BU30" i="7"/>
  <c r="BW30" i="7" s="1"/>
  <c r="BY30" i="7" s="1"/>
  <c r="BR8" i="7"/>
  <c r="BU8" i="7" s="1"/>
  <c r="BW8" i="7" s="1"/>
  <c r="BY8" i="7" s="1"/>
  <c r="BR18" i="14"/>
  <c r="BU18" i="14" s="1"/>
  <c r="BW18" i="14" s="1"/>
  <c r="BY18" i="14" s="1"/>
  <c r="BR22" i="14"/>
  <c r="BU22" i="14" s="1"/>
  <c r="BW22" i="14" s="1"/>
  <c r="BY22" i="14" s="1"/>
  <c r="BZ22" i="14" s="1"/>
  <c r="CA22" i="14" s="1"/>
  <c r="BR42" i="14"/>
  <c r="BU42" i="14" s="1"/>
  <c r="BW42" i="14" s="1"/>
  <c r="BY42" i="14" s="1"/>
  <c r="BZ42" i="14" s="1"/>
  <c r="CA42" i="14" s="1"/>
  <c r="BR41" i="14"/>
  <c r="BU41" i="14" s="1"/>
  <c r="BW41" i="14" s="1"/>
  <c r="BY41" i="14" s="1"/>
  <c r="BR67" i="14"/>
  <c r="BU67" i="14" s="1"/>
  <c r="BW67" i="14" s="1"/>
  <c r="BY67" i="14" s="1"/>
  <c r="BR5" i="7"/>
  <c r="BU5" i="7" s="1"/>
  <c r="BW5" i="7" s="1"/>
  <c r="BY5" i="7" s="1"/>
  <c r="BR17" i="7"/>
  <c r="BU17" i="7" s="1"/>
  <c r="BW17" i="7" s="1"/>
  <c r="BY17" i="7" s="1"/>
  <c r="BR39" i="7"/>
  <c r="BU39" i="7" s="1"/>
  <c r="BW39" i="7" s="1"/>
  <c r="BY39" i="7" s="1"/>
  <c r="BR33" i="7"/>
  <c r="BU33" i="7" s="1"/>
  <c r="BW33" i="7" s="1"/>
  <c r="BY33" i="7" s="1"/>
  <c r="BR31" i="13"/>
  <c r="BU31" i="13" s="1"/>
  <c r="BW31" i="13" s="1"/>
  <c r="BY31" i="13" s="1"/>
  <c r="BZ31" i="13" s="1"/>
  <c r="CA31" i="13" s="1"/>
  <c r="BR24" i="7"/>
  <c r="BU24" i="7" s="1"/>
  <c r="BW24" i="7" s="1"/>
  <c r="BY24" i="7" s="1"/>
  <c r="BR40" i="7"/>
  <c r="BU40" i="7" s="1"/>
  <c r="BW40" i="7" s="1"/>
  <c r="BY40" i="7" s="1"/>
  <c r="BR23" i="14"/>
  <c r="BU23" i="14" s="1"/>
  <c r="BW23" i="14" s="1"/>
  <c r="BY23" i="14" s="1"/>
  <c r="BZ23" i="14" s="1"/>
  <c r="CA23" i="14" s="1"/>
  <c r="BR46" i="14"/>
  <c r="BU46" i="14" s="1"/>
  <c r="BW46" i="14" s="1"/>
  <c r="BY46" i="14" s="1"/>
  <c r="BZ46" i="14" s="1"/>
  <c r="CA46" i="14" s="1"/>
  <c r="BR47" i="14"/>
  <c r="BU47" i="14" s="1"/>
  <c r="BW47" i="14" s="1"/>
  <c r="BY47" i="14" s="1"/>
  <c r="BZ47" i="14" s="1"/>
  <c r="CA47" i="14" s="1"/>
  <c r="BR63" i="14"/>
  <c r="BU63" i="14" s="1"/>
  <c r="BW63" i="14" s="1"/>
  <c r="BY63" i="14" s="1"/>
  <c r="BR65" i="14"/>
  <c r="BU65" i="14" s="1"/>
  <c r="BW65" i="14" s="1"/>
  <c r="BY65" i="14" s="1"/>
  <c r="BZ65" i="14" s="1"/>
  <c r="CA65" i="14" s="1"/>
  <c r="BR53" i="7"/>
  <c r="BU53" i="7" s="1"/>
  <c r="BW53" i="7" s="1"/>
  <c r="BY53" i="7" s="1"/>
  <c r="BR68" i="7"/>
  <c r="BU68" i="7" s="1"/>
  <c r="BW68" i="7" s="1"/>
  <c r="BY68" i="7" s="1"/>
  <c r="BR33" i="13"/>
  <c r="BU33" i="13" s="1"/>
  <c r="BW33" i="13" s="1"/>
  <c r="BY33" i="13" s="1"/>
  <c r="BZ33" i="13" s="1"/>
  <c r="CA33" i="13" s="1"/>
  <c r="BR22" i="7"/>
  <c r="BU22" i="7" s="1"/>
  <c r="BW22" i="7" s="1"/>
  <c r="BY22" i="7" s="1"/>
  <c r="BR37" i="7"/>
  <c r="BU37" i="7" s="1"/>
  <c r="BW37" i="7" s="1"/>
  <c r="BY37" i="7" s="1"/>
  <c r="BR35" i="7"/>
  <c r="BU35" i="7" s="1"/>
  <c r="BW35" i="7" s="1"/>
  <c r="BY35" i="7" s="1"/>
  <c r="BR55" i="13"/>
  <c r="BU55" i="13" s="1"/>
  <c r="BW55" i="13" s="1"/>
  <c r="BY55" i="13" s="1"/>
  <c r="BZ55" i="13" s="1"/>
  <c r="CA55" i="13" s="1"/>
  <c r="BR6" i="14"/>
  <c r="BU6" i="14" s="1"/>
  <c r="BW6" i="14" s="1"/>
  <c r="BY6" i="14" s="1"/>
  <c r="BZ6" i="14" s="1"/>
  <c r="CA6" i="14" s="1"/>
  <c r="BR44" i="13"/>
  <c r="BU44" i="13" s="1"/>
  <c r="BW44" i="13" s="1"/>
  <c r="BY44" i="13" s="1"/>
  <c r="BZ44" i="13" s="1"/>
  <c r="CA44" i="13" s="1"/>
  <c r="BR27" i="7"/>
  <c r="BU27" i="7" s="1"/>
  <c r="BW27" i="7" s="1"/>
  <c r="BY27" i="7" s="1"/>
  <c r="BR21" i="7"/>
  <c r="BU21" i="7" s="1"/>
  <c r="BW21" i="7" s="1"/>
  <c r="BY21" i="7" s="1"/>
  <c r="BR21" i="14"/>
  <c r="BU21" i="14" s="1"/>
  <c r="BW21" i="14" s="1"/>
  <c r="BY21" i="14" s="1"/>
  <c r="BZ21" i="14" s="1"/>
  <c r="CA21" i="14" s="1"/>
  <c r="BR16" i="14"/>
  <c r="BU16" i="14" s="1"/>
  <c r="BW16" i="14" s="1"/>
  <c r="BY16" i="14" s="1"/>
  <c r="BZ16" i="14" s="1"/>
  <c r="CA16" i="14" s="1"/>
  <c r="BR69" i="14"/>
  <c r="BU69" i="14" s="1"/>
  <c r="BW69" i="14" s="1"/>
  <c r="BY69" i="14" s="1"/>
  <c r="BR59" i="13"/>
  <c r="BU59" i="13" s="1"/>
  <c r="BW59" i="13" s="1"/>
  <c r="BY59" i="13" s="1"/>
  <c r="BZ59" i="13" s="1"/>
  <c r="CA59" i="13" s="1"/>
  <c r="BR4" i="14"/>
  <c r="BU4" i="14" s="1"/>
  <c r="BW4" i="14" s="1"/>
  <c r="BY4" i="14" s="1"/>
  <c r="BR143" i="7"/>
  <c r="BU143" i="7" s="1"/>
  <c r="BW143" i="7" s="1"/>
  <c r="BY143" i="7" s="1"/>
  <c r="BR20" i="14"/>
  <c r="BU20" i="14" s="1"/>
  <c r="BW20" i="14" s="1"/>
  <c r="BY20" i="14" s="1"/>
  <c r="BR14" i="7"/>
  <c r="BU14" i="7" s="1"/>
  <c r="BW14" i="7" s="1"/>
  <c r="BY14" i="7" s="1"/>
  <c r="BR4" i="13"/>
  <c r="BU4" i="13" s="1"/>
  <c r="BW4" i="13" s="1"/>
  <c r="BY4" i="13" s="1"/>
  <c r="BZ4" i="13" s="1"/>
  <c r="CA4" i="13" s="1"/>
  <c r="BR11" i="7"/>
  <c r="BU11" i="7" s="1"/>
  <c r="BW11" i="7" s="1"/>
  <c r="BY11" i="7" s="1"/>
  <c r="BR4" i="7"/>
  <c r="BU4" i="7" s="1"/>
  <c r="BW4" i="7" s="1"/>
  <c r="BY4" i="7" s="1"/>
  <c r="BR20" i="7"/>
  <c r="BU20" i="7" s="1"/>
  <c r="BW20" i="7" s="1"/>
  <c r="BY20" i="7" s="1"/>
  <c r="BR44" i="7"/>
  <c r="BU44" i="7" s="1"/>
  <c r="BW44" i="7" s="1"/>
  <c r="BY44" i="7" s="1"/>
  <c r="BR10" i="7"/>
  <c r="BU10" i="7" s="1"/>
  <c r="BW10" i="7" s="1"/>
  <c r="BY10" i="7" s="1"/>
  <c r="BR12" i="14"/>
  <c r="BU12" i="14" s="1"/>
  <c r="BW12" i="14" s="1"/>
  <c r="BY12" i="14" s="1"/>
  <c r="BR53" i="14"/>
  <c r="BU53" i="14" s="1"/>
  <c r="BW53" i="14" s="1"/>
  <c r="BY53" i="14" s="1"/>
  <c r="BZ53" i="14" s="1"/>
  <c r="CA53" i="14" s="1"/>
  <c r="BR14" i="14"/>
  <c r="BU14" i="14" s="1"/>
  <c r="BW14" i="14" s="1"/>
  <c r="BY14" i="14" s="1"/>
  <c r="BZ14" i="14" s="1"/>
  <c r="CA14" i="14" s="1"/>
  <c r="BR12" i="7"/>
  <c r="BU12" i="7" s="1"/>
  <c r="BW12" i="7" s="1"/>
  <c r="BY12" i="7" s="1"/>
  <c r="BR24" i="14"/>
  <c r="BU24" i="14" s="1"/>
  <c r="BW24" i="14" s="1"/>
  <c r="BY24" i="14" s="1"/>
  <c r="BR62" i="14"/>
  <c r="BU62" i="14" s="1"/>
  <c r="BW62" i="14" s="1"/>
  <c r="BY62" i="14" s="1"/>
  <c r="BZ62" i="14" s="1"/>
  <c r="CA62" i="14" s="1"/>
  <c r="BR70" i="14"/>
  <c r="BU70" i="14" s="1"/>
  <c r="BW70" i="14" s="1"/>
  <c r="BY70" i="14" s="1"/>
  <c r="BZ70" i="14" s="1"/>
  <c r="CA70" i="14" s="1"/>
  <c r="BR39" i="14"/>
  <c r="BU39" i="14" s="1"/>
  <c r="BW39" i="14" s="1"/>
  <c r="BY39" i="14" s="1"/>
  <c r="BZ39" i="14" s="1"/>
  <c r="CA39" i="14" s="1"/>
  <c r="BR45" i="14"/>
  <c r="BU45" i="14" s="1"/>
  <c r="BW45" i="14" s="1"/>
  <c r="BY45" i="14" s="1"/>
  <c r="BR66" i="14"/>
  <c r="BU66" i="14" s="1"/>
  <c r="BW66" i="14" s="1"/>
  <c r="BY66" i="14" s="1"/>
  <c r="BZ66" i="14" s="1"/>
  <c r="CA66" i="14" s="1"/>
  <c r="BR55" i="7"/>
  <c r="BU55" i="7" s="1"/>
  <c r="BW55" i="7" s="1"/>
  <c r="BY55" i="7" s="1"/>
  <c r="BR38" i="7"/>
  <c r="BU38" i="7" s="1"/>
  <c r="BW38" i="7" s="1"/>
  <c r="BY38" i="7" s="1"/>
  <c r="BU12" i="6"/>
  <c r="BW12" i="6" s="1"/>
  <c r="BY12" i="6" s="1"/>
  <c r="BZ12" i="6" s="1"/>
  <c r="CA12" i="6" s="1"/>
  <c r="BR32" i="7"/>
  <c r="BU32" i="7" s="1"/>
  <c r="BW32" i="7" s="1"/>
  <c r="BY32" i="7" s="1"/>
  <c r="BR115" i="7"/>
  <c r="BU115" i="7" s="1"/>
  <c r="BW115" i="7" s="1"/>
  <c r="BY115" i="7" s="1"/>
  <c r="BR6" i="7"/>
  <c r="BU6" i="7" s="1"/>
  <c r="BW6" i="7" s="1"/>
  <c r="BY6" i="7" s="1"/>
  <c r="BR46" i="7"/>
  <c r="BU46" i="7" s="1"/>
  <c r="BW46" i="7" s="1"/>
  <c r="BY46" i="7" s="1"/>
  <c r="BR9" i="7"/>
  <c r="BU9" i="7" s="1"/>
  <c r="BW9" i="7" s="1"/>
  <c r="BY9" i="7" s="1"/>
  <c r="BU51" i="6"/>
  <c r="BW51" i="6" s="1"/>
  <c r="BY51" i="6" s="1"/>
  <c r="BZ51" i="6" s="1"/>
  <c r="CA51" i="6" s="1"/>
  <c r="BR57" i="14"/>
  <c r="BU57" i="14" s="1"/>
  <c r="BW57" i="14" s="1"/>
  <c r="BY57" i="14" s="1"/>
  <c r="BR42" i="7"/>
  <c r="BU42" i="7" s="1"/>
  <c r="BW42" i="7" s="1"/>
  <c r="BY42" i="7" s="1"/>
  <c r="BR25" i="7"/>
  <c r="BU25" i="7" s="1"/>
  <c r="BW25" i="7" s="1"/>
  <c r="BY25" i="7" s="1"/>
  <c r="BR7" i="7"/>
  <c r="BU7" i="7" s="1"/>
  <c r="BW7" i="7" s="1"/>
  <c r="BY7" i="7" s="1"/>
  <c r="BR84" i="7"/>
  <c r="BU84" i="7" s="1"/>
  <c r="BW84" i="7" s="1"/>
  <c r="BY84" i="7" s="1"/>
  <c r="BR36" i="13"/>
  <c r="BU36" i="13" s="1"/>
  <c r="BW36" i="13" s="1"/>
  <c r="BY36" i="13" s="1"/>
  <c r="BZ36" i="13" s="1"/>
  <c r="CA36" i="13" s="1"/>
  <c r="BR13" i="7"/>
  <c r="BU13" i="7" s="1"/>
  <c r="BW13" i="7" s="1"/>
  <c r="BY13" i="7" s="1"/>
  <c r="BR14" i="6"/>
  <c r="BU14" i="6" s="1"/>
  <c r="BW14" i="6" s="1"/>
  <c r="BY14" i="6" s="1"/>
  <c r="AO23" i="13"/>
  <c r="AV23" i="13" s="1"/>
  <c r="AX23" i="13" s="1"/>
  <c r="BA23" i="13" s="1"/>
  <c r="BC23" i="13" s="1"/>
  <c r="BE23" i="13" s="1"/>
  <c r="BF23" i="13" s="1"/>
  <c r="BG23" i="13" s="1"/>
  <c r="BR20" i="6"/>
  <c r="BU20" i="6" s="1"/>
  <c r="BW20" i="6" s="1"/>
  <c r="BY20" i="6" s="1"/>
  <c r="BR8" i="6"/>
  <c r="BU8" i="6" s="1"/>
  <c r="BW8" i="6" s="1"/>
  <c r="BY8" i="6" s="1"/>
  <c r="BR22" i="6"/>
  <c r="BU22" i="6" s="1"/>
  <c r="BW22" i="6" s="1"/>
  <c r="BY22" i="6" s="1"/>
  <c r="BZ22" i="6" s="1"/>
  <c r="AO20" i="13"/>
  <c r="AV20" i="13" s="1"/>
  <c r="AX20" i="13" s="1"/>
  <c r="BA20" i="13" s="1"/>
  <c r="BC20" i="13" s="1"/>
  <c r="BE20" i="13" s="1"/>
  <c r="BF20" i="13" s="1"/>
  <c r="BG20" i="13" s="1"/>
  <c r="AO61" i="13"/>
  <c r="AV61" i="13" s="1"/>
  <c r="AX61" i="13" s="1"/>
  <c r="BA61" i="13" s="1"/>
  <c r="BC61" i="13" s="1"/>
  <c r="BE61" i="13" s="1"/>
  <c r="BF61" i="13" s="1"/>
  <c r="BG61" i="13" s="1"/>
  <c r="AO24" i="13"/>
  <c r="AV24" i="13" s="1"/>
  <c r="AX24" i="13" s="1"/>
  <c r="BA24" i="13" s="1"/>
  <c r="BC24" i="13" s="1"/>
  <c r="BE24" i="13" s="1"/>
  <c r="BF24" i="13" s="1"/>
  <c r="BG24" i="13" s="1"/>
  <c r="AO53" i="13"/>
  <c r="AV53" i="13" s="1"/>
  <c r="AX53" i="13" s="1"/>
  <c r="BA53" i="13" s="1"/>
  <c r="BC53" i="13" s="1"/>
  <c r="BE53" i="13" s="1"/>
  <c r="BF53" i="13" s="1"/>
  <c r="BG53" i="13" s="1"/>
  <c r="AO47" i="13"/>
  <c r="AV47" i="13" s="1"/>
  <c r="AX47" i="13" s="1"/>
  <c r="BA47" i="13" s="1"/>
  <c r="BC47" i="13" s="1"/>
  <c r="BE47" i="13" s="1"/>
  <c r="BF47" i="13" s="1"/>
  <c r="BG47" i="13" s="1"/>
  <c r="BR39" i="6"/>
  <c r="BU39" i="6" s="1"/>
  <c r="BW39" i="6" s="1"/>
  <c r="BY39" i="6" s="1"/>
  <c r="AO54" i="13"/>
  <c r="AV54" i="13" s="1"/>
  <c r="AX54" i="13" s="1"/>
  <c r="BA54" i="13" s="1"/>
  <c r="BC54" i="13" s="1"/>
  <c r="BE54" i="13" s="1"/>
  <c r="BF54" i="13" s="1"/>
  <c r="BG54" i="13" s="1"/>
  <c r="AO91" i="13"/>
  <c r="AV91" i="13" s="1"/>
  <c r="AX91" i="13" s="1"/>
  <c r="BA91" i="13" s="1"/>
  <c r="BC91" i="13" s="1"/>
  <c r="BE91" i="13" s="1"/>
  <c r="BF91" i="13" s="1"/>
  <c r="BG91" i="13" s="1"/>
  <c r="AO31" i="13"/>
  <c r="AV31" i="13" s="1"/>
  <c r="AX31" i="13" s="1"/>
  <c r="BA31" i="13" s="1"/>
  <c r="BC31" i="13" s="1"/>
  <c r="BE31" i="13" s="1"/>
  <c r="BF31" i="13" s="1"/>
  <c r="BG31" i="13" s="1"/>
  <c r="BR6" i="6"/>
  <c r="BU6" i="6" s="1"/>
  <c r="BW6" i="6" s="1"/>
  <c r="BY6" i="6" s="1"/>
  <c r="BR23" i="6"/>
  <c r="BU23" i="6" s="1"/>
  <c r="BW23" i="6" s="1"/>
  <c r="BY23" i="6" s="1"/>
  <c r="BZ23" i="6" s="1"/>
  <c r="BR15" i="6"/>
  <c r="BU15" i="6" s="1"/>
  <c r="BW15" i="6" s="1"/>
  <c r="BY15" i="6" s="1"/>
  <c r="BR13" i="6"/>
  <c r="BU13" i="6" s="1"/>
  <c r="BW13" i="6" s="1"/>
  <c r="BY13" i="6" s="1"/>
  <c r="BZ13" i="6" s="1"/>
  <c r="CA13" i="6" s="1"/>
  <c r="AO27" i="13"/>
  <c r="AV27" i="13" s="1"/>
  <c r="AX27" i="13" s="1"/>
  <c r="BA27" i="13" s="1"/>
  <c r="BC27" i="13" s="1"/>
  <c r="BE27" i="13" s="1"/>
  <c r="BF27" i="13" s="1"/>
  <c r="BG27" i="13" s="1"/>
  <c r="AO82" i="13"/>
  <c r="AV82" i="13" s="1"/>
  <c r="AX82" i="13" s="1"/>
  <c r="BA82" i="13" s="1"/>
  <c r="BC82" i="13" s="1"/>
  <c r="BE82" i="13" s="1"/>
  <c r="BF82" i="13" s="1"/>
  <c r="BG82" i="13" s="1"/>
  <c r="AO29" i="13"/>
  <c r="AV29" i="13" s="1"/>
  <c r="AX29" i="13" s="1"/>
  <c r="BA29" i="13" s="1"/>
  <c r="BC29" i="13" s="1"/>
  <c r="BE29" i="13" s="1"/>
  <c r="BF29" i="13" s="1"/>
  <c r="BG29" i="13" s="1"/>
  <c r="BR43" i="6"/>
  <c r="BU43" i="6" s="1"/>
  <c r="BW43" i="6" s="1"/>
  <c r="BY43" i="6" s="1"/>
  <c r="BZ43" i="6" s="1"/>
  <c r="CA43" i="6" s="1"/>
  <c r="BR5" i="6"/>
  <c r="BU5" i="6" s="1"/>
  <c r="BW5" i="6" s="1"/>
  <c r="BY5" i="6" s="1"/>
  <c r="BA8" i="6"/>
  <c r="BC8" i="6" s="1"/>
  <c r="BE8" i="6" s="1"/>
  <c r="BF8" i="6" s="1"/>
  <c r="BG8" i="6" s="1"/>
  <c r="BA54" i="6"/>
  <c r="BC54" i="6" s="1"/>
  <c r="BE54" i="6" s="1"/>
  <c r="BA39" i="6"/>
  <c r="BC39" i="6" s="1"/>
  <c r="BE39" i="6" s="1"/>
  <c r="BA5" i="6"/>
  <c r="BC5" i="6" s="1"/>
  <c r="BE5" i="6" s="1"/>
  <c r="BF5" i="6" s="1"/>
  <c r="BG5" i="6" s="1"/>
  <c r="BA47" i="6"/>
  <c r="BC47" i="6" s="1"/>
  <c r="BE47" i="6" s="1"/>
  <c r="BF47" i="6" s="1"/>
  <c r="BG47" i="6" s="1"/>
  <c r="BA43" i="6"/>
  <c r="BC43" i="6" s="1"/>
  <c r="BE43" i="6" s="1"/>
  <c r="BF43" i="6" s="1"/>
  <c r="BG43" i="6" s="1"/>
  <c r="BZ81" i="7"/>
  <c r="CA81" i="7" s="1"/>
  <c r="BZ19" i="6"/>
  <c r="CA19" i="6" s="1"/>
  <c r="BA61" i="14"/>
  <c r="BC61" i="14" s="1"/>
  <c r="BE61" i="14" s="1"/>
  <c r="BF61" i="14" s="1"/>
  <c r="BG61" i="14" s="1"/>
  <c r="AO72" i="14"/>
  <c r="AV72" i="14" s="1"/>
  <c r="AX72" i="14" s="1"/>
  <c r="BA72" i="14" s="1"/>
  <c r="BC72" i="14" s="1"/>
  <c r="BE72" i="14" s="1"/>
  <c r="AO49" i="14"/>
  <c r="AV49" i="14" s="1"/>
  <c r="AX49" i="14" s="1"/>
  <c r="BA49" i="14" s="1"/>
  <c r="BC49" i="14" s="1"/>
  <c r="BE49" i="14" s="1"/>
  <c r="BU149" i="7"/>
  <c r="BW149" i="7" s="1"/>
  <c r="BY149" i="7" s="1"/>
  <c r="BA97" i="7"/>
  <c r="BC97" i="7" s="1"/>
  <c r="BE97" i="7" s="1"/>
  <c r="BF97" i="7" s="1"/>
  <c r="BG97" i="7" s="1"/>
  <c r="AO26" i="14"/>
  <c r="AV26" i="14" s="1"/>
  <c r="AX26" i="14" s="1"/>
  <c r="BA26" i="14" s="1"/>
  <c r="BC26" i="14" s="1"/>
  <c r="BE26" i="14" s="1"/>
  <c r="AX25" i="14"/>
  <c r="BA25" i="14" s="1"/>
  <c r="BC25" i="14" s="1"/>
  <c r="BE25" i="14" s="1"/>
  <c r="BF25" i="14" s="1"/>
  <c r="BG25" i="14" s="1"/>
  <c r="BZ20" i="14"/>
  <c r="CA20" i="14" s="1"/>
  <c r="BU17" i="13"/>
  <c r="BW17" i="13" s="1"/>
  <c r="BY17" i="13" s="1"/>
  <c r="BZ17" i="13" s="1"/>
  <c r="CA17" i="13" s="1"/>
  <c r="BU61" i="14"/>
  <c r="BW61" i="14" s="1"/>
  <c r="BY61" i="14" s="1"/>
  <c r="BZ61" i="14" s="1"/>
  <c r="CA61" i="14" s="1"/>
  <c r="BA52" i="14"/>
  <c r="BC52" i="14" s="1"/>
  <c r="BE52" i="14" s="1"/>
  <c r="BZ63" i="14"/>
  <c r="CA63" i="14" s="1"/>
  <c r="BU74" i="13"/>
  <c r="BW74" i="13" s="1"/>
  <c r="BY74" i="13" s="1"/>
  <c r="BZ74" i="13" s="1"/>
  <c r="CA74" i="13" s="1"/>
  <c r="BA69" i="14"/>
  <c r="BC69" i="14" s="1"/>
  <c r="BE69" i="14" s="1"/>
  <c r="BF69" i="14" s="1"/>
  <c r="BG69" i="14" s="1"/>
  <c r="BU40" i="14"/>
  <c r="BW40" i="14" s="1"/>
  <c r="BY40" i="14" s="1"/>
  <c r="BZ40" i="14" s="1"/>
  <c r="CA40" i="14" s="1"/>
  <c r="BA62" i="14"/>
  <c r="BC62" i="14" s="1"/>
  <c r="BE62" i="14" s="1"/>
  <c r="BZ45" i="14"/>
  <c r="CA45" i="14" s="1"/>
  <c r="BU64" i="14"/>
  <c r="BW64" i="14" s="1"/>
  <c r="BY64" i="14" s="1"/>
  <c r="BZ64" i="14" s="1"/>
  <c r="CA64" i="14" s="1"/>
  <c r="BZ69" i="14"/>
  <c r="CA69" i="14" s="1"/>
  <c r="BU44" i="14"/>
  <c r="BW44" i="14" s="1"/>
  <c r="BY44" i="14" s="1"/>
  <c r="BZ44" i="14" s="1"/>
  <c r="CA44" i="14" s="1"/>
  <c r="BU97" i="7"/>
  <c r="BW97" i="7" s="1"/>
  <c r="BY97" i="7" s="1"/>
  <c r="BA17" i="14"/>
  <c r="BC17" i="14" s="1"/>
  <c r="BE17" i="14" s="1"/>
  <c r="BF17" i="14" s="1"/>
  <c r="BG17" i="14" s="1"/>
  <c r="BU17" i="14"/>
  <c r="BW17" i="14" s="1"/>
  <c r="BY17" i="14" s="1"/>
  <c r="BZ17" i="14" s="1"/>
  <c r="CA17" i="14" s="1"/>
  <c r="BA67" i="14"/>
  <c r="BC67" i="14" s="1"/>
  <c r="BE67" i="14" s="1"/>
  <c r="BF67" i="14" s="1"/>
  <c r="BG67" i="14" s="1"/>
  <c r="BZ67" i="14"/>
  <c r="CA67" i="14" s="1"/>
  <c r="BU68" i="14"/>
  <c r="BW68" i="14" s="1"/>
  <c r="BY68" i="14" s="1"/>
  <c r="BZ68" i="14" s="1"/>
  <c r="CA68" i="14" s="1"/>
  <c r="BU20" i="13"/>
  <c r="BW20" i="13" s="1"/>
  <c r="BY20" i="13" s="1"/>
  <c r="BZ20" i="13" s="1"/>
  <c r="CA20" i="13" s="1"/>
  <c r="BF62" i="14"/>
  <c r="BG62" i="14" s="1"/>
  <c r="BA13" i="7"/>
  <c r="BC13" i="7" s="1"/>
  <c r="BE13" i="7" s="1"/>
  <c r="BF13" i="7" s="1"/>
  <c r="BG13" i="7" s="1"/>
  <c r="BU52" i="13"/>
  <c r="BW52" i="13" s="1"/>
  <c r="BY52" i="13" s="1"/>
  <c r="BZ52" i="13" s="1"/>
  <c r="CA52" i="13" s="1"/>
  <c r="BU19" i="14"/>
  <c r="BW19" i="14" s="1"/>
  <c r="BY19" i="14" s="1"/>
  <c r="BZ19" i="14" s="1"/>
  <c r="CA19" i="14" s="1"/>
  <c r="AO22" i="14"/>
  <c r="AV22" i="14" s="1"/>
  <c r="AX22" i="14" s="1"/>
  <c r="BA20" i="6"/>
  <c r="BC20" i="6" s="1"/>
  <c r="BE20" i="6" s="1"/>
  <c r="AO45" i="14"/>
  <c r="AV45" i="14" s="1"/>
  <c r="AX45" i="14" s="1"/>
  <c r="AO85" i="13"/>
  <c r="AV85" i="13" s="1"/>
  <c r="AX85" i="13" s="1"/>
  <c r="BA85" i="13" s="1"/>
  <c r="BC85" i="13" s="1"/>
  <c r="BE85" i="13" s="1"/>
  <c r="BF85" i="13" s="1"/>
  <c r="BG85" i="13" s="1"/>
  <c r="AO18" i="13"/>
  <c r="AV18" i="13" s="1"/>
  <c r="AX18" i="13" s="1"/>
  <c r="BA18" i="13" s="1"/>
  <c r="BC18" i="13" s="1"/>
  <c r="BE18" i="13" s="1"/>
  <c r="BF18" i="13" s="1"/>
  <c r="BG18" i="13" s="1"/>
  <c r="AO6" i="13"/>
  <c r="AV6" i="13" s="1"/>
  <c r="AX6" i="13" s="1"/>
  <c r="AO131" i="7"/>
  <c r="AV131" i="7" s="1"/>
  <c r="AX131" i="7" s="1"/>
  <c r="AO93" i="7"/>
  <c r="AV93" i="7" s="1"/>
  <c r="AX93" i="7" s="1"/>
  <c r="BA93" i="7" s="1"/>
  <c r="BC93" i="7" s="1"/>
  <c r="BE93" i="7" s="1"/>
  <c r="AO142" i="7"/>
  <c r="AV142" i="7" s="1"/>
  <c r="AX142" i="7" s="1"/>
  <c r="AO29" i="7"/>
  <c r="AV29" i="7" s="1"/>
  <c r="AX29" i="7" s="1"/>
  <c r="BA29" i="7" s="1"/>
  <c r="BC29" i="7" s="1"/>
  <c r="BE29" i="7" s="1"/>
  <c r="AO48" i="7"/>
  <c r="AV48" i="7" s="1"/>
  <c r="AX48" i="7" s="1"/>
  <c r="AO56" i="13"/>
  <c r="AV56" i="13" s="1"/>
  <c r="AX56" i="13" s="1"/>
  <c r="AO70" i="7"/>
  <c r="AV70" i="7" s="1"/>
  <c r="AX70" i="7" s="1"/>
  <c r="AO43" i="14"/>
  <c r="AV43" i="14" s="1"/>
  <c r="AX43" i="14" s="1"/>
  <c r="AO72" i="13"/>
  <c r="AV72" i="13" s="1"/>
  <c r="AX72" i="13" s="1"/>
  <c r="AO35" i="7"/>
  <c r="AV35" i="7" s="1"/>
  <c r="AX35" i="7" s="1"/>
  <c r="AO26" i="7"/>
  <c r="AV26" i="7" s="1"/>
  <c r="AX26" i="7" s="1"/>
  <c r="BA26" i="7" s="1"/>
  <c r="BC26" i="7" s="1"/>
  <c r="BE26" i="7" s="1"/>
  <c r="AO128" i="7"/>
  <c r="AV128" i="7" s="1"/>
  <c r="AX128" i="7" s="1"/>
  <c r="BA128" i="7" s="1"/>
  <c r="BC128" i="7" s="1"/>
  <c r="BE128" i="7" s="1"/>
  <c r="AO51" i="7"/>
  <c r="AV51" i="7" s="1"/>
  <c r="AX51" i="7" s="1"/>
  <c r="AO127" i="7"/>
  <c r="AV127" i="7" s="1"/>
  <c r="AX127" i="7" s="1"/>
  <c r="AO55" i="13"/>
  <c r="AV55" i="13" s="1"/>
  <c r="AX55" i="13" s="1"/>
  <c r="AO47" i="14"/>
  <c r="AV47" i="14" s="1"/>
  <c r="AX47" i="14" s="1"/>
  <c r="AO20" i="14"/>
  <c r="AV20" i="14" s="1"/>
  <c r="AX20" i="14" s="1"/>
  <c r="AO4" i="13"/>
  <c r="AV4" i="13" s="1"/>
  <c r="AX4" i="13" s="1"/>
  <c r="BA4" i="13" s="1"/>
  <c r="BC4" i="13" s="1"/>
  <c r="BE4" i="13" s="1"/>
  <c r="BF4" i="13" s="1"/>
  <c r="AO154" i="7"/>
  <c r="AV154" i="7" s="1"/>
  <c r="AX154" i="7" s="1"/>
  <c r="AO95" i="7"/>
  <c r="AV95" i="7" s="1"/>
  <c r="AX95" i="7" s="1"/>
  <c r="AO153" i="7"/>
  <c r="AV153" i="7" s="1"/>
  <c r="AX153" i="7" s="1"/>
  <c r="AO43" i="7"/>
  <c r="AV43" i="7" s="1"/>
  <c r="AX43" i="7" s="1"/>
  <c r="BA43" i="7" s="1"/>
  <c r="BC43" i="7" s="1"/>
  <c r="BE43" i="7" s="1"/>
  <c r="AO17" i="7"/>
  <c r="AV17" i="7" s="1"/>
  <c r="AX17" i="7" s="1"/>
  <c r="AO102" i="7"/>
  <c r="AV102" i="7" s="1"/>
  <c r="AX102" i="7" s="1"/>
  <c r="AO14" i="7"/>
  <c r="AV14" i="7" s="1"/>
  <c r="AX14" i="7" s="1"/>
  <c r="BA14" i="7" s="1"/>
  <c r="BC14" i="7" s="1"/>
  <c r="BE14" i="7" s="1"/>
  <c r="AO144" i="7"/>
  <c r="AV144" i="7" s="1"/>
  <c r="AX144" i="7" s="1"/>
  <c r="AO86" i="13"/>
  <c r="AV86" i="13" s="1"/>
  <c r="AX86" i="13" s="1"/>
  <c r="BA86" i="13" s="1"/>
  <c r="BC86" i="13" s="1"/>
  <c r="BE86" i="13" s="1"/>
  <c r="BF86" i="13" s="1"/>
  <c r="BG86" i="13" s="1"/>
  <c r="AO101" i="7"/>
  <c r="AV101" i="7" s="1"/>
  <c r="AX101" i="7" s="1"/>
  <c r="BA101" i="7" s="1"/>
  <c r="BC101" i="7" s="1"/>
  <c r="BE101" i="7" s="1"/>
  <c r="AO53" i="7"/>
  <c r="AV53" i="7" s="1"/>
  <c r="AX53" i="7" s="1"/>
  <c r="BA53" i="7" s="1"/>
  <c r="BC53" i="7" s="1"/>
  <c r="BE53" i="7" s="1"/>
  <c r="AO155" i="7"/>
  <c r="AV155" i="7" s="1"/>
  <c r="AX155" i="7" s="1"/>
  <c r="AO120" i="7"/>
  <c r="AV120" i="7" s="1"/>
  <c r="AX120" i="7" s="1"/>
  <c r="BA120" i="7" s="1"/>
  <c r="BC120" i="7" s="1"/>
  <c r="BE120" i="7" s="1"/>
  <c r="AO130" i="7"/>
  <c r="AV130" i="7" s="1"/>
  <c r="AX130" i="7" s="1"/>
  <c r="AO34" i="13"/>
  <c r="AV34" i="13" s="1"/>
  <c r="AX34" i="13" s="1"/>
  <c r="BA34" i="13" s="1"/>
  <c r="BC34" i="13" s="1"/>
  <c r="BE34" i="13" s="1"/>
  <c r="BF34" i="13" s="1"/>
  <c r="BG34" i="13" s="1"/>
  <c r="AO107" i="7"/>
  <c r="AV107" i="7" s="1"/>
  <c r="AX107" i="7" s="1"/>
  <c r="BA107" i="7" s="1"/>
  <c r="BC107" i="7" s="1"/>
  <c r="BE107" i="7" s="1"/>
  <c r="AO27" i="7"/>
  <c r="AV27" i="7" s="1"/>
  <c r="AX27" i="7" s="1"/>
  <c r="AO49" i="13"/>
  <c r="AV49" i="13" s="1"/>
  <c r="AX49" i="13" s="1"/>
  <c r="BA49" i="13" s="1"/>
  <c r="BC49" i="13" s="1"/>
  <c r="BE49" i="13" s="1"/>
  <c r="BF49" i="13" s="1"/>
  <c r="BG49" i="13" s="1"/>
  <c r="AO159" i="7"/>
  <c r="AV159" i="7" s="1"/>
  <c r="AX159" i="7" s="1"/>
  <c r="AO123" i="7"/>
  <c r="AV123" i="7" s="1"/>
  <c r="AX123" i="7" s="1"/>
  <c r="AO41" i="7"/>
  <c r="AV41" i="7" s="1"/>
  <c r="AX41" i="7" s="1"/>
  <c r="BA41" i="7" s="1"/>
  <c r="BC41" i="7" s="1"/>
  <c r="BE41" i="7" s="1"/>
  <c r="AO92" i="7"/>
  <c r="AV92" i="7" s="1"/>
  <c r="AX92" i="7" s="1"/>
  <c r="AO106" i="7"/>
  <c r="AV106" i="7" s="1"/>
  <c r="AX106" i="7" s="1"/>
  <c r="AO89" i="7"/>
  <c r="AV89" i="7" s="1"/>
  <c r="AX89" i="7" s="1"/>
  <c r="AO77" i="7"/>
  <c r="AV77" i="7" s="1"/>
  <c r="AX77" i="7" s="1"/>
  <c r="AO133" i="7"/>
  <c r="AV133" i="7" s="1"/>
  <c r="AX133" i="7" s="1"/>
  <c r="AO91" i="7"/>
  <c r="AV91" i="7" s="1"/>
  <c r="AX91" i="7" s="1"/>
  <c r="BA91" i="7" s="1"/>
  <c r="BC91" i="7" s="1"/>
  <c r="BE91" i="7" s="1"/>
  <c r="AO100" i="7"/>
  <c r="AV100" i="7" s="1"/>
  <c r="AX100" i="7" s="1"/>
  <c r="AO71" i="7"/>
  <c r="AV71" i="7" s="1"/>
  <c r="AX71" i="7" s="1"/>
  <c r="AO22" i="7"/>
  <c r="AV22" i="7" s="1"/>
  <c r="AX22" i="7" s="1"/>
  <c r="AO146" i="7"/>
  <c r="AV146" i="7" s="1"/>
  <c r="AX146" i="7" s="1"/>
  <c r="AO66" i="13"/>
  <c r="AV66" i="13" s="1"/>
  <c r="AX66" i="13" s="1"/>
  <c r="AO25" i="13"/>
  <c r="AV25" i="13" s="1"/>
  <c r="AX25" i="13" s="1"/>
  <c r="BA25" i="13" s="1"/>
  <c r="BC25" i="13" s="1"/>
  <c r="BE25" i="13" s="1"/>
  <c r="BF25" i="13" s="1"/>
  <c r="BG25" i="13" s="1"/>
  <c r="AO16" i="14"/>
  <c r="AV16" i="14" s="1"/>
  <c r="AX16" i="14" s="1"/>
  <c r="AO64" i="14"/>
  <c r="AV64" i="14" s="1"/>
  <c r="AX64" i="14" s="1"/>
  <c r="AO24" i="14"/>
  <c r="AV24" i="14" s="1"/>
  <c r="AX24" i="14" s="1"/>
  <c r="BA63" i="6"/>
  <c r="BC63" i="6" s="1"/>
  <c r="BE63" i="6" s="1"/>
  <c r="BF63" i="6" s="1"/>
  <c r="BG63" i="6" s="1"/>
  <c r="BZ41" i="14"/>
  <c r="CA41" i="14" s="1"/>
  <c r="BA42" i="14"/>
  <c r="BC42" i="14" s="1"/>
  <c r="BE42" i="14" s="1"/>
  <c r="BF42" i="14" s="1"/>
  <c r="BG42" i="14" s="1"/>
  <c r="BZ24" i="14"/>
  <c r="CA24" i="14" s="1"/>
  <c r="BA48" i="6"/>
  <c r="BC48" i="6" s="1"/>
  <c r="BE48" i="6" s="1"/>
  <c r="BZ44" i="6"/>
  <c r="CA44" i="6" s="1"/>
  <c r="BU100" i="7"/>
  <c r="BW100" i="7" s="1"/>
  <c r="BY100" i="7" s="1"/>
  <c r="BZ29" i="6"/>
  <c r="CA29" i="6" s="1"/>
  <c r="BU33" i="6"/>
  <c r="BW33" i="6" s="1"/>
  <c r="BY33" i="6" s="1"/>
  <c r="BZ33" i="6" s="1"/>
  <c r="CA33" i="6" s="1"/>
  <c r="BZ28" i="6"/>
  <c r="CA28" i="6" s="1"/>
  <c r="BZ152" i="7"/>
  <c r="CA152" i="7" s="1"/>
  <c r="BU150" i="7"/>
  <c r="BW150" i="7" s="1"/>
  <c r="BY150" i="7" s="1"/>
  <c r="BU156" i="7"/>
  <c r="BW156" i="7" s="1"/>
  <c r="BY156" i="7" s="1"/>
  <c r="BU157" i="7"/>
  <c r="BW157" i="7" s="1"/>
  <c r="BY157" i="7" s="1"/>
  <c r="BU151" i="7"/>
  <c r="BW151" i="7" s="1"/>
  <c r="BY151" i="7" s="1"/>
  <c r="BU64" i="7"/>
  <c r="BW64" i="7" s="1"/>
  <c r="BY64" i="7" s="1"/>
  <c r="BU54" i="7"/>
  <c r="BW54" i="7" s="1"/>
  <c r="BY54" i="7" s="1"/>
  <c r="BU18" i="6"/>
  <c r="BW18" i="6" s="1"/>
  <c r="BY18" i="6" s="1"/>
  <c r="BU16" i="7"/>
  <c r="BW16" i="7" s="1"/>
  <c r="BY16" i="7" s="1"/>
  <c r="BU45" i="7"/>
  <c r="BW45" i="7" s="1"/>
  <c r="BY45" i="7" s="1"/>
  <c r="BA40" i="14"/>
  <c r="BC40" i="14" s="1"/>
  <c r="BE40" i="14" s="1"/>
  <c r="BF40" i="14" s="1"/>
  <c r="BG40" i="14" s="1"/>
  <c r="BA45" i="7"/>
  <c r="BC45" i="7" s="1"/>
  <c r="BE45" i="7" s="1"/>
  <c r="BF45" i="7" s="1"/>
  <c r="BG45" i="7" s="1"/>
  <c r="BA38" i="14"/>
  <c r="BC38" i="14" s="1"/>
  <c r="BE38" i="14" s="1"/>
  <c r="BF38" i="14" s="1"/>
  <c r="BG38" i="14" s="1"/>
  <c r="AO19" i="14"/>
  <c r="AV19" i="14" s="1"/>
  <c r="AX19" i="14" s="1"/>
  <c r="AO41" i="14"/>
  <c r="AV41" i="14" s="1"/>
  <c r="AX41" i="14" s="1"/>
  <c r="BU43" i="14"/>
  <c r="BW43" i="14" s="1"/>
  <c r="BY43" i="14" s="1"/>
  <c r="BZ43" i="14" s="1"/>
  <c r="CA43" i="14" s="1"/>
  <c r="AO21" i="14"/>
  <c r="AV21" i="14" s="1"/>
  <c r="AX21" i="14" s="1"/>
  <c r="AO66" i="14"/>
  <c r="AV66" i="14" s="1"/>
  <c r="AX66" i="14" s="1"/>
  <c r="AO68" i="14"/>
  <c r="AV68" i="14" s="1"/>
  <c r="AX68" i="14" s="1"/>
  <c r="BA68" i="14" s="1"/>
  <c r="BC68" i="14" s="1"/>
  <c r="BE68" i="14" s="1"/>
  <c r="BF68" i="14" s="1"/>
  <c r="BG68" i="14" s="1"/>
  <c r="AO70" i="14"/>
  <c r="AV70" i="14" s="1"/>
  <c r="AX70" i="14" s="1"/>
  <c r="AO63" i="14"/>
  <c r="AV63" i="14" s="1"/>
  <c r="AX63" i="14" s="1"/>
  <c r="AO18" i="14"/>
  <c r="AV18" i="14" s="1"/>
  <c r="AX18" i="14" s="1"/>
  <c r="AO65" i="14"/>
  <c r="AV65" i="14" s="1"/>
  <c r="AX65" i="14" s="1"/>
  <c r="AO23" i="14"/>
  <c r="AV23" i="14" s="1"/>
  <c r="AX23" i="14" s="1"/>
  <c r="AO39" i="14"/>
  <c r="AV39" i="14" s="1"/>
  <c r="AX39" i="14" s="1"/>
  <c r="AO46" i="14"/>
  <c r="AV46" i="14" s="1"/>
  <c r="AX46" i="14" s="1"/>
  <c r="BU38" i="14"/>
  <c r="BW38" i="14" s="1"/>
  <c r="BY38" i="14" s="1"/>
  <c r="BZ38" i="14" s="1"/>
  <c r="CA38" i="14" s="1"/>
  <c r="AX44" i="14"/>
  <c r="BA15" i="14"/>
  <c r="BC15" i="14" s="1"/>
  <c r="BE15" i="14" s="1"/>
  <c r="BF15" i="14" s="1"/>
  <c r="BG15" i="14" s="1"/>
  <c r="BU15" i="14"/>
  <c r="BW15" i="14" s="1"/>
  <c r="BY15" i="14" s="1"/>
  <c r="BZ15" i="14" s="1"/>
  <c r="CA15" i="14" s="1"/>
  <c r="BU51" i="13"/>
  <c r="BW51" i="13" s="1"/>
  <c r="BY51" i="13" s="1"/>
  <c r="BZ51" i="13" s="1"/>
  <c r="CA51" i="13" s="1"/>
  <c r="BA51" i="13"/>
  <c r="BC51" i="13" s="1"/>
  <c r="BE51" i="13" s="1"/>
  <c r="BF51" i="13" s="1"/>
  <c r="BG51" i="13" s="1"/>
  <c r="BA35" i="14"/>
  <c r="BC35" i="14" s="1"/>
  <c r="BE35" i="14" s="1"/>
  <c r="BZ18" i="14"/>
  <c r="CA18" i="14" s="1"/>
  <c r="AO149" i="7"/>
  <c r="AV149" i="7" s="1"/>
  <c r="AX149" i="7" s="1"/>
  <c r="AO78" i="13"/>
  <c r="AV78" i="13" s="1"/>
  <c r="AX78" i="13" s="1"/>
  <c r="AO14" i="14"/>
  <c r="AV14" i="14" s="1"/>
  <c r="AX14" i="14" s="1"/>
  <c r="AO60" i="14"/>
  <c r="AV60" i="14" s="1"/>
  <c r="AX60" i="14" s="1"/>
  <c r="BU13" i="14"/>
  <c r="BW13" i="14" s="1"/>
  <c r="BY13" i="14" s="1"/>
  <c r="BU89" i="7"/>
  <c r="BW89" i="7" s="1"/>
  <c r="BY89" i="7" s="1"/>
  <c r="BA16" i="6"/>
  <c r="BC16" i="6" s="1"/>
  <c r="BE16" i="6" s="1"/>
  <c r="BF16" i="6" s="1"/>
  <c r="BG16" i="6" s="1"/>
  <c r="BZ5" i="14"/>
  <c r="CA5" i="14" s="1"/>
  <c r="BU36" i="6"/>
  <c r="BW36" i="6" s="1"/>
  <c r="BY36" i="6" s="1"/>
  <c r="BZ36" i="6" s="1"/>
  <c r="CA36" i="6" s="1"/>
  <c r="BA36" i="6"/>
  <c r="BC36" i="6" s="1"/>
  <c r="BE36" i="6" s="1"/>
  <c r="BF36" i="6" s="1"/>
  <c r="BG36" i="6" s="1"/>
  <c r="BA45" i="6"/>
  <c r="BC45" i="6" s="1"/>
  <c r="BE45" i="6" s="1"/>
  <c r="BU45" i="6"/>
  <c r="BW45" i="6" s="1"/>
  <c r="BY45" i="6" s="1"/>
  <c r="BU26" i="6"/>
  <c r="BW26" i="6" s="1"/>
  <c r="BY26" i="6" s="1"/>
  <c r="BA26" i="6"/>
  <c r="BC26" i="6" s="1"/>
  <c r="BE26" i="6" s="1"/>
  <c r="BA136" i="7"/>
  <c r="BC136" i="7" s="1"/>
  <c r="BE136" i="7" s="1"/>
  <c r="BU57" i="7"/>
  <c r="BW57" i="7" s="1"/>
  <c r="BY57" i="7" s="1"/>
  <c r="AV84" i="7"/>
  <c r="AX84" i="7" s="1"/>
  <c r="BA84" i="7" s="1"/>
  <c r="BC84" i="7" s="1"/>
  <c r="BE84" i="7" s="1"/>
  <c r="BU46" i="6"/>
  <c r="BW46" i="6" s="1"/>
  <c r="BY46" i="6" s="1"/>
  <c r="BU36" i="14"/>
  <c r="BW36" i="14" s="1"/>
  <c r="BY36" i="14" s="1"/>
  <c r="BA4" i="14"/>
  <c r="BC4" i="14" s="1"/>
  <c r="BE4" i="14" s="1"/>
  <c r="BU16" i="6"/>
  <c r="BW16" i="6" s="1"/>
  <c r="BY16" i="6" s="1"/>
  <c r="BZ16" i="6" s="1"/>
  <c r="CA16" i="6" s="1"/>
  <c r="BA46" i="6"/>
  <c r="BC46" i="6" s="1"/>
  <c r="BE46" i="6" s="1"/>
  <c r="BA56" i="6"/>
  <c r="BC56" i="6" s="1"/>
  <c r="BE56" i="6" s="1"/>
  <c r="BF56" i="6" s="1"/>
  <c r="BG56" i="6" s="1"/>
  <c r="AO26" i="13"/>
  <c r="AV26" i="13" s="1"/>
  <c r="AX26" i="13" s="1"/>
  <c r="BA26" i="13" s="1"/>
  <c r="BC26" i="13" s="1"/>
  <c r="BE26" i="13" s="1"/>
  <c r="BF26" i="13" s="1"/>
  <c r="BG26" i="13" s="1"/>
  <c r="AO13" i="14"/>
  <c r="AV13" i="14" s="1"/>
  <c r="AX13" i="14" s="1"/>
  <c r="BA13" i="14" s="1"/>
  <c r="BC13" i="14" s="1"/>
  <c r="BE13" i="14" s="1"/>
  <c r="BF13" i="14" s="1"/>
  <c r="BG13" i="14" s="1"/>
  <c r="AO36" i="14"/>
  <c r="AV36" i="14" s="1"/>
  <c r="AX36" i="14" s="1"/>
  <c r="AO37" i="14"/>
  <c r="AV37" i="14" s="1"/>
  <c r="AX37" i="14" s="1"/>
  <c r="BU56" i="6"/>
  <c r="BW56" i="6" s="1"/>
  <c r="BY56" i="6" s="1"/>
  <c r="BZ56" i="6" s="1"/>
  <c r="CA56" i="6" s="1"/>
  <c r="BA6" i="6"/>
  <c r="BC6" i="6" s="1"/>
  <c r="BE6" i="6" s="1"/>
  <c r="BU59" i="14"/>
  <c r="BW59" i="14" s="1"/>
  <c r="BY59" i="14" s="1"/>
  <c r="BA53" i="6"/>
  <c r="BC53" i="6" s="1"/>
  <c r="BE53" i="6" s="1"/>
  <c r="BF53" i="6" s="1"/>
  <c r="BG53" i="6" s="1"/>
  <c r="BU37" i="14"/>
  <c r="BW37" i="14" s="1"/>
  <c r="BY37" i="14" s="1"/>
  <c r="BZ37" i="14" s="1"/>
  <c r="CA37" i="14" s="1"/>
  <c r="AO12" i="13"/>
  <c r="AV12" i="13" s="1"/>
  <c r="AX12" i="13" s="1"/>
  <c r="AO11" i="13"/>
  <c r="AV11" i="13" s="1"/>
  <c r="AX11" i="13" s="1"/>
  <c r="BA59" i="14"/>
  <c r="BC59" i="14" s="1"/>
  <c r="BE59" i="14" s="1"/>
  <c r="AO5" i="13"/>
  <c r="AV5" i="13" s="1"/>
  <c r="AX5" i="13" s="1"/>
  <c r="AO19" i="13"/>
  <c r="AV19" i="13" s="1"/>
  <c r="AX19" i="13" s="1"/>
  <c r="AO42" i="13"/>
  <c r="AV42" i="13" s="1"/>
  <c r="AX42" i="13" s="1"/>
  <c r="AN96" i="7"/>
  <c r="AN94" i="7"/>
  <c r="AN75" i="7"/>
  <c r="AN126" i="7"/>
  <c r="AN105" i="7"/>
  <c r="AN44" i="7"/>
  <c r="AO87" i="7"/>
  <c r="AV87" i="7" s="1"/>
  <c r="AX87" i="7" s="1"/>
  <c r="AO48" i="13"/>
  <c r="AV48" i="13" s="1"/>
  <c r="AX48" i="13" s="1"/>
  <c r="BA48" i="13" s="1"/>
  <c r="BC48" i="13" s="1"/>
  <c r="BE48" i="13" s="1"/>
  <c r="BF48" i="13" s="1"/>
  <c r="BG48" i="13" s="1"/>
  <c r="AO22" i="13"/>
  <c r="AV22" i="13" s="1"/>
  <c r="AX22" i="13" s="1"/>
  <c r="BA22" i="13" s="1"/>
  <c r="BC22" i="13" s="1"/>
  <c r="BE22" i="13" s="1"/>
  <c r="BF22" i="13" s="1"/>
  <c r="BG22" i="13" s="1"/>
  <c r="AO37" i="13"/>
  <c r="AV37" i="13" s="1"/>
  <c r="AX37" i="13" s="1"/>
  <c r="AO118" i="7"/>
  <c r="AV118" i="7" s="1"/>
  <c r="AX118" i="7" s="1"/>
  <c r="BA118" i="7" s="1"/>
  <c r="BC118" i="7" s="1"/>
  <c r="BE118" i="7" s="1"/>
  <c r="AO16" i="7"/>
  <c r="AV16" i="7" s="1"/>
  <c r="AX16" i="7" s="1"/>
  <c r="AO89" i="13"/>
  <c r="AV89" i="13" s="1"/>
  <c r="AX89" i="13" s="1"/>
  <c r="AO119" i="7"/>
  <c r="AV119" i="7" s="1"/>
  <c r="AX119" i="7" s="1"/>
  <c r="AO8" i="13"/>
  <c r="AV8" i="13" s="1"/>
  <c r="AX8" i="13" s="1"/>
  <c r="BA8" i="13" s="1"/>
  <c r="BC8" i="13" s="1"/>
  <c r="BE8" i="13" s="1"/>
  <c r="BF8" i="13" s="1"/>
  <c r="BG8" i="13" s="1"/>
  <c r="AO65" i="13"/>
  <c r="AV65" i="13" s="1"/>
  <c r="AX65" i="13" s="1"/>
  <c r="BA65" i="13" s="1"/>
  <c r="BC65" i="13" s="1"/>
  <c r="BE65" i="13" s="1"/>
  <c r="BF65" i="13" s="1"/>
  <c r="BG65" i="13" s="1"/>
  <c r="AO46" i="7"/>
  <c r="AV46" i="7" s="1"/>
  <c r="AX46" i="7" s="1"/>
  <c r="BA46" i="7" s="1"/>
  <c r="BC46" i="7" s="1"/>
  <c r="BE46" i="7" s="1"/>
  <c r="BF46" i="7" s="1"/>
  <c r="BG46" i="7" s="1"/>
  <c r="AO84" i="13"/>
  <c r="AV84" i="13" s="1"/>
  <c r="AX84" i="13" s="1"/>
  <c r="BA84" i="13" s="1"/>
  <c r="BC84" i="13" s="1"/>
  <c r="BE84" i="13" s="1"/>
  <c r="BF84" i="13" s="1"/>
  <c r="BG84" i="13" s="1"/>
  <c r="AO129" i="7"/>
  <c r="AV129" i="7" s="1"/>
  <c r="AX129" i="7" s="1"/>
  <c r="BA129" i="7" s="1"/>
  <c r="BC129" i="7" s="1"/>
  <c r="BE129" i="7" s="1"/>
  <c r="AO30" i="13"/>
  <c r="AV30" i="13" s="1"/>
  <c r="AX30" i="13" s="1"/>
  <c r="BA30" i="13" s="1"/>
  <c r="BC30" i="13" s="1"/>
  <c r="BE30" i="13" s="1"/>
  <c r="BF30" i="13" s="1"/>
  <c r="BG30" i="13" s="1"/>
  <c r="AO121" i="7"/>
  <c r="AV121" i="7" s="1"/>
  <c r="AX121" i="7" s="1"/>
  <c r="AO132" i="7"/>
  <c r="AV132" i="7" s="1"/>
  <c r="AX132" i="7" s="1"/>
  <c r="BA132" i="7" s="1"/>
  <c r="BC132" i="7" s="1"/>
  <c r="BE132" i="7" s="1"/>
  <c r="AO25" i="7"/>
  <c r="AV25" i="7" s="1"/>
  <c r="AX25" i="7" s="1"/>
  <c r="BA25" i="7" s="1"/>
  <c r="BC25" i="7" s="1"/>
  <c r="BE25" i="7" s="1"/>
  <c r="AO145" i="7"/>
  <c r="AV145" i="7" s="1"/>
  <c r="AX145" i="7" s="1"/>
  <c r="AO78" i="7"/>
  <c r="AV78" i="7" s="1"/>
  <c r="AX78" i="7" s="1"/>
  <c r="AO10" i="13"/>
  <c r="AV10" i="13" s="1"/>
  <c r="AX10" i="13" s="1"/>
  <c r="AO14" i="13"/>
  <c r="AV14" i="13" s="1"/>
  <c r="AX14" i="13" s="1"/>
  <c r="AO59" i="13"/>
  <c r="AV59" i="13" s="1"/>
  <c r="AX59" i="13" s="1"/>
  <c r="AO46" i="13"/>
  <c r="AV46" i="13" s="1"/>
  <c r="AX46" i="13" s="1"/>
  <c r="AO39" i="7"/>
  <c r="AV39" i="7" s="1"/>
  <c r="AX39" i="7" s="1"/>
  <c r="AO141" i="7"/>
  <c r="AV141" i="7" s="1"/>
  <c r="AX141" i="7" s="1"/>
  <c r="BA141" i="7" s="1"/>
  <c r="BC141" i="7" s="1"/>
  <c r="BE141" i="7" s="1"/>
  <c r="AO122" i="7"/>
  <c r="AV122" i="7" s="1"/>
  <c r="AX122" i="7" s="1"/>
  <c r="AO147" i="7"/>
  <c r="AV147" i="7" s="1"/>
  <c r="AX147" i="7" s="1"/>
  <c r="BA147" i="7" s="1"/>
  <c r="BC147" i="7" s="1"/>
  <c r="BE147" i="7" s="1"/>
  <c r="AO70" i="13"/>
  <c r="AV70" i="13" s="1"/>
  <c r="AX70" i="13" s="1"/>
  <c r="AO72" i="7"/>
  <c r="AV72" i="7" s="1"/>
  <c r="AX72" i="7" s="1"/>
  <c r="BA72" i="7" s="1"/>
  <c r="BC72" i="7" s="1"/>
  <c r="BE72" i="7" s="1"/>
  <c r="AO73" i="7"/>
  <c r="AV73" i="7" s="1"/>
  <c r="AX73" i="7" s="1"/>
  <c r="AO32" i="13"/>
  <c r="AV32" i="13" s="1"/>
  <c r="AX32" i="13" s="1"/>
  <c r="AO76" i="7"/>
  <c r="AV76" i="7" s="1"/>
  <c r="AX76" i="7" s="1"/>
  <c r="AO37" i="7"/>
  <c r="AV37" i="7" s="1"/>
  <c r="AX37" i="7" s="1"/>
  <c r="AO103" i="7"/>
  <c r="AV103" i="7" s="1"/>
  <c r="AX103" i="7" s="1"/>
  <c r="AO52" i="13"/>
  <c r="AV52" i="13" s="1"/>
  <c r="AX52" i="13" s="1"/>
  <c r="BA52" i="13" s="1"/>
  <c r="BC52" i="13" s="1"/>
  <c r="BE52" i="13" s="1"/>
  <c r="BF52" i="13" s="1"/>
  <c r="BG52" i="13" s="1"/>
  <c r="AO148" i="7"/>
  <c r="AV148" i="7" s="1"/>
  <c r="AX148" i="7" s="1"/>
  <c r="AO137" i="7"/>
  <c r="AV137" i="7" s="1"/>
  <c r="AX137" i="7" s="1"/>
  <c r="BA137" i="7" s="1"/>
  <c r="BC137" i="7" s="1"/>
  <c r="BE137" i="7" s="1"/>
  <c r="AO79" i="7"/>
  <c r="AV79" i="7" s="1"/>
  <c r="AX79" i="7" s="1"/>
  <c r="AO38" i="7"/>
  <c r="AV38" i="7" s="1"/>
  <c r="AX38" i="7" s="1"/>
  <c r="BA38" i="7" s="1"/>
  <c r="BC38" i="7" s="1"/>
  <c r="BE38" i="7" s="1"/>
  <c r="AO152" i="7"/>
  <c r="AV152" i="7" s="1"/>
  <c r="AX152" i="7" s="1"/>
  <c r="BA152" i="7" s="1"/>
  <c r="BC152" i="7" s="1"/>
  <c r="BE152" i="7" s="1"/>
  <c r="AO18" i="7"/>
  <c r="AV18" i="7" s="1"/>
  <c r="AX18" i="7" s="1"/>
  <c r="AO40" i="7"/>
  <c r="AV40" i="7" s="1"/>
  <c r="AX40" i="7" s="1"/>
  <c r="AO156" i="7"/>
  <c r="AV156" i="7" s="1"/>
  <c r="AX156" i="7" s="1"/>
  <c r="AO75" i="13"/>
  <c r="AV75" i="13" s="1"/>
  <c r="AX75" i="13" s="1"/>
  <c r="AO124" i="7"/>
  <c r="AV124" i="7" s="1"/>
  <c r="AX124" i="7" s="1"/>
  <c r="AO54" i="7"/>
  <c r="AV54" i="7" s="1"/>
  <c r="AX54" i="7" s="1"/>
  <c r="AO74" i="7"/>
  <c r="AV74" i="7" s="1"/>
  <c r="AX74" i="7" s="1"/>
  <c r="BA74" i="7" s="1"/>
  <c r="BC74" i="7" s="1"/>
  <c r="BE74" i="7" s="1"/>
  <c r="AO90" i="7"/>
  <c r="AV90" i="7" s="1"/>
  <c r="AX90" i="7" s="1"/>
  <c r="AO21" i="7"/>
  <c r="AV21" i="7" s="1"/>
  <c r="AX21" i="7" s="1"/>
  <c r="AV116" i="7"/>
  <c r="AX116" i="7" s="1"/>
  <c r="AV32" i="7"/>
  <c r="AX32" i="7" s="1"/>
  <c r="BA32" i="7" s="1"/>
  <c r="BC32" i="7" s="1"/>
  <c r="BE32" i="7" s="1"/>
  <c r="AO15" i="7"/>
  <c r="AV15" i="7" s="1"/>
  <c r="AX15" i="7" s="1"/>
  <c r="BA15" i="7" s="1"/>
  <c r="BC15" i="7" s="1"/>
  <c r="BE15" i="7" s="1"/>
  <c r="AO35" i="13"/>
  <c r="AV35" i="13" s="1"/>
  <c r="AX35" i="13" s="1"/>
  <c r="AO64" i="13"/>
  <c r="AV64" i="13" s="1"/>
  <c r="AX64" i="13" s="1"/>
  <c r="BA64" i="13" s="1"/>
  <c r="BC64" i="13" s="1"/>
  <c r="BE64" i="13" s="1"/>
  <c r="BF64" i="13" s="1"/>
  <c r="BG64" i="13" s="1"/>
  <c r="AO16" i="13"/>
  <c r="AV16" i="13" s="1"/>
  <c r="AX16" i="13" s="1"/>
  <c r="AO36" i="7"/>
  <c r="AV36" i="7" s="1"/>
  <c r="AX36" i="7" s="1"/>
  <c r="BA36" i="7" s="1"/>
  <c r="BC36" i="7" s="1"/>
  <c r="BE36" i="7" s="1"/>
  <c r="AO33" i="13"/>
  <c r="AV33" i="13" s="1"/>
  <c r="AX33" i="13" s="1"/>
  <c r="BA33" i="13" s="1"/>
  <c r="BC33" i="13" s="1"/>
  <c r="BE33" i="13" s="1"/>
  <c r="BF33" i="13" s="1"/>
  <c r="BG33" i="13" s="1"/>
  <c r="AO17" i="13"/>
  <c r="AV17" i="13" s="1"/>
  <c r="AX17" i="13" s="1"/>
  <c r="BA17" i="13" s="1"/>
  <c r="BC17" i="13" s="1"/>
  <c r="BE17" i="13" s="1"/>
  <c r="BF17" i="13" s="1"/>
  <c r="BG17" i="13" s="1"/>
  <c r="AO80" i="7"/>
  <c r="AV80" i="7" s="1"/>
  <c r="AX80" i="7" s="1"/>
  <c r="BA80" i="7" s="1"/>
  <c r="BC80" i="7" s="1"/>
  <c r="BE80" i="7" s="1"/>
  <c r="AO77" i="13"/>
  <c r="AV77" i="13" s="1"/>
  <c r="AX77" i="13" s="1"/>
  <c r="BA77" i="13" s="1"/>
  <c r="BC77" i="13" s="1"/>
  <c r="BE77" i="13" s="1"/>
  <c r="BF77" i="13" s="1"/>
  <c r="BG77" i="13" s="1"/>
  <c r="AO83" i="13"/>
  <c r="AV83" i="13" s="1"/>
  <c r="AX83" i="13" s="1"/>
  <c r="AO139" i="7"/>
  <c r="AV139" i="7" s="1"/>
  <c r="AX139" i="7" s="1"/>
  <c r="AO158" i="7"/>
  <c r="AV158" i="7" s="1"/>
  <c r="AX158" i="7" s="1"/>
  <c r="BA158" i="7" s="1"/>
  <c r="BC158" i="7" s="1"/>
  <c r="BE158" i="7" s="1"/>
  <c r="AO41" i="13"/>
  <c r="AV41" i="13" s="1"/>
  <c r="AX41" i="13" s="1"/>
  <c r="AO92" i="13"/>
  <c r="AV92" i="13" s="1"/>
  <c r="AX92" i="13" s="1"/>
  <c r="AO104" i="7"/>
  <c r="AV104" i="7" s="1"/>
  <c r="AX104" i="7" s="1"/>
  <c r="AO69" i="7"/>
  <c r="AV69" i="7" s="1"/>
  <c r="AX69" i="7" s="1"/>
  <c r="AO125" i="7"/>
  <c r="AV125" i="7" s="1"/>
  <c r="AX125" i="7" s="1"/>
  <c r="BA125" i="7" s="1"/>
  <c r="BC125" i="7" s="1"/>
  <c r="BE125" i="7" s="1"/>
  <c r="AO62" i="13"/>
  <c r="AV62" i="13" s="1"/>
  <c r="AX62" i="13" s="1"/>
  <c r="BA62" i="13" s="1"/>
  <c r="BC62" i="13" s="1"/>
  <c r="BE62" i="13" s="1"/>
  <c r="BF62" i="13" s="1"/>
  <c r="BG62" i="13" s="1"/>
  <c r="AO93" i="13"/>
  <c r="AV93" i="13" s="1"/>
  <c r="AX93" i="13" s="1"/>
  <c r="BA93" i="13" s="1"/>
  <c r="BC93" i="13" s="1"/>
  <c r="BE93" i="13" s="1"/>
  <c r="BF93" i="13" s="1"/>
  <c r="BG93" i="13" s="1"/>
  <c r="AO60" i="13"/>
  <c r="AV60" i="13" s="1"/>
  <c r="AX60" i="13" s="1"/>
  <c r="AO138" i="7"/>
  <c r="AV138" i="7" s="1"/>
  <c r="AX138" i="7" s="1"/>
  <c r="AO42" i="7"/>
  <c r="AV42" i="7" s="1"/>
  <c r="AX42" i="7" s="1"/>
  <c r="BA42" i="7" s="1"/>
  <c r="BC42" i="7" s="1"/>
  <c r="BE42" i="7" s="1"/>
  <c r="AO20" i="7"/>
  <c r="AV20" i="7" s="1"/>
  <c r="AX20" i="7" s="1"/>
  <c r="AO45" i="13"/>
  <c r="AV45" i="13" s="1"/>
  <c r="AX45" i="13" s="1"/>
  <c r="AO15" i="13"/>
  <c r="AV15" i="13" s="1"/>
  <c r="AX15" i="13" s="1"/>
  <c r="BA15" i="13" s="1"/>
  <c r="BC15" i="13" s="1"/>
  <c r="BE15" i="13" s="1"/>
  <c r="BF15" i="13" s="1"/>
  <c r="BG15" i="13" s="1"/>
  <c r="AO157" i="7"/>
  <c r="AV157" i="7" s="1"/>
  <c r="AX157" i="7" s="1"/>
  <c r="AO67" i="13"/>
  <c r="AV67" i="13" s="1"/>
  <c r="AX67" i="13" s="1"/>
  <c r="AO52" i="7"/>
  <c r="AV52" i="7" s="1"/>
  <c r="AX52" i="7" s="1"/>
  <c r="AO68" i="7"/>
  <c r="AV68" i="7" s="1"/>
  <c r="AX68" i="7" s="1"/>
  <c r="BA68" i="7" s="1"/>
  <c r="BC68" i="7" s="1"/>
  <c r="BE68" i="7" s="1"/>
  <c r="BA76" i="13"/>
  <c r="BC76" i="13" s="1"/>
  <c r="BE76" i="13" s="1"/>
  <c r="BF76" i="13" s="1"/>
  <c r="BG76" i="13" s="1"/>
  <c r="BA74" i="13"/>
  <c r="BC74" i="13" s="1"/>
  <c r="BE74" i="13" s="1"/>
  <c r="BF74" i="13" s="1"/>
  <c r="BG74" i="13" s="1"/>
  <c r="AV58" i="7"/>
  <c r="AX58" i="7" s="1"/>
  <c r="BA58" i="7" s="1"/>
  <c r="BC58" i="7" s="1"/>
  <c r="BE58" i="7" s="1"/>
  <c r="AO117" i="7"/>
  <c r="AV117" i="7" s="1"/>
  <c r="AX117" i="7" s="1"/>
  <c r="AO28" i="7"/>
  <c r="AV28" i="7" s="1"/>
  <c r="AX28" i="7" s="1"/>
  <c r="AO90" i="13"/>
  <c r="AV90" i="13" s="1"/>
  <c r="AX90" i="13" s="1"/>
  <c r="AO36" i="13"/>
  <c r="AV36" i="13" s="1"/>
  <c r="AX36" i="13" s="1"/>
  <c r="BA36" i="13" s="1"/>
  <c r="BC36" i="13" s="1"/>
  <c r="BE36" i="13" s="1"/>
  <c r="BF36" i="13" s="1"/>
  <c r="BG36" i="13" s="1"/>
  <c r="AO63" i="13"/>
  <c r="AV63" i="13" s="1"/>
  <c r="AX63" i="13" s="1"/>
  <c r="BA63" i="13" s="1"/>
  <c r="BC63" i="13" s="1"/>
  <c r="BE63" i="13" s="1"/>
  <c r="BF63" i="13" s="1"/>
  <c r="BG63" i="13" s="1"/>
  <c r="AO23" i="7"/>
  <c r="AV23" i="7" s="1"/>
  <c r="AX23" i="7" s="1"/>
  <c r="BA23" i="7" s="1"/>
  <c r="BC23" i="7" s="1"/>
  <c r="BE23" i="7" s="1"/>
  <c r="AO49" i="7"/>
  <c r="AV49" i="7" s="1"/>
  <c r="AX49" i="7" s="1"/>
  <c r="AO55" i="7"/>
  <c r="AV55" i="7" s="1"/>
  <c r="AX55" i="7" s="1"/>
  <c r="AO66" i="7"/>
  <c r="AV66" i="7" s="1"/>
  <c r="AX66" i="7" s="1"/>
  <c r="AO143" i="7"/>
  <c r="AV143" i="7" s="1"/>
  <c r="AX143" i="7" s="1"/>
  <c r="AO19" i="7"/>
  <c r="AV19" i="7" s="1"/>
  <c r="AX19" i="7" s="1"/>
  <c r="AO81" i="7"/>
  <c r="AV81" i="7" s="1"/>
  <c r="AX81" i="7" s="1"/>
  <c r="BA81" i="7" s="1"/>
  <c r="BC81" i="7" s="1"/>
  <c r="BE81" i="7" s="1"/>
  <c r="AO24" i="7"/>
  <c r="AV24" i="7" s="1"/>
  <c r="AX24" i="7" s="1"/>
  <c r="AO140" i="7"/>
  <c r="AV140" i="7" s="1"/>
  <c r="AX140" i="7" s="1"/>
  <c r="AO88" i="7"/>
  <c r="AV88" i="7" s="1"/>
  <c r="AX88" i="7" s="1"/>
  <c r="BA88" i="7" s="1"/>
  <c r="BC88" i="7" s="1"/>
  <c r="BE88" i="7" s="1"/>
  <c r="AO67" i="7"/>
  <c r="AV67" i="7" s="1"/>
  <c r="AX67" i="7" s="1"/>
  <c r="AO50" i="7"/>
  <c r="AV50" i="7" s="1"/>
  <c r="AX50" i="7" s="1"/>
  <c r="AO6" i="7"/>
  <c r="AV6" i="7" s="1"/>
  <c r="AX6" i="7" s="1"/>
  <c r="BA6" i="7" s="1"/>
  <c r="BC6" i="7" s="1"/>
  <c r="BE6" i="7" s="1"/>
  <c r="BF6" i="7" s="1"/>
  <c r="BG6" i="7" s="1"/>
  <c r="AV7" i="7"/>
  <c r="AX7" i="7" s="1"/>
  <c r="BA7" i="7" s="1"/>
  <c r="BC7" i="7" s="1"/>
  <c r="BE7" i="7" s="1"/>
  <c r="AV33" i="7"/>
  <c r="AX33" i="7" s="1"/>
  <c r="AV108" i="7"/>
  <c r="AX108" i="7" s="1"/>
  <c r="BA108" i="7" s="1"/>
  <c r="BC108" i="7" s="1"/>
  <c r="BE108" i="7" s="1"/>
  <c r="AV115" i="7"/>
  <c r="AX115" i="7" s="1"/>
  <c r="BA115" i="7" s="1"/>
  <c r="BC115" i="7" s="1"/>
  <c r="BE115" i="7" s="1"/>
  <c r="AV5" i="7"/>
  <c r="AX5" i="7" s="1"/>
  <c r="AO71" i="13"/>
  <c r="AV71" i="13" s="1"/>
  <c r="AX71" i="13" s="1"/>
  <c r="BA71" i="13" s="1"/>
  <c r="BC71" i="13" s="1"/>
  <c r="BE71" i="13" s="1"/>
  <c r="BF71" i="13" s="1"/>
  <c r="BG71" i="13" s="1"/>
  <c r="BU60" i="14"/>
  <c r="BW60" i="14" s="1"/>
  <c r="BY60" i="14" s="1"/>
  <c r="BZ60" i="14" s="1"/>
  <c r="CA60" i="14" s="1"/>
  <c r="BU74" i="7"/>
  <c r="BW74" i="7" s="1"/>
  <c r="BY74" i="7" s="1"/>
  <c r="BA12" i="6"/>
  <c r="BC12" i="6" s="1"/>
  <c r="BE12" i="6" s="1"/>
  <c r="BF12" i="6" s="1"/>
  <c r="BG12" i="6" s="1"/>
  <c r="AO79" i="13"/>
  <c r="AV79" i="13" s="1"/>
  <c r="AX79" i="13" s="1"/>
  <c r="BA79" i="13" s="1"/>
  <c r="BC79" i="13" s="1"/>
  <c r="BE79" i="13" s="1"/>
  <c r="BF79" i="13" s="1"/>
  <c r="BG79" i="13" s="1"/>
  <c r="AO134" i="7"/>
  <c r="AV134" i="7" s="1"/>
  <c r="AX134" i="7" s="1"/>
  <c r="BA134" i="7" s="1"/>
  <c r="BC134" i="7" s="1"/>
  <c r="BE134" i="7" s="1"/>
  <c r="AO151" i="7"/>
  <c r="AV151" i="7" s="1"/>
  <c r="AX151" i="7" s="1"/>
  <c r="AV150" i="7"/>
  <c r="AX150" i="7" s="1"/>
  <c r="AO7" i="13"/>
  <c r="AV7" i="13" s="1"/>
  <c r="AX7" i="13" s="1"/>
  <c r="AV10" i="7"/>
  <c r="AX10" i="7" s="1"/>
  <c r="AV111" i="7"/>
  <c r="AX111" i="7" s="1"/>
  <c r="AV57" i="7"/>
  <c r="AX57" i="7" s="1"/>
  <c r="AV47" i="7"/>
  <c r="AX47" i="7" s="1"/>
  <c r="AV99" i="7"/>
  <c r="AX99" i="7" s="1"/>
  <c r="BU34" i="13"/>
  <c r="BW34" i="13" s="1"/>
  <c r="BY34" i="13" s="1"/>
  <c r="BZ34" i="13" s="1"/>
  <c r="CA34" i="13" s="1"/>
  <c r="AO61" i="7"/>
  <c r="AV61" i="7" s="1"/>
  <c r="AX61" i="7" s="1"/>
  <c r="BA61" i="7" s="1"/>
  <c r="BC61" i="7" s="1"/>
  <c r="BE61" i="7" s="1"/>
  <c r="AO11" i="7"/>
  <c r="AV11" i="7" s="1"/>
  <c r="AX11" i="7" s="1"/>
  <c r="AO30" i="7"/>
  <c r="AV30" i="7" s="1"/>
  <c r="AX30" i="7" s="1"/>
  <c r="BA30" i="7" s="1"/>
  <c r="BC30" i="7" s="1"/>
  <c r="BE30" i="7" s="1"/>
  <c r="AO85" i="7"/>
  <c r="AV85" i="7" s="1"/>
  <c r="AX85" i="7" s="1"/>
  <c r="AO114" i="7"/>
  <c r="AV114" i="7" s="1"/>
  <c r="AX114" i="7" s="1"/>
  <c r="AO98" i="7"/>
  <c r="AV98" i="7" s="1"/>
  <c r="AX98" i="7" s="1"/>
  <c r="AO113" i="7"/>
  <c r="AV113" i="7" s="1"/>
  <c r="AX113" i="7" s="1"/>
  <c r="BA113" i="7" s="1"/>
  <c r="BC113" i="7" s="1"/>
  <c r="BE113" i="7" s="1"/>
  <c r="AV9" i="7"/>
  <c r="AX9" i="7" s="1"/>
  <c r="AO62" i="7"/>
  <c r="AV62" i="7" s="1"/>
  <c r="AX62" i="7" s="1"/>
  <c r="AO110" i="7"/>
  <c r="AV110" i="7" s="1"/>
  <c r="AX110" i="7" s="1"/>
  <c r="AO34" i="7"/>
  <c r="AV34" i="7" s="1"/>
  <c r="AX34" i="7" s="1"/>
  <c r="AO12" i="7"/>
  <c r="AV12" i="7" s="1"/>
  <c r="AX12" i="7" s="1"/>
  <c r="AO65" i="7"/>
  <c r="AV65" i="7" s="1"/>
  <c r="AX65" i="7" s="1"/>
  <c r="BA65" i="7" s="1"/>
  <c r="BC65" i="7" s="1"/>
  <c r="BE65" i="7" s="1"/>
  <c r="AO82" i="7"/>
  <c r="AV82" i="7" s="1"/>
  <c r="AX82" i="7" s="1"/>
  <c r="AO60" i="7"/>
  <c r="AV60" i="7" s="1"/>
  <c r="AX60" i="7" s="1"/>
  <c r="BA60" i="7" s="1"/>
  <c r="BC60" i="7" s="1"/>
  <c r="BE60" i="7" s="1"/>
  <c r="AO109" i="7"/>
  <c r="AV109" i="7" s="1"/>
  <c r="AX109" i="7" s="1"/>
  <c r="BA109" i="7" s="1"/>
  <c r="BC109" i="7" s="1"/>
  <c r="BE109" i="7" s="1"/>
  <c r="AO83" i="7"/>
  <c r="AV83" i="7" s="1"/>
  <c r="AX83" i="7" s="1"/>
  <c r="BA83" i="7" s="1"/>
  <c r="BC83" i="7" s="1"/>
  <c r="BE83" i="7" s="1"/>
  <c r="AO64" i="7"/>
  <c r="AV64" i="7" s="1"/>
  <c r="AX64" i="7" s="1"/>
  <c r="BA11" i="6"/>
  <c r="BC11" i="6" s="1"/>
  <c r="BE11" i="6" s="1"/>
  <c r="BF11" i="6" s="1"/>
  <c r="BG11" i="6" s="1"/>
  <c r="BA33" i="6"/>
  <c r="BC33" i="6" s="1"/>
  <c r="BE33" i="6" s="1"/>
  <c r="BF33" i="6" s="1"/>
  <c r="BG33" i="6" s="1"/>
  <c r="BA54" i="14"/>
  <c r="BC54" i="14" s="1"/>
  <c r="BE54" i="14" s="1"/>
  <c r="BA52" i="6"/>
  <c r="BC52" i="6" s="1"/>
  <c r="BE52" i="6" s="1"/>
  <c r="BF52" i="6" s="1"/>
  <c r="BG52" i="6" s="1"/>
  <c r="BA44" i="6"/>
  <c r="BC44" i="6" s="1"/>
  <c r="BE44" i="6" s="1"/>
  <c r="BA32" i="14"/>
  <c r="BC32" i="14" s="1"/>
  <c r="BE32" i="14" s="1"/>
  <c r="BF32" i="14" s="1"/>
  <c r="BG32" i="14" s="1"/>
  <c r="BF31" i="7"/>
  <c r="BG31" i="7" s="1"/>
  <c r="BA19" i="6"/>
  <c r="BC19" i="6" s="1"/>
  <c r="BE19" i="6" s="1"/>
  <c r="BA17" i="6"/>
  <c r="BC17" i="6" s="1"/>
  <c r="BE17" i="6" s="1"/>
  <c r="BF49" i="6"/>
  <c r="BG49" i="6" s="1"/>
  <c r="BA32" i="6"/>
  <c r="BC32" i="6" s="1"/>
  <c r="BE32" i="6" s="1"/>
  <c r="BF32" i="6" s="1"/>
  <c r="BG32" i="6" s="1"/>
  <c r="BA28" i="6"/>
  <c r="BC28" i="6" s="1"/>
  <c r="BE28" i="6" s="1"/>
  <c r="BA55" i="6"/>
  <c r="BC55" i="6" s="1"/>
  <c r="BE55" i="6" s="1"/>
  <c r="BA7" i="6"/>
  <c r="BC7" i="6" s="1"/>
  <c r="BE7" i="6" s="1"/>
  <c r="BF7" i="6" s="1"/>
  <c r="BG7" i="6" s="1"/>
  <c r="BA35" i="6"/>
  <c r="BC35" i="6" s="1"/>
  <c r="BE35" i="6" s="1"/>
  <c r="BA62" i="6"/>
  <c r="BC62" i="6" s="1"/>
  <c r="BE62" i="6" s="1"/>
  <c r="BF62" i="6" s="1"/>
  <c r="BG62" i="6" s="1"/>
  <c r="BA57" i="6"/>
  <c r="BC57" i="6" s="1"/>
  <c r="BE57" i="6" s="1"/>
  <c r="BA27" i="6"/>
  <c r="BC27" i="6" s="1"/>
  <c r="BE27" i="6" s="1"/>
  <c r="BF27" i="6" s="1"/>
  <c r="BG27" i="6" s="1"/>
  <c r="BU32" i="14"/>
  <c r="BW32" i="14" s="1"/>
  <c r="BY32" i="14" s="1"/>
  <c r="BZ32" i="14" s="1"/>
  <c r="CA32" i="14" s="1"/>
  <c r="BA37" i="6"/>
  <c r="BC37" i="6" s="1"/>
  <c r="BE37" i="6" s="1"/>
  <c r="BA60" i="6"/>
  <c r="BC60" i="6" s="1"/>
  <c r="BE60" i="6" s="1"/>
  <c r="BA10" i="14"/>
  <c r="BC10" i="14" s="1"/>
  <c r="BE10" i="14" s="1"/>
  <c r="BZ60" i="7"/>
  <c r="CA60" i="7" s="1"/>
  <c r="BU142" i="7"/>
  <c r="BW142" i="7" s="1"/>
  <c r="BY142" i="7" s="1"/>
  <c r="BU18" i="7"/>
  <c r="BW18" i="7" s="1"/>
  <c r="BY18" i="7" s="1"/>
  <c r="BU28" i="7"/>
  <c r="BW28" i="7" s="1"/>
  <c r="BY28" i="7" s="1"/>
  <c r="BU78" i="13"/>
  <c r="BW78" i="13" s="1"/>
  <c r="BY78" i="13" s="1"/>
  <c r="BZ78" i="13" s="1"/>
  <c r="CA78" i="13" s="1"/>
  <c r="BA53" i="14"/>
  <c r="BC53" i="14" s="1"/>
  <c r="BE53" i="14" s="1"/>
  <c r="BF53" i="14" s="1"/>
  <c r="BG53" i="14" s="1"/>
  <c r="BU34" i="6"/>
  <c r="BW34" i="6" s="1"/>
  <c r="BY34" i="6" s="1"/>
  <c r="BU42" i="13"/>
  <c r="BW42" i="13" s="1"/>
  <c r="BY42" i="13" s="1"/>
  <c r="BZ42" i="13" s="1"/>
  <c r="CA42" i="13" s="1"/>
  <c r="BA34" i="6"/>
  <c r="BC34" i="6" s="1"/>
  <c r="BE34" i="6" s="1"/>
  <c r="BA18" i="6"/>
  <c r="BC18" i="6" s="1"/>
  <c r="BE18" i="6" s="1"/>
  <c r="BU59" i="6"/>
  <c r="BW59" i="6" s="1"/>
  <c r="BY59" i="6" s="1"/>
  <c r="BA8" i="14"/>
  <c r="BC8" i="14" s="1"/>
  <c r="BE8" i="14" s="1"/>
  <c r="AO5" i="14"/>
  <c r="AV5" i="14" s="1"/>
  <c r="AX5" i="14" s="1"/>
  <c r="BA5" i="14" s="1"/>
  <c r="BC5" i="14" s="1"/>
  <c r="BE5" i="14" s="1"/>
  <c r="BU30" i="13"/>
  <c r="BW30" i="13" s="1"/>
  <c r="BY30" i="13" s="1"/>
  <c r="BZ30" i="13" s="1"/>
  <c r="CA30" i="13" s="1"/>
  <c r="BU140" i="7"/>
  <c r="BW140" i="7" s="1"/>
  <c r="BY140" i="7" s="1"/>
  <c r="BU7" i="13"/>
  <c r="BW7" i="13" s="1"/>
  <c r="BY7" i="13" s="1"/>
  <c r="BZ7" i="13" s="1"/>
  <c r="CA7" i="13" s="1"/>
  <c r="BA112" i="7"/>
  <c r="BC112" i="7" s="1"/>
  <c r="BE112" i="7" s="1"/>
  <c r="BU63" i="7"/>
  <c r="BW63" i="7" s="1"/>
  <c r="BY63" i="7" s="1"/>
  <c r="BA69" i="13"/>
  <c r="BC69" i="13" s="1"/>
  <c r="BE69" i="13" s="1"/>
  <c r="BF69" i="13" s="1"/>
  <c r="BG69" i="13" s="1"/>
  <c r="BU69" i="13"/>
  <c r="BW69" i="13" s="1"/>
  <c r="BY69" i="13" s="1"/>
  <c r="BZ69" i="13" s="1"/>
  <c r="CA69" i="13" s="1"/>
  <c r="BU144" i="7"/>
  <c r="BW144" i="7" s="1"/>
  <c r="BY144" i="7" s="1"/>
  <c r="BU27" i="14"/>
  <c r="BW27" i="14" s="1"/>
  <c r="BY27" i="14" s="1"/>
  <c r="BU138" i="7"/>
  <c r="BW138" i="7" s="1"/>
  <c r="BY138" i="7" s="1"/>
  <c r="BU64" i="13"/>
  <c r="BW64" i="13" s="1"/>
  <c r="BY64" i="13" s="1"/>
  <c r="BZ64" i="13" s="1"/>
  <c r="CA64" i="13" s="1"/>
  <c r="BA34" i="14"/>
  <c r="BC34" i="14" s="1"/>
  <c r="BE34" i="14" s="1"/>
  <c r="BU34" i="14"/>
  <c r="BW34" i="14" s="1"/>
  <c r="BY34" i="14" s="1"/>
  <c r="BU111" i="7"/>
  <c r="BW111" i="7" s="1"/>
  <c r="BY111" i="7" s="1"/>
  <c r="BA25" i="6"/>
  <c r="BC25" i="6" s="1"/>
  <c r="BE25" i="6" s="1"/>
  <c r="BU25" i="6"/>
  <c r="BW25" i="6" s="1"/>
  <c r="BY25" i="6" s="1"/>
  <c r="BU145" i="7"/>
  <c r="BW145" i="7" s="1"/>
  <c r="BY145" i="7" s="1"/>
  <c r="BU42" i="6"/>
  <c r="BW42" i="6" s="1"/>
  <c r="BY42" i="6" s="1"/>
  <c r="BZ42" i="6" s="1"/>
  <c r="CA42" i="6" s="1"/>
  <c r="BU55" i="14"/>
  <c r="BW55" i="14" s="1"/>
  <c r="BY55" i="14" s="1"/>
  <c r="BZ55" i="14" s="1"/>
  <c r="CA55" i="14" s="1"/>
  <c r="BA31" i="6"/>
  <c r="BC31" i="6" s="1"/>
  <c r="BE31" i="6" s="1"/>
  <c r="BF31" i="6" s="1"/>
  <c r="BG31" i="6" s="1"/>
  <c r="BU24" i="13"/>
  <c r="BW24" i="13" s="1"/>
  <c r="BY24" i="13" s="1"/>
  <c r="BZ24" i="13" s="1"/>
  <c r="CA24" i="13" s="1"/>
  <c r="BU72" i="13"/>
  <c r="BW72" i="13" s="1"/>
  <c r="BY72" i="13" s="1"/>
  <c r="BZ72" i="13" s="1"/>
  <c r="CA72" i="13" s="1"/>
  <c r="BU77" i="7"/>
  <c r="BW77" i="7" s="1"/>
  <c r="BY77" i="7" s="1"/>
  <c r="BU110" i="7"/>
  <c r="BW110" i="7" s="1"/>
  <c r="BY110" i="7" s="1"/>
  <c r="BA28" i="14"/>
  <c r="BC28" i="14" s="1"/>
  <c r="BE28" i="14" s="1"/>
  <c r="BU41" i="13"/>
  <c r="BW41" i="13" s="1"/>
  <c r="BY41" i="13" s="1"/>
  <c r="BZ41" i="13" s="1"/>
  <c r="CA41" i="13" s="1"/>
  <c r="BU29" i="13"/>
  <c r="BW29" i="13" s="1"/>
  <c r="BY29" i="13" s="1"/>
  <c r="BZ29" i="13" s="1"/>
  <c r="CA29" i="13" s="1"/>
  <c r="BU10" i="13"/>
  <c r="BW10" i="13" s="1"/>
  <c r="BY10" i="13" s="1"/>
  <c r="BZ10" i="13" s="1"/>
  <c r="CA10" i="13" s="1"/>
  <c r="BZ8" i="14"/>
  <c r="CA8" i="14" s="1"/>
  <c r="BA42" i="6"/>
  <c r="BC42" i="6" s="1"/>
  <c r="BE42" i="6" s="1"/>
  <c r="BF42" i="6" s="1"/>
  <c r="BG42" i="6" s="1"/>
  <c r="BU53" i="13"/>
  <c r="BW53" i="13" s="1"/>
  <c r="BY53" i="13" s="1"/>
  <c r="BZ53" i="13" s="1"/>
  <c r="CA53" i="13" s="1"/>
  <c r="BU103" i="7"/>
  <c r="BW103" i="7" s="1"/>
  <c r="BY103" i="7" s="1"/>
  <c r="BU37" i="6"/>
  <c r="BW37" i="6" s="1"/>
  <c r="BY37" i="6" s="1"/>
  <c r="BU11" i="14"/>
  <c r="BW11" i="14" s="1"/>
  <c r="BY11" i="14" s="1"/>
  <c r="BU47" i="7"/>
  <c r="BW47" i="7" s="1"/>
  <c r="BY47" i="7" s="1"/>
  <c r="BU116" i="7"/>
  <c r="BW116" i="7" s="1"/>
  <c r="BY116" i="7" s="1"/>
  <c r="BA29" i="14"/>
  <c r="BC29" i="14" s="1"/>
  <c r="BE29" i="14" s="1"/>
  <c r="BU127" i="7"/>
  <c r="BW127" i="7" s="1"/>
  <c r="BY127" i="7" s="1"/>
  <c r="BU29" i="14"/>
  <c r="BW29" i="14" s="1"/>
  <c r="BY29" i="14" s="1"/>
  <c r="BA55" i="14"/>
  <c r="BC55" i="14" s="1"/>
  <c r="BE55" i="14" s="1"/>
  <c r="BF55" i="14" s="1"/>
  <c r="BG55" i="14" s="1"/>
  <c r="BA33" i="14"/>
  <c r="BC33" i="14" s="1"/>
  <c r="BE33" i="14" s="1"/>
  <c r="BU79" i="13"/>
  <c r="BW79" i="13" s="1"/>
  <c r="BY79" i="13" s="1"/>
  <c r="BZ79" i="13" s="1"/>
  <c r="CA79" i="13" s="1"/>
  <c r="BZ33" i="14"/>
  <c r="CA33" i="14" s="1"/>
  <c r="BA63" i="7"/>
  <c r="BC63" i="7" s="1"/>
  <c r="BE63" i="7" s="1"/>
  <c r="BA50" i="14"/>
  <c r="BC50" i="14" s="1"/>
  <c r="BE50" i="14" s="1"/>
  <c r="BU50" i="14"/>
  <c r="BW50" i="14" s="1"/>
  <c r="BY50" i="14" s="1"/>
  <c r="BU78" i="7"/>
  <c r="BW78" i="7" s="1"/>
  <c r="BY78" i="7" s="1"/>
  <c r="BU154" i="7"/>
  <c r="BW154" i="7" s="1"/>
  <c r="BY154" i="7" s="1"/>
  <c r="BU83" i="13"/>
  <c r="BW83" i="13" s="1"/>
  <c r="BY83" i="13" s="1"/>
  <c r="BZ83" i="13" s="1"/>
  <c r="CA83" i="13" s="1"/>
  <c r="BU82" i="13"/>
  <c r="BW82" i="13" s="1"/>
  <c r="BY82" i="13" s="1"/>
  <c r="BZ82" i="13" s="1"/>
  <c r="CA82" i="13" s="1"/>
  <c r="BA56" i="14"/>
  <c r="BC56" i="14" s="1"/>
  <c r="BE56" i="14" s="1"/>
  <c r="BU31" i="6"/>
  <c r="BW31" i="6" s="1"/>
  <c r="BY31" i="6" s="1"/>
  <c r="BZ31" i="6" s="1"/>
  <c r="CA31" i="6" s="1"/>
  <c r="BZ54" i="14"/>
  <c r="CA54" i="14" s="1"/>
  <c r="BU23" i="13"/>
  <c r="BW23" i="13" s="1"/>
  <c r="BY23" i="13" s="1"/>
  <c r="BZ23" i="13" s="1"/>
  <c r="CA23" i="13" s="1"/>
  <c r="BA11" i="14"/>
  <c r="BC11" i="14" s="1"/>
  <c r="BE11" i="14" s="1"/>
  <c r="BU49" i="7"/>
  <c r="BW49" i="7" s="1"/>
  <c r="BY49" i="7" s="1"/>
  <c r="BU5" i="13"/>
  <c r="BW5" i="13" s="1"/>
  <c r="BY5" i="13" s="1"/>
  <c r="BU96" i="7"/>
  <c r="BW96" i="7" s="1"/>
  <c r="BY96" i="7" s="1"/>
  <c r="BU105" i="7"/>
  <c r="BW105" i="7" s="1"/>
  <c r="BY105" i="7" s="1"/>
  <c r="BA56" i="7"/>
  <c r="BC56" i="7" s="1"/>
  <c r="BE56" i="7" s="1"/>
  <c r="BU14" i="13"/>
  <c r="BW14" i="13" s="1"/>
  <c r="BY14" i="13" s="1"/>
  <c r="BZ14" i="13" s="1"/>
  <c r="CA14" i="13" s="1"/>
  <c r="BU73" i="7"/>
  <c r="BW73" i="7" s="1"/>
  <c r="BY73" i="7" s="1"/>
  <c r="BU87" i="7"/>
  <c r="BW87" i="7" s="1"/>
  <c r="BY87" i="7" s="1"/>
  <c r="BU123" i="7"/>
  <c r="BW123" i="7" s="1"/>
  <c r="BY123" i="7" s="1"/>
  <c r="BA73" i="13"/>
  <c r="BC73" i="13" s="1"/>
  <c r="BE73" i="13" s="1"/>
  <c r="BF73" i="13" s="1"/>
  <c r="BG73" i="13" s="1"/>
  <c r="BU73" i="13"/>
  <c r="BW73" i="13" s="1"/>
  <c r="BY73" i="13" s="1"/>
  <c r="BZ73" i="13" s="1"/>
  <c r="CA73" i="13" s="1"/>
  <c r="BU69" i="7"/>
  <c r="BW69" i="7" s="1"/>
  <c r="BY69" i="7" s="1"/>
  <c r="BU34" i="7"/>
  <c r="BW34" i="7" s="1"/>
  <c r="BY34" i="7" s="1"/>
  <c r="BU28" i="14"/>
  <c r="BW28" i="14" s="1"/>
  <c r="BY28" i="14" s="1"/>
  <c r="BA59" i="6"/>
  <c r="BC59" i="6" s="1"/>
  <c r="BE59" i="6" s="1"/>
  <c r="BU71" i="7"/>
  <c r="BW71" i="7" s="1"/>
  <c r="BY71" i="7" s="1"/>
  <c r="BA14" i="6"/>
  <c r="BC14" i="6" s="1"/>
  <c r="BE14" i="6" s="1"/>
  <c r="BU60" i="6"/>
  <c r="BW60" i="6" s="1"/>
  <c r="BY60" i="6" s="1"/>
  <c r="BU159" i="7"/>
  <c r="BW159" i="7" s="1"/>
  <c r="BY159" i="7" s="1"/>
  <c r="BA59" i="7"/>
  <c r="BC59" i="7" s="1"/>
  <c r="BE59" i="7" s="1"/>
  <c r="BU59" i="7"/>
  <c r="BW59" i="7" s="1"/>
  <c r="BY59" i="7" s="1"/>
  <c r="BU146" i="7"/>
  <c r="BW146" i="7" s="1"/>
  <c r="BY146" i="7" s="1"/>
  <c r="BU32" i="13"/>
  <c r="BW32" i="13" s="1"/>
  <c r="BY32" i="13" s="1"/>
  <c r="BZ32" i="13" s="1"/>
  <c r="CA32" i="13" s="1"/>
  <c r="BA9" i="13"/>
  <c r="BC9" i="13" s="1"/>
  <c r="BE9" i="13" s="1"/>
  <c r="BF9" i="13" s="1"/>
  <c r="BG9" i="13" s="1"/>
  <c r="BU9" i="13"/>
  <c r="BW9" i="13" s="1"/>
  <c r="BY9" i="13" s="1"/>
  <c r="BZ9" i="13" s="1"/>
  <c r="CA9" i="13" s="1"/>
  <c r="BU131" i="7"/>
  <c r="BW131" i="7" s="1"/>
  <c r="BY131" i="7" s="1"/>
  <c r="BU75" i="13"/>
  <c r="BW75" i="13" s="1"/>
  <c r="BY75" i="13" s="1"/>
  <c r="BZ75" i="13" s="1"/>
  <c r="CA75" i="13" s="1"/>
  <c r="BU68" i="13"/>
  <c r="BW68" i="13" s="1"/>
  <c r="BY68" i="13" s="1"/>
  <c r="BZ68" i="13" s="1"/>
  <c r="CA68" i="13" s="1"/>
  <c r="BA68" i="13"/>
  <c r="BC68" i="13" s="1"/>
  <c r="BE68" i="13" s="1"/>
  <c r="BF68" i="13" s="1"/>
  <c r="BG68" i="13" s="1"/>
  <c r="BA22" i="6"/>
  <c r="BC22" i="6" s="1"/>
  <c r="BE22" i="6" s="1"/>
  <c r="BF22" i="6" s="1"/>
  <c r="BG22" i="6" s="1"/>
  <c r="BU90" i="13"/>
  <c r="BW90" i="13" s="1"/>
  <c r="BY90" i="13" s="1"/>
  <c r="BZ90" i="13" s="1"/>
  <c r="CA90" i="13" s="1"/>
  <c r="BA61" i="6"/>
  <c r="BC61" i="6" s="1"/>
  <c r="BE61" i="6" s="1"/>
  <c r="BF61" i="6" s="1"/>
  <c r="BG61" i="6" s="1"/>
  <c r="BU26" i="13"/>
  <c r="BW26" i="13" s="1"/>
  <c r="BY26" i="13" s="1"/>
  <c r="BZ26" i="13" s="1"/>
  <c r="CA26" i="13" s="1"/>
  <c r="BU90" i="7"/>
  <c r="BW90" i="7" s="1"/>
  <c r="BY90" i="7" s="1"/>
  <c r="BU98" i="7"/>
  <c r="BW98" i="7" s="1"/>
  <c r="BY98" i="7" s="1"/>
  <c r="BA38" i="13"/>
  <c r="BC38" i="13" s="1"/>
  <c r="BE38" i="13" s="1"/>
  <c r="BF38" i="13" s="1"/>
  <c r="BG38" i="13" s="1"/>
  <c r="BU38" i="13"/>
  <c r="BW38" i="13" s="1"/>
  <c r="BY38" i="13" s="1"/>
  <c r="BZ38" i="13" s="1"/>
  <c r="CA38" i="13" s="1"/>
  <c r="BU133" i="7"/>
  <c r="BW133" i="7" s="1"/>
  <c r="BY133" i="7" s="1"/>
  <c r="BU7" i="14"/>
  <c r="BW7" i="14" s="1"/>
  <c r="BY7" i="14" s="1"/>
  <c r="BZ7" i="14" s="1"/>
  <c r="CA7" i="14" s="1"/>
  <c r="BA7" i="14"/>
  <c r="BC7" i="14" s="1"/>
  <c r="BE7" i="14" s="1"/>
  <c r="BF7" i="14" s="1"/>
  <c r="BG7" i="14" s="1"/>
  <c r="BA8" i="7"/>
  <c r="BC8" i="7" s="1"/>
  <c r="BE8" i="7" s="1"/>
  <c r="BA12" i="14"/>
  <c r="BC12" i="14" s="1"/>
  <c r="BE12" i="14" s="1"/>
  <c r="BU75" i="7"/>
  <c r="BW75" i="7" s="1"/>
  <c r="BY75" i="7" s="1"/>
  <c r="BU85" i="7"/>
  <c r="BW85" i="7" s="1"/>
  <c r="BY85" i="7" s="1"/>
  <c r="BU21" i="13"/>
  <c r="BW21" i="13" s="1"/>
  <c r="BY21" i="13" s="1"/>
  <c r="BZ21" i="13" s="1"/>
  <c r="CA21" i="13" s="1"/>
  <c r="BA21" i="13"/>
  <c r="BC21" i="13" s="1"/>
  <c r="BE21" i="13" s="1"/>
  <c r="BF21" i="13" s="1"/>
  <c r="BG21" i="13" s="1"/>
  <c r="BU70" i="13"/>
  <c r="BW70" i="13" s="1"/>
  <c r="BY70" i="13" s="1"/>
  <c r="BZ70" i="13" s="1"/>
  <c r="CA70" i="13" s="1"/>
  <c r="BU117" i="7"/>
  <c r="BW117" i="7" s="1"/>
  <c r="BY117" i="7" s="1"/>
  <c r="BU6" i="13"/>
  <c r="BW6" i="13" s="1"/>
  <c r="BY6" i="13" s="1"/>
  <c r="BZ6" i="13" s="1"/>
  <c r="CA6" i="13" s="1"/>
  <c r="BA13" i="6"/>
  <c r="BC13" i="6" s="1"/>
  <c r="BE13" i="6" s="1"/>
  <c r="BF13" i="6" s="1"/>
  <c r="BG13" i="6" s="1"/>
  <c r="BA58" i="13"/>
  <c r="BC58" i="13" s="1"/>
  <c r="BE58" i="13" s="1"/>
  <c r="BF58" i="13" s="1"/>
  <c r="BG58" i="13" s="1"/>
  <c r="BU58" i="13"/>
  <c r="BW58" i="13" s="1"/>
  <c r="BY58" i="13" s="1"/>
  <c r="BZ58" i="13" s="1"/>
  <c r="CA58" i="13" s="1"/>
  <c r="BU61" i="13"/>
  <c r="BW61" i="13" s="1"/>
  <c r="BY61" i="13" s="1"/>
  <c r="BZ61" i="13" s="1"/>
  <c r="CA61" i="13" s="1"/>
  <c r="BU11" i="13"/>
  <c r="BW11" i="13" s="1"/>
  <c r="BY11" i="13" s="1"/>
  <c r="BZ11" i="13" s="1"/>
  <c r="CA11" i="13" s="1"/>
  <c r="BU112" i="7"/>
  <c r="BW112" i="7" s="1"/>
  <c r="BY112" i="7" s="1"/>
  <c r="BU99" i="7"/>
  <c r="BW99" i="7" s="1"/>
  <c r="BY99" i="7" s="1"/>
  <c r="BU76" i="7"/>
  <c r="BW76" i="7" s="1"/>
  <c r="BY76" i="7" s="1"/>
  <c r="BA27" i="14"/>
  <c r="BC27" i="14" s="1"/>
  <c r="BE27" i="14" s="1"/>
  <c r="BF29" i="6"/>
  <c r="BG29" i="6" s="1"/>
  <c r="BU66" i="13"/>
  <c r="BW66" i="13" s="1"/>
  <c r="BY66" i="13" s="1"/>
  <c r="BZ66" i="13" s="1"/>
  <c r="CA66" i="13" s="1"/>
  <c r="BA24" i="6"/>
  <c r="BC24" i="6" s="1"/>
  <c r="BE24" i="6" s="1"/>
  <c r="BU24" i="6"/>
  <c r="BW24" i="6" s="1"/>
  <c r="BY24" i="6" s="1"/>
  <c r="BU106" i="7"/>
  <c r="BW106" i="7" s="1"/>
  <c r="BY106" i="7" s="1"/>
  <c r="BA44" i="13"/>
  <c r="BC44" i="13" s="1"/>
  <c r="BE44" i="13" s="1"/>
  <c r="BF44" i="13" s="1"/>
  <c r="BG44" i="13" s="1"/>
  <c r="BU50" i="7"/>
  <c r="BW50" i="7" s="1"/>
  <c r="BY50" i="7" s="1"/>
  <c r="BU66" i="7"/>
  <c r="BW66" i="7" s="1"/>
  <c r="BY66" i="7" s="1"/>
  <c r="BU102" i="7"/>
  <c r="BW102" i="7" s="1"/>
  <c r="BY102" i="7" s="1"/>
  <c r="BU67" i="13"/>
  <c r="BW67" i="13" s="1"/>
  <c r="BY67" i="13" s="1"/>
  <c r="BZ67" i="13" s="1"/>
  <c r="CA67" i="13" s="1"/>
  <c r="BU139" i="7"/>
  <c r="BW139" i="7" s="1"/>
  <c r="BY139" i="7" s="1"/>
  <c r="BU89" i="13"/>
  <c r="BW89" i="13" s="1"/>
  <c r="BY89" i="13" s="1"/>
  <c r="BZ89" i="13" s="1"/>
  <c r="CA89" i="13" s="1"/>
  <c r="BU122" i="7"/>
  <c r="BW122" i="7" s="1"/>
  <c r="BY122" i="7" s="1"/>
  <c r="BU70" i="7"/>
  <c r="BW70" i="7" s="1"/>
  <c r="BY70" i="7" s="1"/>
  <c r="BA9" i="14"/>
  <c r="BC9" i="14" s="1"/>
  <c r="BE9" i="14" s="1"/>
  <c r="BF9" i="14" s="1"/>
  <c r="BG9" i="14" s="1"/>
  <c r="BU9" i="14"/>
  <c r="BW9" i="14" s="1"/>
  <c r="BY9" i="14" s="1"/>
  <c r="BZ9" i="14" s="1"/>
  <c r="CA9" i="14" s="1"/>
  <c r="BA86" i="7"/>
  <c r="BC86" i="7" s="1"/>
  <c r="BE86" i="7" s="1"/>
  <c r="BU86" i="7"/>
  <c r="BW86" i="7" s="1"/>
  <c r="BY86" i="7" s="1"/>
  <c r="BU40" i="13"/>
  <c r="BW40" i="13" s="1"/>
  <c r="BY40" i="13" s="1"/>
  <c r="BZ40" i="13" s="1"/>
  <c r="CA40" i="13" s="1"/>
  <c r="BA40" i="13"/>
  <c r="BC40" i="13" s="1"/>
  <c r="BE40" i="13" s="1"/>
  <c r="BF40" i="13" s="1"/>
  <c r="BG40" i="13" s="1"/>
  <c r="BU95" i="7"/>
  <c r="BW95" i="7" s="1"/>
  <c r="BY95" i="7" s="1"/>
  <c r="BA4" i="7"/>
  <c r="BC4" i="7" s="1"/>
  <c r="BE4" i="7" s="1"/>
  <c r="BU47" i="13"/>
  <c r="BW47" i="13" s="1"/>
  <c r="BY47" i="13" s="1"/>
  <c r="BZ47" i="13" s="1"/>
  <c r="CA47" i="13" s="1"/>
  <c r="BU56" i="14"/>
  <c r="BW56" i="14" s="1"/>
  <c r="BY56" i="14" s="1"/>
  <c r="BU82" i="7"/>
  <c r="BW82" i="7" s="1"/>
  <c r="BY82" i="7" s="1"/>
  <c r="BU62" i="7"/>
  <c r="BW62" i="7" s="1"/>
  <c r="BY62" i="7" s="1"/>
  <c r="BU19" i="13"/>
  <c r="BW19" i="13" s="1"/>
  <c r="BY19" i="13" s="1"/>
  <c r="BZ19" i="13" s="1"/>
  <c r="CA19" i="13" s="1"/>
  <c r="BU92" i="13"/>
  <c r="BW92" i="13" s="1"/>
  <c r="BY92" i="13" s="1"/>
  <c r="BZ92" i="13" s="1"/>
  <c r="CA92" i="13" s="1"/>
  <c r="BU60" i="13"/>
  <c r="BW60" i="13" s="1"/>
  <c r="BY60" i="13" s="1"/>
  <c r="BZ60" i="13" s="1"/>
  <c r="CA60" i="13" s="1"/>
  <c r="BU148" i="7"/>
  <c r="BW148" i="7" s="1"/>
  <c r="BY148" i="7" s="1"/>
  <c r="BU54" i="13"/>
  <c r="BW54" i="13" s="1"/>
  <c r="BY54" i="13" s="1"/>
  <c r="BZ54" i="13" s="1"/>
  <c r="CA54" i="13" s="1"/>
  <c r="BU56" i="13"/>
  <c r="BW56" i="13" s="1"/>
  <c r="BY56" i="13" s="1"/>
  <c r="BZ56" i="13" s="1"/>
  <c r="CA56" i="13" s="1"/>
  <c r="BA50" i="13"/>
  <c r="BC50" i="13" s="1"/>
  <c r="BE50" i="13" s="1"/>
  <c r="BF50" i="13" s="1"/>
  <c r="BG50" i="13" s="1"/>
  <c r="BU50" i="13"/>
  <c r="BW50" i="13" s="1"/>
  <c r="BY50" i="13" s="1"/>
  <c r="BZ50" i="13" s="1"/>
  <c r="CA50" i="13" s="1"/>
  <c r="BU130" i="7"/>
  <c r="BW130" i="7" s="1"/>
  <c r="BY130" i="7" s="1"/>
  <c r="BU12" i="13"/>
  <c r="BW12" i="13" s="1"/>
  <c r="BY12" i="13" s="1"/>
  <c r="BZ12" i="13" s="1"/>
  <c r="CA12" i="13" s="1"/>
  <c r="BU121" i="7"/>
  <c r="BW121" i="7" s="1"/>
  <c r="BY121" i="7" s="1"/>
  <c r="BU37" i="13"/>
  <c r="BW37" i="13" s="1"/>
  <c r="BY37" i="13" s="1"/>
  <c r="BZ37" i="13" s="1"/>
  <c r="CA37" i="13" s="1"/>
  <c r="BU92" i="7"/>
  <c r="BW92" i="7" s="1"/>
  <c r="BY92" i="7" s="1"/>
  <c r="BA88" i="13"/>
  <c r="BC88" i="13" s="1"/>
  <c r="BE88" i="13" s="1"/>
  <c r="BF88" i="13" s="1"/>
  <c r="BG88" i="13" s="1"/>
  <c r="BU88" i="13"/>
  <c r="BW88" i="13" s="1"/>
  <c r="BY88" i="13" s="1"/>
  <c r="BZ88" i="13" s="1"/>
  <c r="CA88" i="13" s="1"/>
  <c r="BU13" i="13"/>
  <c r="BW13" i="13" s="1"/>
  <c r="BY13" i="13" s="1"/>
  <c r="BZ13" i="13" s="1"/>
  <c r="CA13" i="13" s="1"/>
  <c r="BA13" i="13"/>
  <c r="BC13" i="13" s="1"/>
  <c r="BE13" i="13" s="1"/>
  <c r="BF13" i="13" s="1"/>
  <c r="BG13" i="13" s="1"/>
  <c r="BU46" i="13"/>
  <c r="BW46" i="13" s="1"/>
  <c r="BY46" i="13" s="1"/>
  <c r="BZ46" i="13" s="1"/>
  <c r="CA46" i="13" s="1"/>
  <c r="BA57" i="13"/>
  <c r="BC57" i="13" s="1"/>
  <c r="BE57" i="13" s="1"/>
  <c r="BF57" i="13" s="1"/>
  <c r="BG57" i="13" s="1"/>
  <c r="BU57" i="13"/>
  <c r="BW57" i="13" s="1"/>
  <c r="BY57" i="13" s="1"/>
  <c r="BZ57" i="13" s="1"/>
  <c r="CA57" i="13" s="1"/>
  <c r="BU124" i="7"/>
  <c r="BW124" i="7" s="1"/>
  <c r="BY124" i="7" s="1"/>
  <c r="BU79" i="7"/>
  <c r="BW79" i="7" s="1"/>
  <c r="BY79" i="7" s="1"/>
  <c r="BU126" i="7"/>
  <c r="BW126" i="7" s="1"/>
  <c r="BY126" i="7" s="1"/>
  <c r="BU153" i="7"/>
  <c r="BW153" i="7" s="1"/>
  <c r="BY153" i="7" s="1"/>
  <c r="BU39" i="13"/>
  <c r="BW39" i="13" s="1"/>
  <c r="BY39" i="13" s="1"/>
  <c r="BZ39" i="13" s="1"/>
  <c r="CA39" i="13" s="1"/>
  <c r="BA39" i="13"/>
  <c r="BC39" i="13" s="1"/>
  <c r="BE39" i="13" s="1"/>
  <c r="BF39" i="13" s="1"/>
  <c r="BG39" i="13" s="1"/>
  <c r="BA30" i="6"/>
  <c r="BC30" i="6" s="1"/>
  <c r="BE30" i="6" s="1"/>
  <c r="BU48" i="7"/>
  <c r="BW48" i="7" s="1"/>
  <c r="BY48" i="7" s="1"/>
  <c r="BA87" i="13"/>
  <c r="BC87" i="13" s="1"/>
  <c r="BE87" i="13" s="1"/>
  <c r="BF87" i="13" s="1"/>
  <c r="BG87" i="13" s="1"/>
  <c r="BU87" i="13"/>
  <c r="BW87" i="13" s="1"/>
  <c r="BY87" i="13" s="1"/>
  <c r="BZ87" i="13" s="1"/>
  <c r="CA87" i="13" s="1"/>
  <c r="BU155" i="7"/>
  <c r="BW155" i="7" s="1"/>
  <c r="BY155" i="7" s="1"/>
  <c r="BU31" i="14"/>
  <c r="BW31" i="14" s="1"/>
  <c r="BY31" i="14" s="1"/>
  <c r="BA31" i="14"/>
  <c r="BC31" i="14" s="1"/>
  <c r="BE31" i="14" s="1"/>
  <c r="BU135" i="7"/>
  <c r="BW135" i="7" s="1"/>
  <c r="BY135" i="7" s="1"/>
  <c r="BA135" i="7"/>
  <c r="BC135" i="7" s="1"/>
  <c r="BE135" i="7" s="1"/>
  <c r="BU45" i="13"/>
  <c r="BW45" i="13" s="1"/>
  <c r="BY45" i="13" s="1"/>
  <c r="BZ45" i="13" s="1"/>
  <c r="CA45" i="13" s="1"/>
  <c r="BU67" i="7"/>
  <c r="BW67" i="7" s="1"/>
  <c r="BY67" i="7" s="1"/>
  <c r="BU16" i="13"/>
  <c r="BW16" i="13" s="1"/>
  <c r="BY16" i="13" s="1"/>
  <c r="BZ16" i="13" s="1"/>
  <c r="CA16" i="13" s="1"/>
  <c r="BU114" i="7"/>
  <c r="BW114" i="7" s="1"/>
  <c r="BY114" i="7" s="1"/>
  <c r="BU52" i="7"/>
  <c r="BW52" i="7" s="1"/>
  <c r="BY52" i="7" s="1"/>
  <c r="BU35" i="13"/>
  <c r="BW35" i="13" s="1"/>
  <c r="BY35" i="13" s="1"/>
  <c r="BZ35" i="13" s="1"/>
  <c r="CA35" i="13" s="1"/>
  <c r="BA30" i="14"/>
  <c r="BC30" i="14" s="1"/>
  <c r="BE30" i="14" s="1"/>
  <c r="BF30" i="14" s="1"/>
  <c r="BG30" i="14" s="1"/>
  <c r="BU19" i="7"/>
  <c r="BW19" i="7" s="1"/>
  <c r="BY19" i="7" s="1"/>
  <c r="BU119" i="7"/>
  <c r="BW119" i="7" s="1"/>
  <c r="BY119" i="7" s="1"/>
  <c r="BA4" i="6"/>
  <c r="BC4" i="6" s="1"/>
  <c r="BE4" i="6" s="1"/>
  <c r="BU104" i="7"/>
  <c r="BW104" i="7" s="1"/>
  <c r="BY104" i="7" s="1"/>
  <c r="BA6" i="14"/>
  <c r="BC6" i="14" s="1"/>
  <c r="BE6" i="14" s="1"/>
  <c r="BA81" i="13"/>
  <c r="BC81" i="13" s="1"/>
  <c r="BE81" i="13" s="1"/>
  <c r="BF81" i="13" s="1"/>
  <c r="BG81" i="13" s="1"/>
  <c r="BU81" i="13"/>
  <c r="BW81" i="13" s="1"/>
  <c r="BY81" i="13" s="1"/>
  <c r="BZ81" i="13" s="1"/>
  <c r="CA81" i="13" s="1"/>
  <c r="BU51" i="7"/>
  <c r="BW51" i="7" s="1"/>
  <c r="BY51" i="7" s="1"/>
  <c r="BU4" i="6"/>
  <c r="BW4" i="6" s="1"/>
  <c r="BY4" i="6" s="1"/>
  <c r="BA38" i="6"/>
  <c r="BC38" i="6" s="1"/>
  <c r="BE38" i="6" s="1"/>
  <c r="BU38" i="6"/>
  <c r="BW38" i="6" s="1"/>
  <c r="BY38" i="6" s="1"/>
  <c r="BU61" i="6"/>
  <c r="BW61" i="6" s="1"/>
  <c r="BY61" i="6" s="1"/>
  <c r="BZ61" i="6" s="1"/>
  <c r="CA62" i="6"/>
  <c r="CA32" i="6"/>
  <c r="CA52" i="6"/>
  <c r="BA58" i="6"/>
  <c r="BC58" i="6" s="1"/>
  <c r="BE58" i="6" s="1"/>
  <c r="BU58" i="6"/>
  <c r="BW58" i="6" s="1"/>
  <c r="BY58" i="6" s="1"/>
  <c r="BU41" i="6"/>
  <c r="BW41" i="6" s="1"/>
  <c r="BY41" i="6" s="1"/>
  <c r="BZ41" i="6" s="1"/>
  <c r="BA58" i="14"/>
  <c r="BC58" i="14" s="1"/>
  <c r="BE58" i="14" s="1"/>
  <c r="BZ55" i="6"/>
  <c r="CA55" i="6" s="1"/>
  <c r="BA15" i="6"/>
  <c r="BC15" i="6" s="1"/>
  <c r="BE15" i="6" s="1"/>
  <c r="BA23" i="6"/>
  <c r="BC23" i="6" s="1"/>
  <c r="BE23" i="6" s="1"/>
  <c r="BF23" i="6" s="1"/>
  <c r="BG23" i="6" s="1"/>
  <c r="BA41" i="6"/>
  <c r="BC41" i="6" s="1"/>
  <c r="BE41" i="6" s="1"/>
  <c r="BF41" i="6" s="1"/>
  <c r="BG41" i="6" s="1"/>
  <c r="BF51" i="14"/>
  <c r="BG51" i="14" s="1"/>
  <c r="BZ129" i="7" l="1"/>
  <c r="CA129" i="7" s="1"/>
  <c r="BZ83" i="7"/>
  <c r="CA83" i="7" s="1"/>
  <c r="BZ41" i="7"/>
  <c r="CA41" i="7" s="1"/>
  <c r="BZ94" i="7"/>
  <c r="CA94" i="7" s="1"/>
  <c r="BZ40" i="6"/>
  <c r="CA40" i="6" s="1"/>
  <c r="BZ26" i="7"/>
  <c r="CA26" i="7" s="1"/>
  <c r="BZ35" i="14"/>
  <c r="CA35" i="14" s="1"/>
  <c r="BZ109" i="7"/>
  <c r="CA109" i="7" s="1"/>
  <c r="BZ158" i="7"/>
  <c r="CA158" i="7" s="1"/>
  <c r="BZ108" i="7"/>
  <c r="CA108" i="7" s="1"/>
  <c r="BZ10" i="6"/>
  <c r="CA10" i="6" s="1"/>
  <c r="BZ141" i="7"/>
  <c r="CA141" i="7" s="1"/>
  <c r="BZ120" i="7"/>
  <c r="CA120" i="7" s="1"/>
  <c r="BZ48" i="6"/>
  <c r="CA48" i="6" s="1"/>
  <c r="BZ72" i="7"/>
  <c r="CA72" i="7" s="1"/>
  <c r="BZ53" i="7"/>
  <c r="CA53" i="7" s="1"/>
  <c r="BZ65" i="7"/>
  <c r="CA65" i="7" s="1"/>
  <c r="BZ32" i="7"/>
  <c r="CA32" i="7" s="1"/>
  <c r="BZ80" i="7"/>
  <c r="CA80" i="7" s="1"/>
  <c r="BZ57" i="14"/>
  <c r="CA57" i="14" s="1"/>
  <c r="BZ6" i="7"/>
  <c r="CA6" i="7" s="1"/>
  <c r="BZ20" i="6"/>
  <c r="CA20" i="6" s="1"/>
  <c r="BZ58" i="7"/>
  <c r="CA58" i="7" s="1"/>
  <c r="BZ132" i="7"/>
  <c r="CA132" i="7" s="1"/>
  <c r="BZ136" i="7"/>
  <c r="CA136" i="7" s="1"/>
  <c r="BZ14" i="7"/>
  <c r="CA14" i="7" s="1"/>
  <c r="BZ10" i="14"/>
  <c r="CA10" i="14" s="1"/>
  <c r="BZ88" i="7"/>
  <c r="CA88" i="7" s="1"/>
  <c r="BZ50" i="6"/>
  <c r="CA50" i="6" s="1"/>
  <c r="BZ101" i="7"/>
  <c r="CA101" i="7" s="1"/>
  <c r="BZ5" i="6"/>
  <c r="CA5" i="6" s="1"/>
  <c r="BZ93" i="7"/>
  <c r="CA93" i="7" s="1"/>
  <c r="BZ23" i="7"/>
  <c r="CA23" i="7" s="1"/>
  <c r="BZ52" i="14"/>
  <c r="CA52" i="14" s="1"/>
  <c r="BZ30" i="6"/>
  <c r="CA30" i="6" s="1"/>
  <c r="BZ30" i="7"/>
  <c r="CA30" i="7" s="1"/>
  <c r="BZ115" i="7"/>
  <c r="CA115" i="7" s="1"/>
  <c r="BZ13" i="7"/>
  <c r="CA13" i="7" s="1"/>
  <c r="BZ84" i="7"/>
  <c r="CA84" i="7" s="1"/>
  <c r="BZ25" i="7"/>
  <c r="CA25" i="7" s="1"/>
  <c r="BZ68" i="7"/>
  <c r="CA68" i="7" s="1"/>
  <c r="BZ9" i="7"/>
  <c r="CA9" i="7" s="1"/>
  <c r="BZ7" i="7"/>
  <c r="CA7" i="7" s="1"/>
  <c r="BZ8" i="6"/>
  <c r="CA8" i="6" s="1"/>
  <c r="BF54" i="6"/>
  <c r="BG54" i="6" s="1"/>
  <c r="BZ58" i="14"/>
  <c r="CA58" i="14" s="1"/>
  <c r="BF39" i="6"/>
  <c r="BG39" i="6" s="1"/>
  <c r="BZ39" i="6"/>
  <c r="CA39" i="6" s="1"/>
  <c r="BA9" i="7"/>
  <c r="BC9" i="7" s="1"/>
  <c r="BE9" i="7" s="1"/>
  <c r="BF9" i="7" s="1"/>
  <c r="BG9" i="7" s="1"/>
  <c r="BA55" i="7"/>
  <c r="BC55" i="7" s="1"/>
  <c r="BE55" i="7" s="1"/>
  <c r="BZ46" i="7"/>
  <c r="CA46" i="7" s="1"/>
  <c r="BZ38" i="7"/>
  <c r="CA38" i="7" s="1"/>
  <c r="BZ55" i="7"/>
  <c r="CA55" i="7" s="1"/>
  <c r="BA20" i="14"/>
  <c r="BC20" i="14" s="1"/>
  <c r="BE20" i="14" s="1"/>
  <c r="BF20" i="14" s="1"/>
  <c r="BG20" i="14" s="1"/>
  <c r="BZ143" i="7"/>
  <c r="CA143" i="7" s="1"/>
  <c r="BZ107" i="7"/>
  <c r="CA107" i="7" s="1"/>
  <c r="BZ125" i="7"/>
  <c r="CA125" i="7" s="1"/>
  <c r="BZ64" i="7"/>
  <c r="CA64" i="7" s="1"/>
  <c r="BF72" i="14"/>
  <c r="BG72" i="14" s="1"/>
  <c r="BA66" i="14"/>
  <c r="BC66" i="14" s="1"/>
  <c r="BE66" i="14" s="1"/>
  <c r="BF66" i="14" s="1"/>
  <c r="BG66" i="14" s="1"/>
  <c r="BF49" i="14"/>
  <c r="BG49" i="14" s="1"/>
  <c r="BZ149" i="7"/>
  <c r="CA149" i="7" s="1"/>
  <c r="BF26" i="14"/>
  <c r="BG26" i="14" s="1"/>
  <c r="BF52" i="14"/>
  <c r="BG52" i="14" s="1"/>
  <c r="BA44" i="14"/>
  <c r="BC44" i="14" s="1"/>
  <c r="BE44" i="14" s="1"/>
  <c r="BF44" i="14" s="1"/>
  <c r="BG44" i="14" s="1"/>
  <c r="BA63" i="14"/>
  <c r="BC63" i="14" s="1"/>
  <c r="BE63" i="14" s="1"/>
  <c r="BF63" i="14" s="1"/>
  <c r="BG63" i="14" s="1"/>
  <c r="BA143" i="7"/>
  <c r="BC143" i="7" s="1"/>
  <c r="BE143" i="7" s="1"/>
  <c r="BA64" i="14"/>
  <c r="BC64" i="14" s="1"/>
  <c r="BE64" i="14" s="1"/>
  <c r="BF64" i="14" s="1"/>
  <c r="BG64" i="14" s="1"/>
  <c r="BA65" i="14"/>
  <c r="BC65" i="14" s="1"/>
  <c r="BE65" i="14" s="1"/>
  <c r="BF65" i="14" s="1"/>
  <c r="BG65" i="14" s="1"/>
  <c r="BA41" i="14"/>
  <c r="BC41" i="14" s="1"/>
  <c r="BE41" i="14" s="1"/>
  <c r="BF41" i="14" s="1"/>
  <c r="BG41" i="14" s="1"/>
  <c r="BA45" i="14"/>
  <c r="BC45" i="14" s="1"/>
  <c r="BE45" i="14" s="1"/>
  <c r="BF45" i="14" s="1"/>
  <c r="BG45" i="14" s="1"/>
  <c r="BA23" i="14"/>
  <c r="BC23" i="14" s="1"/>
  <c r="BE23" i="14" s="1"/>
  <c r="BF23" i="14" s="1"/>
  <c r="BG23" i="14" s="1"/>
  <c r="BZ56" i="7"/>
  <c r="CA56" i="7" s="1"/>
  <c r="BZ97" i="7"/>
  <c r="CA97" i="7" s="1"/>
  <c r="BA12" i="7"/>
  <c r="BC12" i="7" s="1"/>
  <c r="BE12" i="7" s="1"/>
  <c r="BF12" i="7" s="1"/>
  <c r="BG12" i="7" s="1"/>
  <c r="BA19" i="14"/>
  <c r="BC19" i="14" s="1"/>
  <c r="BE19" i="14" s="1"/>
  <c r="BF19" i="14" s="1"/>
  <c r="BG19" i="14" s="1"/>
  <c r="BA47" i="14"/>
  <c r="BC47" i="14" s="1"/>
  <c r="BE47" i="14" s="1"/>
  <c r="BF47" i="14" s="1"/>
  <c r="BG47" i="14" s="1"/>
  <c r="BA39" i="14"/>
  <c r="BC39" i="14" s="1"/>
  <c r="BE39" i="14" s="1"/>
  <c r="BF39" i="14" s="1"/>
  <c r="BG39" i="14" s="1"/>
  <c r="BA149" i="7"/>
  <c r="BC149" i="7" s="1"/>
  <c r="BE149" i="7" s="1"/>
  <c r="BF149" i="7" s="1"/>
  <c r="BG149" i="7" s="1"/>
  <c r="BA46" i="14"/>
  <c r="BC46" i="14" s="1"/>
  <c r="BE46" i="14" s="1"/>
  <c r="BF46" i="14" s="1"/>
  <c r="BG46" i="14" s="1"/>
  <c r="BA140" i="7"/>
  <c r="BC140" i="7" s="1"/>
  <c r="BE140" i="7" s="1"/>
  <c r="BA18" i="7"/>
  <c r="BC18" i="7" s="1"/>
  <c r="BE18" i="7" s="1"/>
  <c r="BA89" i="7"/>
  <c r="BC89" i="7" s="1"/>
  <c r="BE89" i="7" s="1"/>
  <c r="BA159" i="7"/>
  <c r="BC159" i="7" s="1"/>
  <c r="BE159" i="7" s="1"/>
  <c r="BZ13" i="14"/>
  <c r="CA13" i="14" s="1"/>
  <c r="BA24" i="14"/>
  <c r="BC24" i="14" s="1"/>
  <c r="BE24" i="14" s="1"/>
  <c r="BF24" i="14" s="1"/>
  <c r="BG24" i="14" s="1"/>
  <c r="BZ12" i="7"/>
  <c r="CA12" i="7" s="1"/>
  <c r="BA16" i="14"/>
  <c r="BC16" i="14" s="1"/>
  <c r="BE16" i="14" s="1"/>
  <c r="BF16" i="14" s="1"/>
  <c r="BG16" i="14" s="1"/>
  <c r="BA66" i="13"/>
  <c r="BC66" i="13" s="1"/>
  <c r="BE66" i="13" s="1"/>
  <c r="BF66" i="13" s="1"/>
  <c r="BG66" i="13" s="1"/>
  <c r="BA144" i="7"/>
  <c r="BC144" i="7" s="1"/>
  <c r="BE144" i="7" s="1"/>
  <c r="BA22" i="14"/>
  <c r="BC22" i="14" s="1"/>
  <c r="BE22" i="14" s="1"/>
  <c r="BF22" i="14" s="1"/>
  <c r="BG22" i="14" s="1"/>
  <c r="BA92" i="7"/>
  <c r="BC92" i="7" s="1"/>
  <c r="BE92" i="7" s="1"/>
  <c r="BF20" i="6"/>
  <c r="BG20" i="6" s="1"/>
  <c r="BA127" i="7"/>
  <c r="BC127" i="7" s="1"/>
  <c r="BE127" i="7" s="1"/>
  <c r="BA72" i="13"/>
  <c r="BC72" i="13" s="1"/>
  <c r="BE72" i="13" s="1"/>
  <c r="BF72" i="13" s="1"/>
  <c r="BG72" i="13" s="1"/>
  <c r="BA142" i="7"/>
  <c r="BC142" i="7" s="1"/>
  <c r="BE142" i="7" s="1"/>
  <c r="BA6" i="13"/>
  <c r="BC6" i="13" s="1"/>
  <c r="BE6" i="13" s="1"/>
  <c r="BF6" i="13" s="1"/>
  <c r="BG6" i="13" s="1"/>
  <c r="BF29" i="7"/>
  <c r="BG29" i="7" s="1"/>
  <c r="BA43" i="14"/>
  <c r="BC43" i="14" s="1"/>
  <c r="BE43" i="14" s="1"/>
  <c r="BF43" i="14" s="1"/>
  <c r="BG43" i="14" s="1"/>
  <c r="BF43" i="7"/>
  <c r="BG43" i="7" s="1"/>
  <c r="BA123" i="7"/>
  <c r="BC123" i="7" s="1"/>
  <c r="BE123" i="7" s="1"/>
  <c r="BA17" i="7"/>
  <c r="BC17" i="7" s="1"/>
  <c r="BE17" i="7" s="1"/>
  <c r="BA154" i="7"/>
  <c r="BC154" i="7" s="1"/>
  <c r="BE154" i="7" s="1"/>
  <c r="BA153" i="7"/>
  <c r="BC153" i="7" s="1"/>
  <c r="BE153" i="7" s="1"/>
  <c r="BA130" i="7"/>
  <c r="BC130" i="7" s="1"/>
  <c r="BE130" i="7" s="1"/>
  <c r="BA56" i="13"/>
  <c r="BC56" i="13" s="1"/>
  <c r="BE56" i="13" s="1"/>
  <c r="BF56" i="13" s="1"/>
  <c r="BG56" i="13" s="1"/>
  <c r="BA55" i="13"/>
  <c r="BC55" i="13" s="1"/>
  <c r="BE55" i="13" s="1"/>
  <c r="BF55" i="13" s="1"/>
  <c r="BG55" i="13" s="1"/>
  <c r="BA70" i="7"/>
  <c r="BC70" i="7" s="1"/>
  <c r="BE70" i="7" s="1"/>
  <c r="BA51" i="7"/>
  <c r="BC51" i="7" s="1"/>
  <c r="BE51" i="7" s="1"/>
  <c r="BF128" i="7"/>
  <c r="BG128" i="7" s="1"/>
  <c r="BA21" i="14"/>
  <c r="BC21" i="14" s="1"/>
  <c r="BE21" i="14" s="1"/>
  <c r="BF21" i="14" s="1"/>
  <c r="BG21" i="14" s="1"/>
  <c r="BA18" i="14"/>
  <c r="BC18" i="14" s="1"/>
  <c r="BE18" i="14" s="1"/>
  <c r="BF18" i="14" s="1"/>
  <c r="BG18" i="14" s="1"/>
  <c r="AO94" i="7"/>
  <c r="AV94" i="7" s="1"/>
  <c r="AX94" i="7" s="1"/>
  <c r="BA94" i="7" s="1"/>
  <c r="BC94" i="7" s="1"/>
  <c r="BE94" i="7" s="1"/>
  <c r="BA146" i="7"/>
  <c r="BC146" i="7" s="1"/>
  <c r="BE146" i="7" s="1"/>
  <c r="AO44" i="7"/>
  <c r="AV44" i="7" s="1"/>
  <c r="AX44" i="7" s="1"/>
  <c r="BA44" i="7" s="1"/>
  <c r="BC44" i="7" s="1"/>
  <c r="BE44" i="7" s="1"/>
  <c r="BF53" i="7"/>
  <c r="BG53" i="7" s="1"/>
  <c r="BA70" i="14"/>
  <c r="BC70" i="14" s="1"/>
  <c r="BE70" i="14" s="1"/>
  <c r="BF70" i="14" s="1"/>
  <c r="BG70" i="14" s="1"/>
  <c r="BF48" i="6"/>
  <c r="BG48" i="6" s="1"/>
  <c r="BA78" i="13"/>
  <c r="BC78" i="13" s="1"/>
  <c r="BE78" i="13" s="1"/>
  <c r="BF78" i="13" s="1"/>
  <c r="BG78" i="13" s="1"/>
  <c r="BZ6" i="6"/>
  <c r="CA6" i="6" s="1"/>
  <c r="BF6" i="6"/>
  <c r="BG6" i="6" s="1"/>
  <c r="BA156" i="7"/>
  <c r="BC156" i="7" s="1"/>
  <c r="BE156" i="7" s="1"/>
  <c r="BZ104" i="7"/>
  <c r="CA104" i="7" s="1"/>
  <c r="BZ155" i="7"/>
  <c r="CA155" i="7" s="1"/>
  <c r="BZ153" i="7"/>
  <c r="CA153" i="7" s="1"/>
  <c r="BZ117" i="7"/>
  <c r="CA117" i="7" s="1"/>
  <c r="BZ98" i="7"/>
  <c r="CA98" i="7" s="1"/>
  <c r="BZ103" i="7"/>
  <c r="CA103" i="7" s="1"/>
  <c r="BF46" i="6"/>
  <c r="BG46" i="6" s="1"/>
  <c r="BZ38" i="6"/>
  <c r="CA38" i="6" s="1"/>
  <c r="BF24" i="6"/>
  <c r="BG24" i="6" s="1"/>
  <c r="BZ159" i="7"/>
  <c r="CA159" i="7" s="1"/>
  <c r="BZ105" i="7"/>
  <c r="CA105" i="7" s="1"/>
  <c r="BZ57" i="6"/>
  <c r="CA57" i="6" s="1"/>
  <c r="BZ156" i="7"/>
  <c r="CA156" i="7" s="1"/>
  <c r="BF101" i="7"/>
  <c r="BG101" i="7" s="1"/>
  <c r="BZ58" i="6"/>
  <c r="CA58" i="6" s="1"/>
  <c r="BF38" i="6"/>
  <c r="BG38" i="6" s="1"/>
  <c r="BZ31" i="14"/>
  <c r="CA31" i="14" s="1"/>
  <c r="BZ154" i="7"/>
  <c r="CA154" i="7" s="1"/>
  <c r="BF83" i="7"/>
  <c r="BG83" i="7" s="1"/>
  <c r="BF158" i="7"/>
  <c r="BG158" i="7" s="1"/>
  <c r="BZ36" i="14"/>
  <c r="CA36" i="14" s="1"/>
  <c r="BF26" i="6"/>
  <c r="BG26" i="6" s="1"/>
  <c r="BF107" i="7"/>
  <c r="BG107" i="7" s="1"/>
  <c r="BZ150" i="7"/>
  <c r="CA150" i="7" s="1"/>
  <c r="BZ100" i="7"/>
  <c r="CA100" i="7" s="1"/>
  <c r="BF58" i="6"/>
  <c r="BG58" i="6" s="1"/>
  <c r="BZ102" i="7"/>
  <c r="CA102" i="7" s="1"/>
  <c r="BZ106" i="7"/>
  <c r="CA106" i="7" s="1"/>
  <c r="BZ99" i="7"/>
  <c r="CA99" i="7" s="1"/>
  <c r="BF28" i="6"/>
  <c r="BG28" i="6" s="1"/>
  <c r="BF80" i="7"/>
  <c r="BG80" i="7" s="1"/>
  <c r="BF152" i="7"/>
  <c r="BG152" i="7" s="1"/>
  <c r="BF59" i="14"/>
  <c r="BG59" i="14" s="1"/>
  <c r="BZ26" i="6"/>
  <c r="CA26" i="6" s="1"/>
  <c r="BZ151" i="7"/>
  <c r="CA151" i="7" s="1"/>
  <c r="BZ157" i="7"/>
  <c r="CA157" i="7" s="1"/>
  <c r="BZ15" i="6"/>
  <c r="CA15" i="6" s="1"/>
  <c r="BZ14" i="6"/>
  <c r="CA14" i="6" s="1"/>
  <c r="BZ51" i="7"/>
  <c r="CA51" i="7" s="1"/>
  <c r="BZ50" i="7"/>
  <c r="CA50" i="7" s="1"/>
  <c r="BZ52" i="7"/>
  <c r="CA52" i="7" s="1"/>
  <c r="BZ48" i="7"/>
  <c r="CA48" i="7" s="1"/>
  <c r="BZ54" i="7"/>
  <c r="CA54" i="7" s="1"/>
  <c r="BZ18" i="6"/>
  <c r="CA18" i="6" s="1"/>
  <c r="BZ49" i="7"/>
  <c r="CA49" i="7" s="1"/>
  <c r="BZ47" i="7"/>
  <c r="CA47" i="7" s="1"/>
  <c r="BF18" i="6"/>
  <c r="BG18" i="6" s="1"/>
  <c r="BF19" i="6"/>
  <c r="BG19" i="6" s="1"/>
  <c r="BZ45" i="7"/>
  <c r="CA45" i="7" s="1"/>
  <c r="BZ16" i="7"/>
  <c r="CA16" i="7" s="1"/>
  <c r="BA36" i="14"/>
  <c r="BC36" i="14" s="1"/>
  <c r="BE36" i="14" s="1"/>
  <c r="BF35" i="14"/>
  <c r="BG35" i="14" s="1"/>
  <c r="BA27" i="7"/>
  <c r="BC27" i="7" s="1"/>
  <c r="BE27" i="7" s="1"/>
  <c r="BA155" i="7"/>
  <c r="BC155" i="7" s="1"/>
  <c r="BE155" i="7" s="1"/>
  <c r="BA106" i="7"/>
  <c r="BC106" i="7" s="1"/>
  <c r="BE106" i="7" s="1"/>
  <c r="BA133" i="7"/>
  <c r="BC133" i="7" s="1"/>
  <c r="BE133" i="7" s="1"/>
  <c r="BA71" i="7"/>
  <c r="BC71" i="7" s="1"/>
  <c r="BE71" i="7" s="1"/>
  <c r="BZ89" i="7"/>
  <c r="CA89" i="7" s="1"/>
  <c r="BA48" i="7"/>
  <c r="BC48" i="7" s="1"/>
  <c r="BE48" i="7" s="1"/>
  <c r="BA131" i="7"/>
  <c r="BC131" i="7" s="1"/>
  <c r="BE131" i="7" s="1"/>
  <c r="BA60" i="14"/>
  <c r="BC60" i="14" s="1"/>
  <c r="BE60" i="14" s="1"/>
  <c r="BF60" i="14" s="1"/>
  <c r="BG60" i="14" s="1"/>
  <c r="BF91" i="7"/>
  <c r="BG91" i="7" s="1"/>
  <c r="BA95" i="7"/>
  <c r="BC95" i="7" s="1"/>
  <c r="BE95" i="7" s="1"/>
  <c r="BF4" i="14"/>
  <c r="BG4" i="14" s="1"/>
  <c r="BA22" i="7"/>
  <c r="BC22" i="7" s="1"/>
  <c r="BE22" i="7" s="1"/>
  <c r="BA5" i="13"/>
  <c r="BC5" i="13" s="1"/>
  <c r="BE5" i="13" s="1"/>
  <c r="BF5" i="13" s="1"/>
  <c r="BA37" i="14"/>
  <c r="BC37" i="14" s="1"/>
  <c r="BE37" i="14" s="1"/>
  <c r="BF37" i="14" s="1"/>
  <c r="BG37" i="14" s="1"/>
  <c r="BA100" i="7"/>
  <c r="BC100" i="7" s="1"/>
  <c r="BE100" i="7" s="1"/>
  <c r="BA77" i="7"/>
  <c r="BC77" i="7" s="1"/>
  <c r="BE77" i="7" s="1"/>
  <c r="BA14" i="14"/>
  <c r="BC14" i="14" s="1"/>
  <c r="BE14" i="14" s="1"/>
  <c r="BF93" i="7"/>
  <c r="BG93" i="7" s="1"/>
  <c r="BA64" i="7"/>
  <c r="BC64" i="7" s="1"/>
  <c r="BE64" i="7" s="1"/>
  <c r="BF84" i="7"/>
  <c r="BG84" i="7" s="1"/>
  <c r="BZ45" i="6"/>
  <c r="CA45" i="6" s="1"/>
  <c r="BZ4" i="14"/>
  <c r="CA4" i="14" s="1"/>
  <c r="BZ57" i="7"/>
  <c r="CA57" i="7" s="1"/>
  <c r="BZ46" i="6"/>
  <c r="CA46" i="6" s="1"/>
  <c r="BF45" i="6"/>
  <c r="BG45" i="6" s="1"/>
  <c r="BA59" i="13"/>
  <c r="BC59" i="13" s="1"/>
  <c r="BE59" i="13" s="1"/>
  <c r="BF59" i="13" s="1"/>
  <c r="BG59" i="13" s="1"/>
  <c r="BF136" i="7"/>
  <c r="BG136" i="7" s="1"/>
  <c r="BA102" i="7"/>
  <c r="BC102" i="7" s="1"/>
  <c r="BE102" i="7" s="1"/>
  <c r="BA57" i="7"/>
  <c r="BC57" i="7" s="1"/>
  <c r="BE57" i="7" s="1"/>
  <c r="BZ59" i="14"/>
  <c r="CA59" i="14" s="1"/>
  <c r="BA35" i="7"/>
  <c r="BC35" i="7" s="1"/>
  <c r="BE35" i="7" s="1"/>
  <c r="BA150" i="7"/>
  <c r="BC150" i="7" s="1"/>
  <c r="BE150" i="7" s="1"/>
  <c r="BA12" i="13"/>
  <c r="BC12" i="13" s="1"/>
  <c r="BE12" i="13" s="1"/>
  <c r="BF12" i="13" s="1"/>
  <c r="BG12" i="13" s="1"/>
  <c r="BA11" i="13"/>
  <c r="BC11" i="13" s="1"/>
  <c r="BE11" i="13" s="1"/>
  <c r="BF11" i="13" s="1"/>
  <c r="BG11" i="13" s="1"/>
  <c r="BA19" i="13"/>
  <c r="BC19" i="13" s="1"/>
  <c r="BE19" i="13" s="1"/>
  <c r="BF19" i="13" s="1"/>
  <c r="BG19" i="13" s="1"/>
  <c r="AO96" i="7"/>
  <c r="AV96" i="7" s="1"/>
  <c r="AX96" i="7" s="1"/>
  <c r="BA96" i="7" s="1"/>
  <c r="BC96" i="7" s="1"/>
  <c r="BE96" i="7" s="1"/>
  <c r="BA42" i="13"/>
  <c r="BC42" i="13" s="1"/>
  <c r="BE42" i="13" s="1"/>
  <c r="BF42" i="13" s="1"/>
  <c r="BG42" i="13" s="1"/>
  <c r="AO105" i="7"/>
  <c r="AV105" i="7" s="1"/>
  <c r="AX105" i="7" s="1"/>
  <c r="BA105" i="7" s="1"/>
  <c r="BC105" i="7" s="1"/>
  <c r="BE105" i="7" s="1"/>
  <c r="BZ74" i="7"/>
  <c r="CA74" i="7" s="1"/>
  <c r="AO75" i="7"/>
  <c r="AV75" i="7" s="1"/>
  <c r="AX75" i="7" s="1"/>
  <c r="BA75" i="7" s="1"/>
  <c r="BC75" i="7" s="1"/>
  <c r="BE75" i="7" s="1"/>
  <c r="AO126" i="7"/>
  <c r="AV126" i="7" s="1"/>
  <c r="AX126" i="7" s="1"/>
  <c r="BA126" i="7" s="1"/>
  <c r="BC126" i="7" s="1"/>
  <c r="BE126" i="7" s="1"/>
  <c r="BA87" i="7"/>
  <c r="BC87" i="7" s="1"/>
  <c r="BE87" i="7" s="1"/>
  <c r="BF118" i="7"/>
  <c r="BG118" i="7" s="1"/>
  <c r="BA37" i="13"/>
  <c r="BC37" i="13" s="1"/>
  <c r="BE37" i="13" s="1"/>
  <c r="BF37" i="13" s="1"/>
  <c r="BG37" i="13" s="1"/>
  <c r="BA16" i="7"/>
  <c r="BC16" i="7" s="1"/>
  <c r="BE16" i="7" s="1"/>
  <c r="BA14" i="13"/>
  <c r="BC14" i="13" s="1"/>
  <c r="BE14" i="13" s="1"/>
  <c r="BF14" i="13" s="1"/>
  <c r="BG14" i="13" s="1"/>
  <c r="BA39" i="7"/>
  <c r="BC39" i="7" s="1"/>
  <c r="BE39" i="7" s="1"/>
  <c r="BF129" i="7"/>
  <c r="BG129" i="7" s="1"/>
  <c r="BA119" i="7"/>
  <c r="BC119" i="7" s="1"/>
  <c r="BE119" i="7" s="1"/>
  <c r="BA89" i="13"/>
  <c r="BC89" i="13" s="1"/>
  <c r="BE89" i="13" s="1"/>
  <c r="BF89" i="13" s="1"/>
  <c r="BG89" i="13" s="1"/>
  <c r="BA145" i="7"/>
  <c r="BC145" i="7" s="1"/>
  <c r="BE145" i="7" s="1"/>
  <c r="BF147" i="7"/>
  <c r="BG147" i="7" s="1"/>
  <c r="BA121" i="7"/>
  <c r="BC121" i="7" s="1"/>
  <c r="BE121" i="7" s="1"/>
  <c r="BF132" i="7"/>
  <c r="BG132" i="7" s="1"/>
  <c r="BA10" i="13"/>
  <c r="BC10" i="13" s="1"/>
  <c r="BE10" i="13" s="1"/>
  <c r="BF10" i="13" s="1"/>
  <c r="BG10" i="13" s="1"/>
  <c r="BA78" i="7"/>
  <c r="BC78" i="7" s="1"/>
  <c r="BE78" i="7" s="1"/>
  <c r="BF141" i="7"/>
  <c r="BG141" i="7" s="1"/>
  <c r="BA46" i="13"/>
  <c r="BC46" i="13" s="1"/>
  <c r="BE46" i="13" s="1"/>
  <c r="BF46" i="13" s="1"/>
  <c r="BG46" i="13" s="1"/>
  <c r="BA122" i="7"/>
  <c r="BC122" i="7" s="1"/>
  <c r="BE122" i="7" s="1"/>
  <c r="BA60" i="13"/>
  <c r="BC60" i="13" s="1"/>
  <c r="BE60" i="13" s="1"/>
  <c r="BF60" i="13" s="1"/>
  <c r="BG60" i="13" s="1"/>
  <c r="BA76" i="7"/>
  <c r="BC76" i="7" s="1"/>
  <c r="BE76" i="7" s="1"/>
  <c r="BF72" i="7"/>
  <c r="BG72" i="7" s="1"/>
  <c r="BA37" i="7"/>
  <c r="BC37" i="7" s="1"/>
  <c r="BE37" i="7" s="1"/>
  <c r="BA70" i="13"/>
  <c r="BC70" i="13" s="1"/>
  <c r="BE70" i="13" s="1"/>
  <c r="BF70" i="13" s="1"/>
  <c r="BG70" i="13" s="1"/>
  <c r="BA32" i="13"/>
  <c r="BC32" i="13" s="1"/>
  <c r="BE32" i="13" s="1"/>
  <c r="BF32" i="13" s="1"/>
  <c r="BG32" i="13" s="1"/>
  <c r="BA75" i="13"/>
  <c r="BC75" i="13" s="1"/>
  <c r="BE75" i="13" s="1"/>
  <c r="BF75" i="13" s="1"/>
  <c r="BG75" i="13" s="1"/>
  <c r="BA24" i="7"/>
  <c r="BC24" i="7" s="1"/>
  <c r="BE24" i="7" s="1"/>
  <c r="BF26" i="7"/>
  <c r="BG26" i="7" s="1"/>
  <c r="BA35" i="13"/>
  <c r="BC35" i="13" s="1"/>
  <c r="BE35" i="13" s="1"/>
  <c r="BF35" i="13" s="1"/>
  <c r="BG35" i="13" s="1"/>
  <c r="BA99" i="7"/>
  <c r="BC99" i="7" s="1"/>
  <c r="BE99" i="7" s="1"/>
  <c r="BA73" i="7"/>
  <c r="BC73" i="7" s="1"/>
  <c r="BE73" i="7" s="1"/>
  <c r="BF38" i="7"/>
  <c r="BG38" i="7" s="1"/>
  <c r="BF88" i="7"/>
  <c r="BG88" i="7" s="1"/>
  <c r="BA104" i="7"/>
  <c r="BC104" i="7" s="1"/>
  <c r="BE104" i="7" s="1"/>
  <c r="BA79" i="7"/>
  <c r="BC79" i="7" s="1"/>
  <c r="BE79" i="7" s="1"/>
  <c r="BA148" i="7"/>
  <c r="BC148" i="7" s="1"/>
  <c r="BE148" i="7" s="1"/>
  <c r="BA139" i="7"/>
  <c r="BC139" i="7" s="1"/>
  <c r="BE139" i="7" s="1"/>
  <c r="BA67" i="13"/>
  <c r="BC67" i="13" s="1"/>
  <c r="BE67" i="13" s="1"/>
  <c r="BF67" i="13" s="1"/>
  <c r="BG67" i="13" s="1"/>
  <c r="BA138" i="7"/>
  <c r="BC138" i="7" s="1"/>
  <c r="BE138" i="7" s="1"/>
  <c r="BA103" i="7"/>
  <c r="BC103" i="7" s="1"/>
  <c r="BE103" i="7" s="1"/>
  <c r="BF32" i="7"/>
  <c r="BG32" i="7" s="1"/>
  <c r="BA40" i="7"/>
  <c r="BC40" i="7" s="1"/>
  <c r="BE40" i="7" s="1"/>
  <c r="BA116" i="7"/>
  <c r="BC116" i="7" s="1"/>
  <c r="BE116" i="7" s="1"/>
  <c r="BF134" i="7"/>
  <c r="BG134" i="7" s="1"/>
  <c r="BA90" i="7"/>
  <c r="BC90" i="7" s="1"/>
  <c r="BE90" i="7" s="1"/>
  <c r="BA54" i="7"/>
  <c r="BC54" i="7" s="1"/>
  <c r="BE54" i="7" s="1"/>
  <c r="BF15" i="7"/>
  <c r="BG15" i="7" s="1"/>
  <c r="BF108" i="7"/>
  <c r="BG108" i="7" s="1"/>
  <c r="BA124" i="7"/>
  <c r="BC124" i="7" s="1"/>
  <c r="BE124" i="7" s="1"/>
  <c r="BA16" i="13"/>
  <c r="BC16" i="13" s="1"/>
  <c r="BE16" i="13" s="1"/>
  <c r="BF16" i="13" s="1"/>
  <c r="BG16" i="13" s="1"/>
  <c r="BA52" i="7"/>
  <c r="BC52" i="7" s="1"/>
  <c r="BE52" i="7" s="1"/>
  <c r="BA21" i="7"/>
  <c r="BC21" i="7" s="1"/>
  <c r="BE21" i="7" s="1"/>
  <c r="BA49" i="7"/>
  <c r="BC49" i="7" s="1"/>
  <c r="BE49" i="7" s="1"/>
  <c r="BA69" i="7"/>
  <c r="BC69" i="7" s="1"/>
  <c r="BE69" i="7" s="1"/>
  <c r="BA83" i="13"/>
  <c r="BC83" i="13" s="1"/>
  <c r="BE83" i="13" s="1"/>
  <c r="BF83" i="13" s="1"/>
  <c r="BG83" i="13" s="1"/>
  <c r="BA41" i="13"/>
  <c r="BC41" i="13" s="1"/>
  <c r="BE41" i="13" s="1"/>
  <c r="BF41" i="13" s="1"/>
  <c r="BG41" i="13" s="1"/>
  <c r="BA92" i="13"/>
  <c r="BC92" i="13" s="1"/>
  <c r="BE92" i="13" s="1"/>
  <c r="BF92" i="13" s="1"/>
  <c r="BG92" i="13" s="1"/>
  <c r="BA45" i="13"/>
  <c r="BC45" i="13" s="1"/>
  <c r="BE45" i="13" s="1"/>
  <c r="BF45" i="13" s="1"/>
  <c r="BG45" i="13" s="1"/>
  <c r="BA10" i="7"/>
  <c r="BC10" i="7" s="1"/>
  <c r="BE10" i="7" s="1"/>
  <c r="BA20" i="7"/>
  <c r="BC20" i="7" s="1"/>
  <c r="BE20" i="7" s="1"/>
  <c r="BA33" i="7"/>
  <c r="BC33" i="7" s="1"/>
  <c r="BE33" i="7" s="1"/>
  <c r="BA157" i="7"/>
  <c r="BC157" i="7" s="1"/>
  <c r="BE157" i="7" s="1"/>
  <c r="BA19" i="7"/>
  <c r="BC19" i="7" s="1"/>
  <c r="BE19" i="7" s="1"/>
  <c r="BA7" i="13"/>
  <c r="BC7" i="13" s="1"/>
  <c r="BE7" i="13" s="1"/>
  <c r="BF7" i="13" s="1"/>
  <c r="BG7" i="13" s="1"/>
  <c r="BF68" i="7"/>
  <c r="BG68" i="7" s="1"/>
  <c r="BA5" i="7"/>
  <c r="BC5" i="7" s="1"/>
  <c r="BE5" i="7" s="1"/>
  <c r="BA50" i="7"/>
  <c r="BC50" i="7" s="1"/>
  <c r="BE50" i="7" s="1"/>
  <c r="BA117" i="7"/>
  <c r="BC117" i="7" s="1"/>
  <c r="BE117" i="7" s="1"/>
  <c r="BF81" i="7"/>
  <c r="BG81" i="7" s="1"/>
  <c r="BA66" i="7"/>
  <c r="BC66" i="7" s="1"/>
  <c r="BE66" i="7" s="1"/>
  <c r="BA28" i="7"/>
  <c r="BC28" i="7" s="1"/>
  <c r="BE28" i="7" s="1"/>
  <c r="BA90" i="13"/>
  <c r="BC90" i="13" s="1"/>
  <c r="BE90" i="13" s="1"/>
  <c r="BA67" i="7"/>
  <c r="BC67" i="7" s="1"/>
  <c r="BE67" i="7" s="1"/>
  <c r="BA98" i="7"/>
  <c r="BC98" i="7" s="1"/>
  <c r="BE98" i="7" s="1"/>
  <c r="BF74" i="7"/>
  <c r="BG74" i="7" s="1"/>
  <c r="BF115" i="7"/>
  <c r="BG115" i="7" s="1"/>
  <c r="BA11" i="7"/>
  <c r="BC11" i="7" s="1"/>
  <c r="BE11" i="7" s="1"/>
  <c r="BA111" i="7"/>
  <c r="BC111" i="7" s="1"/>
  <c r="BE111" i="7" s="1"/>
  <c r="BA47" i="7"/>
  <c r="BC47" i="7" s="1"/>
  <c r="BE47" i="7" s="1"/>
  <c r="BF47" i="7" s="1"/>
  <c r="BG47" i="7" s="1"/>
  <c r="BA85" i="7"/>
  <c r="BC85" i="7" s="1"/>
  <c r="BE85" i="7" s="1"/>
  <c r="BA34" i="7"/>
  <c r="BC34" i="7" s="1"/>
  <c r="BE34" i="7" s="1"/>
  <c r="BA151" i="7"/>
  <c r="BC151" i="7" s="1"/>
  <c r="BE151" i="7" s="1"/>
  <c r="BA114" i="7"/>
  <c r="BC114" i="7" s="1"/>
  <c r="BE114" i="7" s="1"/>
  <c r="BA82" i="7"/>
  <c r="BC82" i="7" s="1"/>
  <c r="BE82" i="7" s="1"/>
  <c r="BA110" i="7"/>
  <c r="BC110" i="7" s="1"/>
  <c r="BE110" i="7" s="1"/>
  <c r="BF42" i="7"/>
  <c r="BG42" i="7" s="1"/>
  <c r="BF7" i="7"/>
  <c r="BG7" i="7" s="1"/>
  <c r="BF61" i="7"/>
  <c r="BG61" i="7" s="1"/>
  <c r="BF30" i="7"/>
  <c r="BG30" i="7" s="1"/>
  <c r="BF41" i="7"/>
  <c r="BG41" i="7" s="1"/>
  <c r="BA62" i="7"/>
  <c r="BC62" i="7" s="1"/>
  <c r="BE62" i="7" s="1"/>
  <c r="BF25" i="7"/>
  <c r="BG25" i="7" s="1"/>
  <c r="BF65" i="7"/>
  <c r="BG65" i="7" s="1"/>
  <c r="BF125" i="7"/>
  <c r="BG125" i="7" s="1"/>
  <c r="BF120" i="7"/>
  <c r="BG120" i="7" s="1"/>
  <c r="BF23" i="7"/>
  <c r="BG23" i="7" s="1"/>
  <c r="BF58" i="7"/>
  <c r="BG58" i="7" s="1"/>
  <c r="BF109" i="7"/>
  <c r="BG109" i="7" s="1"/>
  <c r="BF54" i="14"/>
  <c r="BG54" i="14" s="1"/>
  <c r="BZ42" i="7"/>
  <c r="CA42" i="7" s="1"/>
  <c r="BF60" i="7"/>
  <c r="BG60" i="7" s="1"/>
  <c r="BF36" i="7"/>
  <c r="BG36" i="7" s="1"/>
  <c r="BG4" i="13"/>
  <c r="BZ5" i="13"/>
  <c r="BF44" i="6"/>
  <c r="BG44" i="6" s="1"/>
  <c r="BF57" i="6"/>
  <c r="BG57" i="6" s="1"/>
  <c r="BF17" i="6"/>
  <c r="BG17" i="6" s="1"/>
  <c r="BZ110" i="7"/>
  <c r="CA110" i="7" s="1"/>
  <c r="BF35" i="6"/>
  <c r="BG35" i="6" s="1"/>
  <c r="BF55" i="6"/>
  <c r="BG55" i="6" s="1"/>
  <c r="BZ76" i="7"/>
  <c r="CA76" i="7" s="1"/>
  <c r="BZ12" i="14"/>
  <c r="CA12" i="14" s="1"/>
  <c r="BF10" i="14"/>
  <c r="BG10" i="14" s="1"/>
  <c r="BF33" i="14"/>
  <c r="BG33" i="14" s="1"/>
  <c r="BF5" i="14"/>
  <c r="BF34" i="6"/>
  <c r="BG34" i="6" s="1"/>
  <c r="BF27" i="14"/>
  <c r="BG27" i="14" s="1"/>
  <c r="BZ111" i="7"/>
  <c r="CA111" i="7" s="1"/>
  <c r="BZ18" i="7"/>
  <c r="CA18" i="7" s="1"/>
  <c r="BF14" i="7"/>
  <c r="BG14" i="7" s="1"/>
  <c r="BZ87" i="7"/>
  <c r="CA87" i="7" s="1"/>
  <c r="BZ34" i="6"/>
  <c r="CA34" i="6" s="1"/>
  <c r="BZ86" i="7"/>
  <c r="CA86" i="7" s="1"/>
  <c r="BZ139" i="7"/>
  <c r="CA139" i="7" s="1"/>
  <c r="BF112" i="7"/>
  <c r="BG112" i="7" s="1"/>
  <c r="BZ56" i="14"/>
  <c r="CA56" i="14" s="1"/>
  <c r="BZ50" i="14"/>
  <c r="CA50" i="14" s="1"/>
  <c r="BZ123" i="7"/>
  <c r="CA123" i="7" s="1"/>
  <c r="BZ29" i="14"/>
  <c r="CA29" i="14" s="1"/>
  <c r="BZ127" i="7"/>
  <c r="CA127" i="7" s="1"/>
  <c r="BZ69" i="7"/>
  <c r="CA69" i="7" s="1"/>
  <c r="BZ140" i="7"/>
  <c r="CA140" i="7" s="1"/>
  <c r="BF25" i="6"/>
  <c r="BG25" i="6" s="1"/>
  <c r="BZ144" i="7"/>
  <c r="CA144" i="7" s="1"/>
  <c r="BZ130" i="7"/>
  <c r="CA130" i="7" s="1"/>
  <c r="BZ24" i="7"/>
  <c r="CA24" i="7" s="1"/>
  <c r="BZ96" i="7"/>
  <c r="CA96" i="7" s="1"/>
  <c r="BZ77" i="7"/>
  <c r="CA77" i="7" s="1"/>
  <c r="BF113" i="7"/>
  <c r="BG113" i="7" s="1"/>
  <c r="BF8" i="14"/>
  <c r="BG8" i="14" s="1"/>
  <c r="BZ39" i="7"/>
  <c r="CA39" i="7" s="1"/>
  <c r="BZ34" i="14"/>
  <c r="CA34" i="14" s="1"/>
  <c r="BZ28" i="14"/>
  <c r="CA28" i="14" s="1"/>
  <c r="BZ17" i="7"/>
  <c r="CA17" i="7" s="1"/>
  <c r="BZ138" i="7"/>
  <c r="CA138" i="7" s="1"/>
  <c r="BZ82" i="7"/>
  <c r="CA82" i="7" s="1"/>
  <c r="BZ73" i="7"/>
  <c r="CA73" i="7" s="1"/>
  <c r="BF137" i="7"/>
  <c r="BG137" i="7" s="1"/>
  <c r="BZ116" i="7"/>
  <c r="CA116" i="7" s="1"/>
  <c r="BZ142" i="7"/>
  <c r="CA142" i="7" s="1"/>
  <c r="BZ75" i="7"/>
  <c r="CA75" i="7" s="1"/>
  <c r="BZ135" i="7"/>
  <c r="CA135" i="7" s="1"/>
  <c r="BZ4" i="7"/>
  <c r="BF59" i="7"/>
  <c r="BG59" i="7" s="1"/>
  <c r="BZ40" i="7"/>
  <c r="CA40" i="7" s="1"/>
  <c r="BZ137" i="7"/>
  <c r="CA137" i="7" s="1"/>
  <c r="BZ145" i="7"/>
  <c r="CA145" i="7" s="1"/>
  <c r="BZ90" i="7"/>
  <c r="CA90" i="7" s="1"/>
  <c r="BZ133" i="7"/>
  <c r="CA133" i="7" s="1"/>
  <c r="BF12" i="14"/>
  <c r="BG12" i="14" s="1"/>
  <c r="BZ113" i="7"/>
  <c r="CA113" i="7" s="1"/>
  <c r="BZ37" i="7"/>
  <c r="CA37" i="7" s="1"/>
  <c r="BZ21" i="7"/>
  <c r="CA21" i="7" s="1"/>
  <c r="BZ24" i="6"/>
  <c r="CA24" i="6" s="1"/>
  <c r="BZ66" i="7"/>
  <c r="CA66" i="7" s="1"/>
  <c r="BZ33" i="7"/>
  <c r="CA33" i="7" s="1"/>
  <c r="BF29" i="14"/>
  <c r="BG29" i="14" s="1"/>
  <c r="BZ27" i="7"/>
  <c r="CA27" i="7" s="1"/>
  <c r="BZ148" i="7"/>
  <c r="CA148" i="7" s="1"/>
  <c r="BZ78" i="7"/>
  <c r="CA78" i="7" s="1"/>
  <c r="BF56" i="7"/>
  <c r="BG56" i="7" s="1"/>
  <c r="BF50" i="14"/>
  <c r="BG50" i="14" s="1"/>
  <c r="BZ28" i="7"/>
  <c r="CA28" i="7" s="1"/>
  <c r="BZ34" i="7"/>
  <c r="CA34" i="7" s="1"/>
  <c r="BZ112" i="7"/>
  <c r="CA112" i="7" s="1"/>
  <c r="BF86" i="7"/>
  <c r="BG86" i="7" s="1"/>
  <c r="BZ70" i="7"/>
  <c r="CA70" i="7" s="1"/>
  <c r="BZ71" i="7"/>
  <c r="CA71" i="7" s="1"/>
  <c r="BF28" i="14"/>
  <c r="BG28" i="14" s="1"/>
  <c r="BZ60" i="6"/>
  <c r="CA60" i="6" s="1"/>
  <c r="BZ79" i="7"/>
  <c r="CA79" i="7" s="1"/>
  <c r="BF31" i="14"/>
  <c r="BG31" i="14" s="1"/>
  <c r="BF56" i="14"/>
  <c r="BG56" i="14" s="1"/>
  <c r="BZ146" i="7"/>
  <c r="CA146" i="7" s="1"/>
  <c r="BZ121" i="7"/>
  <c r="CA121" i="7" s="1"/>
  <c r="BZ131" i="7"/>
  <c r="CA131" i="7" s="1"/>
  <c r="BZ11" i="14"/>
  <c r="BZ92" i="7"/>
  <c r="CA92" i="7" s="1"/>
  <c r="BZ44" i="7"/>
  <c r="CA44" i="7" s="1"/>
  <c r="BZ27" i="14"/>
  <c r="CA27" i="14" s="1"/>
  <c r="BZ59" i="7"/>
  <c r="CA59" i="7" s="1"/>
  <c r="BZ126" i="7"/>
  <c r="CA126" i="7" s="1"/>
  <c r="BF11" i="14"/>
  <c r="BG11" i="14" s="1"/>
  <c r="BZ10" i="7"/>
  <c r="CA10" i="7" s="1"/>
  <c r="BF30" i="6"/>
  <c r="BG30" i="6" s="1"/>
  <c r="BZ8" i="7"/>
  <c r="CA8" i="7" s="1"/>
  <c r="BF37" i="6"/>
  <c r="BG37" i="6" s="1"/>
  <c r="BZ62" i="7"/>
  <c r="CA62" i="7" s="1"/>
  <c r="BZ5" i="7"/>
  <c r="CA5" i="7" s="1"/>
  <c r="BZ67" i="7"/>
  <c r="CA67" i="7" s="1"/>
  <c r="BF14" i="6"/>
  <c r="BG14" i="6" s="1"/>
  <c r="BZ95" i="7"/>
  <c r="CA95" i="7" s="1"/>
  <c r="BF4" i="7"/>
  <c r="BZ20" i="7"/>
  <c r="CA20" i="7" s="1"/>
  <c r="BZ122" i="7"/>
  <c r="CA122" i="7" s="1"/>
  <c r="BZ124" i="7"/>
  <c r="CA124" i="7" s="1"/>
  <c r="BF60" i="6"/>
  <c r="BG60" i="6" s="1"/>
  <c r="BF34" i="14"/>
  <c r="BG34" i="14" s="1"/>
  <c r="BF8" i="7"/>
  <c r="BG8" i="7" s="1"/>
  <c r="BZ114" i="7"/>
  <c r="CA114" i="7" s="1"/>
  <c r="BF63" i="7"/>
  <c r="BG63" i="7" s="1"/>
  <c r="BZ22" i="7"/>
  <c r="CA22" i="7" s="1"/>
  <c r="BZ11" i="7"/>
  <c r="CA11" i="7" s="1"/>
  <c r="BF135" i="7"/>
  <c r="BG135" i="7" s="1"/>
  <c r="BF6" i="14"/>
  <c r="BG6" i="14" s="1"/>
  <c r="BF59" i="6"/>
  <c r="BG59" i="6" s="1"/>
  <c r="BF4" i="6"/>
  <c r="BZ63" i="7"/>
  <c r="CA63" i="7" s="1"/>
  <c r="BZ35" i="7"/>
  <c r="CA35" i="7" s="1"/>
  <c r="BZ119" i="7"/>
  <c r="CA119" i="7" s="1"/>
  <c r="BZ19" i="7"/>
  <c r="CA19" i="7" s="1"/>
  <c r="BZ85" i="7"/>
  <c r="CA85" i="7" s="1"/>
  <c r="BZ4" i="6"/>
  <c r="CA22" i="6"/>
  <c r="CA61" i="6"/>
  <c r="BZ25" i="6"/>
  <c r="CA25" i="6" s="1"/>
  <c r="BZ59" i="6"/>
  <c r="CA59" i="6" s="1"/>
  <c r="BZ37" i="6"/>
  <c r="CA37" i="6" s="1"/>
  <c r="BF58" i="14"/>
  <c r="BG58" i="14" s="1"/>
  <c r="CA23" i="6"/>
  <c r="CA41" i="6"/>
  <c r="BF15" i="6"/>
  <c r="BG15" i="6" s="1"/>
  <c r="BF55" i="7" l="1"/>
  <c r="BG55" i="7" s="1"/>
  <c r="BF51" i="7"/>
  <c r="BG51" i="7" s="1"/>
  <c r="BF143" i="7"/>
  <c r="BG143" i="7" s="1"/>
  <c r="BF144" i="7"/>
  <c r="BG144" i="7" s="1"/>
  <c r="BF159" i="7"/>
  <c r="BG159" i="7" s="1"/>
  <c r="BF18" i="7"/>
  <c r="BG18" i="7" s="1"/>
  <c r="BF89" i="7"/>
  <c r="BG89" i="7" s="1"/>
  <c r="BF140" i="7"/>
  <c r="BG140" i="7" s="1"/>
  <c r="BF92" i="7"/>
  <c r="BG92" i="7" s="1"/>
  <c r="BF123" i="7"/>
  <c r="BG123" i="7" s="1"/>
  <c r="BF94" i="7"/>
  <c r="BG94" i="7" s="1"/>
  <c r="BF154" i="7"/>
  <c r="BG154" i="7" s="1"/>
  <c r="BF142" i="7"/>
  <c r="BG142" i="7" s="1"/>
  <c r="BF127" i="7"/>
  <c r="BG127" i="7" s="1"/>
  <c r="BF70" i="7"/>
  <c r="BG70" i="7" s="1"/>
  <c r="BF146" i="7"/>
  <c r="BG146" i="7" s="1"/>
  <c r="BF130" i="7"/>
  <c r="BG130" i="7" s="1"/>
  <c r="BF17" i="7"/>
  <c r="BG17" i="7" s="1"/>
  <c r="BF153" i="7"/>
  <c r="BG153" i="7" s="1"/>
  <c r="BF50" i="7"/>
  <c r="BG50" i="7" s="1"/>
  <c r="BF52" i="7"/>
  <c r="BG52" i="7" s="1"/>
  <c r="BF54" i="7"/>
  <c r="BG54" i="7" s="1"/>
  <c r="BF48" i="7"/>
  <c r="BG48" i="7" s="1"/>
  <c r="BF49" i="7"/>
  <c r="BG49" i="7" s="1"/>
  <c r="BF156" i="7"/>
  <c r="BG156" i="7" s="1"/>
  <c r="BF148" i="7"/>
  <c r="BG148" i="7" s="1"/>
  <c r="BF102" i="7"/>
  <c r="BG102" i="7" s="1"/>
  <c r="BF100" i="7"/>
  <c r="BG100" i="7" s="1"/>
  <c r="BF157" i="7"/>
  <c r="BG157" i="7" s="1"/>
  <c r="BF104" i="7"/>
  <c r="BG104" i="7" s="1"/>
  <c r="BF99" i="7"/>
  <c r="BG99" i="7" s="1"/>
  <c r="BF76" i="7"/>
  <c r="BG76" i="7" s="1"/>
  <c r="BF155" i="7"/>
  <c r="BG155" i="7" s="1"/>
  <c r="BF36" i="14"/>
  <c r="BG36" i="14" s="1"/>
  <c r="BF98" i="7"/>
  <c r="BG98" i="7" s="1"/>
  <c r="BF151" i="7"/>
  <c r="BG151" i="7" s="1"/>
  <c r="BF103" i="7"/>
  <c r="BG103" i="7" s="1"/>
  <c r="BF139" i="7"/>
  <c r="BG139" i="7" s="1"/>
  <c r="BF145" i="7"/>
  <c r="BG145" i="7" s="1"/>
  <c r="BF119" i="7"/>
  <c r="BG119" i="7" s="1"/>
  <c r="BF105" i="7"/>
  <c r="BG105" i="7" s="1"/>
  <c r="BF150" i="7"/>
  <c r="BG150" i="7" s="1"/>
  <c r="BF106" i="7"/>
  <c r="BG106" i="7" s="1"/>
  <c r="BF20" i="7"/>
  <c r="BG20" i="7" s="1"/>
  <c r="BF44" i="7"/>
  <c r="BG44" i="7" s="1"/>
  <c r="BF27" i="7"/>
  <c r="BG27" i="7" s="1"/>
  <c r="BF133" i="7"/>
  <c r="BG133" i="7" s="1"/>
  <c r="BF131" i="7"/>
  <c r="BG131" i="7" s="1"/>
  <c r="BF71" i="7"/>
  <c r="BG71" i="7" s="1"/>
  <c r="BF77" i="7"/>
  <c r="BG77" i="7" s="1"/>
  <c r="BF95" i="7"/>
  <c r="BG95" i="7" s="1"/>
  <c r="BF22" i="7"/>
  <c r="BG22" i="7" s="1"/>
  <c r="BF14" i="14"/>
  <c r="BF64" i="7"/>
  <c r="BG64" i="7" s="1"/>
  <c r="BF57" i="7"/>
  <c r="BG57" i="7" s="1"/>
  <c r="BF35" i="7"/>
  <c r="BG35" i="7" s="1"/>
  <c r="BF87" i="7"/>
  <c r="BG87" i="7" s="1"/>
  <c r="BF16" i="7"/>
  <c r="BG16" i="7" s="1"/>
  <c r="BF126" i="7"/>
  <c r="BG126" i="7" s="1"/>
  <c r="BF39" i="7"/>
  <c r="BG39" i="7" s="1"/>
  <c r="BF121" i="7"/>
  <c r="BG121" i="7" s="1"/>
  <c r="BF75" i="7"/>
  <c r="BG75" i="7" s="1"/>
  <c r="BF78" i="7"/>
  <c r="BG78" i="7" s="1"/>
  <c r="BF79" i="7"/>
  <c r="BG79" i="7" s="1"/>
  <c r="BF138" i="7"/>
  <c r="BG138" i="7" s="1"/>
  <c r="BF122" i="7"/>
  <c r="BG122" i="7" s="1"/>
  <c r="BF37" i="7"/>
  <c r="BG37" i="7" s="1"/>
  <c r="BF24" i="7"/>
  <c r="BG24" i="7" s="1"/>
  <c r="BF124" i="7"/>
  <c r="BG124" i="7" s="1"/>
  <c r="BF69" i="7"/>
  <c r="BG69" i="7" s="1"/>
  <c r="BF90" i="7"/>
  <c r="BG90" i="7" s="1"/>
  <c r="BF96" i="7"/>
  <c r="BG96" i="7" s="1"/>
  <c r="BF73" i="7"/>
  <c r="BG73" i="7" s="1"/>
  <c r="BF5" i="7"/>
  <c r="BG5" i="7" s="1"/>
  <c r="BF117" i="7"/>
  <c r="BG117" i="7" s="1"/>
  <c r="BF40" i="7"/>
  <c r="BG40" i="7" s="1"/>
  <c r="BF116" i="7"/>
  <c r="BG116" i="7" s="1"/>
  <c r="BF21" i="7"/>
  <c r="BG21" i="7" s="1"/>
  <c r="BF19" i="7"/>
  <c r="BG19" i="7" s="1"/>
  <c r="BF67" i="7"/>
  <c r="BG67" i="7" s="1"/>
  <c r="BF28" i="7"/>
  <c r="BG28" i="7" s="1"/>
  <c r="BF66" i="7"/>
  <c r="BG66" i="7" s="1"/>
  <c r="BF33" i="7"/>
  <c r="BG33" i="7" s="1"/>
  <c r="BF10" i="7"/>
  <c r="BG10" i="7" s="1"/>
  <c r="BF111" i="7"/>
  <c r="BG111" i="7" s="1"/>
  <c r="BF34" i="7"/>
  <c r="BG34" i="7" s="1"/>
  <c r="BF90" i="13"/>
  <c r="BF85" i="7"/>
  <c r="BG85" i="7" s="1"/>
  <c r="BF11" i="7"/>
  <c r="BG11" i="7" s="1"/>
  <c r="BF82" i="7"/>
  <c r="BG82" i="7" s="1"/>
  <c r="BF114" i="7"/>
  <c r="BG114" i="7" s="1"/>
  <c r="BF110" i="7"/>
  <c r="BG110" i="7" s="1"/>
  <c r="BF62" i="7"/>
  <c r="BG4" i="7"/>
  <c r="CA5" i="13"/>
  <c r="BG5" i="13"/>
  <c r="CA11" i="14"/>
  <c r="CA4" i="6"/>
  <c r="CA4" i="7"/>
  <c r="BG5" i="14"/>
  <c r="BG4" i="6"/>
  <c r="BG14" i="14" l="1"/>
  <c r="BG90" i="13"/>
  <c r="BG62" i="7"/>
</calcChain>
</file>

<file path=xl/comments1.xml><?xml version="1.0" encoding="utf-8"?>
<comments xmlns="http://schemas.openxmlformats.org/spreadsheetml/2006/main">
  <authors>
    <author>Aarts, W.H.J. (Wim) (NETCO WS Regulatory)</author>
  </authors>
  <commentList>
    <comment ref="Q10" authorId="0">
      <text>
        <r>
          <rPr>
            <b/>
            <sz val="9"/>
            <color indexed="81"/>
            <rFont val="Tahoma"/>
            <family val="2"/>
          </rPr>
          <t>excl. broadcast</t>
        </r>
      </text>
    </comment>
    <comment ref="R10" authorId="0">
      <text>
        <r>
          <rPr>
            <b/>
            <sz val="9"/>
            <color indexed="81"/>
            <rFont val="Tahoma"/>
            <family val="2"/>
          </rPr>
          <t>excl. broadcast</t>
        </r>
      </text>
    </comment>
  </commentList>
</comments>
</file>

<file path=xl/comments2.xml><?xml version="1.0" encoding="utf-8"?>
<comments xmlns="http://schemas.openxmlformats.org/spreadsheetml/2006/main">
  <authors>
    <author>Aanen, E. (Eimert) (ZM SH Data Pricing ZM)</author>
  </authors>
  <commentList>
    <comment ref="D122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was eerst 50/5</t>
        </r>
      </text>
    </comment>
  </commentList>
</comments>
</file>

<file path=xl/sharedStrings.xml><?xml version="1.0" encoding="utf-8"?>
<sst xmlns="http://schemas.openxmlformats.org/spreadsheetml/2006/main" count="9498" uniqueCount="1752">
  <si>
    <t>Algemeen</t>
  </si>
  <si>
    <t>Waarde</t>
  </si>
  <si>
    <t>Retailopslag le/corporate</t>
  </si>
  <si>
    <t>Retailopslag</t>
  </si>
  <si>
    <t>% t.o.v. netto wholesale inkoopkosten</t>
  </si>
  <si>
    <t>AfschrijftermijnVVE12</t>
  </si>
  <si>
    <t>AfschrijftermijnVVE24</t>
  </si>
  <si>
    <t>AfschrijftermijnVVE36</t>
  </si>
  <si>
    <t>AfschrijftermijnVVE48</t>
  </si>
  <si>
    <t>AfschrijftermijnVVE60</t>
  </si>
  <si>
    <t>ZM TermijnKorting</t>
  </si>
  <si>
    <t>ZMTermijnKorting access VVA</t>
  </si>
  <si>
    <t>ZMTermijnKorting access VVE</t>
  </si>
  <si>
    <t>ZMTermijnKorting transport VVA</t>
  </si>
  <si>
    <t>ZMTermijnKorting transport VVE</t>
  </si>
  <si>
    <t>ZMTermijnKorting servicelevel VVA</t>
  </si>
  <si>
    <t>ZMTermijnKorting servicelevel VVE</t>
  </si>
  <si>
    <t>ZMTermijnKorting router VVA</t>
  </si>
  <si>
    <t>ZMTermijnKorting router VVE</t>
  </si>
  <si>
    <t>Sales Mandaat</t>
  </si>
  <si>
    <t>ZMSalesMandaatVVE</t>
  </si>
  <si>
    <t>ZMSalesMandaatVVA</t>
  </si>
  <si>
    <t>Volumekorting</t>
  </si>
  <si>
    <t>WOKortingVVEWBA ZM Ethernet</t>
  </si>
  <si>
    <t>WOKortingVVEWBA CM Ethernet</t>
  </si>
  <si>
    <t>EDC Minus platformkosten opslag</t>
  </si>
  <si>
    <t>Uit EDC minus blad</t>
  </si>
  <si>
    <t>EDC Opslag Platformkosten</t>
  </si>
  <si>
    <t>EDC Platformkosten incl opslag</t>
  </si>
  <si>
    <t>IAS platform per aansluiting</t>
  </si>
  <si>
    <t>per aansluiting</t>
  </si>
  <si>
    <t>EDC kosten Router Service Levels</t>
  </si>
  <si>
    <t>Kantoor</t>
  </si>
  <si>
    <t>Winkel</t>
  </si>
  <si>
    <t>7x24</t>
  </si>
  <si>
    <t>1. Aansluitingen: ZM</t>
  </si>
  <si>
    <t>ZM identifier</t>
  </si>
  <si>
    <t>xDSL</t>
  </si>
  <si>
    <t>Bandbreedte</t>
  </si>
  <si>
    <t>ZM VPN kwaliteit</t>
  </si>
  <si>
    <t>WO identifier</t>
  </si>
  <si>
    <t>WO VPN kwaliteit</t>
  </si>
  <si>
    <t>ADSL</t>
  </si>
  <si>
    <t>128/128</t>
  </si>
  <si>
    <t>Basic</t>
  </si>
  <si>
    <t>&lt;= 512 kbps/&lt;= 256 kbps</t>
  </si>
  <si>
    <t>entry</t>
  </si>
  <si>
    <t>384/128</t>
  </si>
  <si>
    <t>256/256</t>
  </si>
  <si>
    <t>512/256</t>
  </si>
  <si>
    <t>512/512</t>
  </si>
  <si>
    <t>&lt;= 2 Mbps/&lt;= 512 kbps</t>
  </si>
  <si>
    <t>1024/256</t>
  </si>
  <si>
    <t>1024/512</t>
  </si>
  <si>
    <t>2048/512</t>
  </si>
  <si>
    <t>3072/512</t>
  </si>
  <si>
    <t>&lt;= 4 Mbps/&lt;= 1 Mbps</t>
  </si>
  <si>
    <t>4096/1024</t>
  </si>
  <si>
    <t>6144/1024</t>
  </si>
  <si>
    <t>&lt;= 8 Mbps/&lt;= 1 Mbps</t>
  </si>
  <si>
    <t>8000/1024</t>
  </si>
  <si>
    <t>12000/1024</t>
  </si>
  <si>
    <t>&lt;= 20 Mbps/&lt;= 1 Mbps</t>
  </si>
  <si>
    <t>20000/1024</t>
  </si>
  <si>
    <t>SDSL</t>
  </si>
  <si>
    <t>≤ 2,3 Mbps/≤ 2,3 Mbps</t>
  </si>
  <si>
    <t>1024/1024</t>
  </si>
  <si>
    <t>1536/1536</t>
  </si>
  <si>
    <t>2048/2048</t>
  </si>
  <si>
    <t>2300/2300</t>
  </si>
  <si>
    <t>Premium</t>
  </si>
  <si>
    <t>premium</t>
  </si>
  <si>
    <t>448 kbps/448 kbps</t>
  </si>
  <si>
    <t>640 kbps/640 kbps</t>
  </si>
  <si>
    <t>n.a.</t>
  </si>
  <si>
    <t>1 Mbps/1 Mbps</t>
  </si>
  <si>
    <t>2 Mbps/2 Mbps</t>
  </si>
  <si>
    <t>VDSL</t>
  </si>
  <si>
    <t>Entry</t>
  </si>
  <si>
    <t>448/448</t>
  </si>
  <si>
    <t>640/640</t>
  </si>
  <si>
    <t>&lt;= 30 Mbps/&lt;= 3 Mbps</t>
  </si>
  <si>
    <t>3072/3072</t>
  </si>
  <si>
    <t>4096/4096</t>
  </si>
  <si>
    <t>8192/1024</t>
  </si>
  <si>
    <t>10240/1024</t>
  </si>
  <si>
    <t>20480/2048</t>
  </si>
  <si>
    <t>30372/3072</t>
  </si>
  <si>
    <t>51200/5120</t>
  </si>
  <si>
    <t>81920/8192</t>
  </si>
  <si>
    <t>3 Mbps/3 Mbps</t>
  </si>
  <si>
    <t>4 Mbps/4 Mbps</t>
  </si>
  <si>
    <t>10 Mbps/10 Mbps</t>
  </si>
  <si>
    <t>SA IPVPN</t>
  </si>
  <si>
    <t>8192/8192</t>
  </si>
  <si>
    <t>10240/10240</t>
  </si>
  <si>
    <t>≤50/50 Mbps</t>
  </si>
  <si>
    <t>12288/1024</t>
  </si>
  <si>
    <t>30720/3072</t>
  </si>
  <si>
    <t>30720/30720</t>
  </si>
  <si>
    <t>51200/51200</t>
  </si>
  <si>
    <t>100000/100000</t>
  </si>
  <si>
    <t>≤100/100 Mbps</t>
  </si>
  <si>
    <t>Add</t>
  </si>
  <si>
    <t>&lt;=256 kbps/&lt;=256 kbps</t>
  </si>
  <si>
    <t>add</t>
  </si>
  <si>
    <t>200/200</t>
  </si>
  <si>
    <t>224/224</t>
  </si>
  <si>
    <t>352/352</t>
  </si>
  <si>
    <t>ZM Bereik</t>
  </si>
  <si>
    <t>WO Bereik</t>
  </si>
  <si>
    <t>EDC- backbone</t>
  </si>
  <si>
    <t>basic</t>
  </si>
  <si>
    <t>nationaal</t>
  </si>
  <si>
    <t>national</t>
  </si>
  <si>
    <t>nvt</t>
  </si>
  <si>
    <t>metro</t>
  </si>
  <si>
    <t>metro-nationaal</t>
  </si>
  <si>
    <t>2. Dragers</t>
  </si>
  <si>
    <t>FttH</t>
  </si>
  <si>
    <t>WBA</t>
  </si>
  <si>
    <t>WBA CM Ethernet</t>
  </si>
  <si>
    <t>WBA ZM Ethernet</t>
  </si>
  <si>
    <t>2a) wholesale new line</t>
  </si>
  <si>
    <t>bestaand</t>
  </si>
  <si>
    <t>nieuw</t>
  </si>
  <si>
    <t>New line</t>
  </si>
  <si>
    <t>shared</t>
  </si>
  <si>
    <t>unshared</t>
  </si>
  <si>
    <t>3. Service Levels</t>
  </si>
  <si>
    <t>ZM VPN Service Level</t>
  </si>
  <si>
    <t>winkeluren</t>
  </si>
  <si>
    <t>Standard+</t>
  </si>
  <si>
    <t>4. Contractsduren</t>
  </si>
  <si>
    <t>ZM Contractsduur</t>
  </si>
  <si>
    <t>WO Contractsduur</t>
  </si>
  <si>
    <t>ZM Contractduur</t>
  </si>
  <si>
    <t>WO Contractduur</t>
  </si>
  <si>
    <t>Cisco 886VA(ADSL/ISDN) Cisco 887VA(ADSL/PSTN) Cisco C887 VA(VDSL)</t>
  </si>
  <si>
    <t>Cisco 888 (alleen SDSL)</t>
  </si>
  <si>
    <t>Cisco 1921 (met V.35 ser. WIC (Leased Line 2Mb))</t>
  </si>
  <si>
    <t>kantoor</t>
  </si>
  <si>
    <t>winkel</t>
  </si>
  <si>
    <t>7. Algemeen</t>
  </si>
  <si>
    <t>ZM Epacity</t>
  </si>
  <si>
    <t>VVA</t>
  </si>
  <si>
    <t>VVE</t>
  </si>
  <si>
    <t>–</t>
  </si>
  <si>
    <t>Wholesale new line</t>
  </si>
  <si>
    <t>Shared / unshared</t>
  </si>
  <si>
    <t>Omschrijving tariefbrochure</t>
  </si>
  <si>
    <t>IP-VPN Drager t.b.v. ADSL/VDSL (nieuwe aansluiting/Wholesale New Line)</t>
  </si>
  <si>
    <t>IP-VPN Drager t.b.v. SDSL (Wholesale New Line)</t>
  </si>
  <si>
    <t>IP-VPN Drager t.b.v. SA IPVPN (nieuwe glasaansluiting/Wholesale New Line)</t>
  </si>
  <si>
    <t>IPVPN Drager PSTN gebruiken t.b.v VDSL (telefonie afsluiten/terminate voice)</t>
  </si>
  <si>
    <t>IPVPN Drager ISDN/PSTN gebruiken t.b.v. ADSL(telefonie afsluiten/terminate voice)</t>
  </si>
  <si>
    <t>IPVPN Drager ISDN/PSTN gebruiken t.b.v. SDSL(telefonie afsluiten/terminate voice)</t>
  </si>
  <si>
    <t>IPVPN Drager PSTN gebruiken t.b.v. VDSL in combinatie met telefonie</t>
  </si>
  <si>
    <t>IPVPN Drager ISDN/PSTN gebruiken t.b.v. ADSL in combinatie met telefonie</t>
  </si>
  <si>
    <t>Tarief voor aanmaak VPN</t>
  </si>
  <si>
    <t>WBA Annex 4 ZM Ethernet on LWAP's</t>
  </si>
  <si>
    <t>WBA Annex 4 CM</t>
  </si>
  <si>
    <t>1. Network Access Line Types</t>
  </si>
  <si>
    <t>VVE connect</t>
  </si>
  <si>
    <t>VVE disconnect</t>
  </si>
  <si>
    <t>Non shared (ATL, VTL) and Shared (ASL-BR, VSL-BR)</t>
  </si>
  <si>
    <t>Non shared (STL)</t>
  </si>
  <si>
    <t>Non shared (Fiber to the Home)</t>
  </si>
  <si>
    <t>FttO</t>
  </si>
  <si>
    <t>Non shared (Fiber to the Office)</t>
  </si>
  <si>
    <t>VDSL Bonding</t>
  </si>
  <si>
    <t>Non shared (VDSL Bonding)</t>
  </si>
  <si>
    <t>Shared (ASL-CO, VSL-CO)</t>
  </si>
  <si>
    <t>New line (including Telco - Telco and WSO - WSO migrations)</t>
  </si>
  <si>
    <t>Disconnection of Network Access line</t>
  </si>
  <si>
    <t>New line (including WSO - WSO migrations)</t>
  </si>
  <si>
    <t>Telco - Telco migration</t>
  </si>
  <si>
    <t>New line (WBA FttO)</t>
  </si>
  <si>
    <t>Disconnection of Network Access line (WBA FttO)</t>
  </si>
  <si>
    <t>Order cancellation</t>
  </si>
  <si>
    <t xml:space="preserve">2. Access PVC/VLAN tariffs </t>
  </si>
  <si>
    <t>CoS</t>
  </si>
  <si>
    <t>Bereik</t>
  </si>
  <si>
    <t>ADSL-CO / VDSL-CO</t>
  </si>
  <si>
    <t>SDSL-CO</t>
  </si>
  <si>
    <t>VDSL-CO/BR/FttC</t>
  </si>
  <si>
    <t>ADSL-BR / VDSL-BR / FttC</t>
  </si>
  <si>
    <t>≤500/500 Mbps</t>
  </si>
  <si>
    <t>&lt;= 1/1</t>
  </si>
  <si>
    <t>Lite</t>
  </si>
  <si>
    <t>nationalPtP</t>
  </si>
  <si>
    <t>&lt;= 2/2</t>
  </si>
  <si>
    <t>&lt;= 5/5</t>
  </si>
  <si>
    <t>&lt;=10/10</t>
  </si>
  <si>
    <t>&lt;=20/20</t>
  </si>
  <si>
    <t>3. Transport tariffs</t>
  </si>
  <si>
    <t>4. WAP tariffs</t>
  </si>
  <si>
    <t>5. Service levels</t>
  </si>
  <si>
    <t>Standard+: Support during office hours, repairtime one business day</t>
  </si>
  <si>
    <t>7x24 repairtime 8h</t>
  </si>
  <si>
    <t>2011WK(13)16A_2011</t>
  </si>
  <si>
    <t>ND5 kostenparameters vaste netwerk KPN (ZM deel)</t>
  </si>
  <si>
    <t>2013/2014</t>
  </si>
  <si>
    <t xml:space="preserve">Versie: </t>
  </si>
  <si>
    <t>2011WK(13)16A_2012</t>
  </si>
  <si>
    <t>2011WK(13)16B_2013</t>
  </si>
  <si>
    <t>2011WK(13)16B_2015</t>
  </si>
  <si>
    <t>WBA KOPER</t>
  </si>
  <si>
    <t>WBA CM</t>
  </si>
  <si>
    <t>Type access</t>
  </si>
  <si>
    <t>Netvlakken</t>
  </si>
  <si>
    <t>ADSL op MDF (nrc) locatie (ATM)</t>
  </si>
  <si>
    <t>shared/non-shared</t>
  </si>
  <si>
    <t>passief-regionaal</t>
  </si>
  <si>
    <t>EDC minus 2012-2014</t>
  </si>
  <si>
    <t>per mnd</t>
  </si>
  <si>
    <t>regionaal-nationaal</t>
  </si>
  <si>
    <t>Tweede WBA CM ATM PVC 1:1</t>
  </si>
  <si>
    <t>per Mbps per mnd</t>
  </si>
  <si>
    <t>xDSL op MDF (nrc) locatie (ethernet)</t>
  </si>
  <si>
    <t>passief-nationaal</t>
  </si>
  <si>
    <t>VDSL op MDF (nrc) locatie (ethernet)</t>
  </si>
  <si>
    <t>VDSL bonding</t>
  </si>
  <si>
    <t>VDSL op SDF locatie (ethernet)</t>
  </si>
  <si>
    <t>non-shared</t>
  </si>
  <si>
    <t>LRIC</t>
  </si>
  <si>
    <t>FttH op Fiber locatie (ethernet)</t>
  </si>
  <si>
    <t>access</t>
  </si>
  <si>
    <t>FttH op Fiber locatie /SDF op VDSL locatie</t>
  </si>
  <si>
    <t>transport</t>
  </si>
  <si>
    <t>WBA ZM ETN</t>
  </si>
  <si>
    <t>ADSL op MDF (nrc) locatie (ATM, entry)</t>
  </si>
  <si>
    <t>EDC minus</t>
  </si>
  <si>
    <t>zie ontmiddeling</t>
  </si>
  <si>
    <t>ADSL op MDF (nrc) locatie (ATM, anders dan entry)</t>
  </si>
  <si>
    <t>passief-metro</t>
  </si>
  <si>
    <t>xDSL transport (ethernet)</t>
  </si>
  <si>
    <t>WBA ZM ATM: kostenontmiddeling naar tarieven</t>
  </si>
  <si>
    <t>WBA ZM ATM</t>
  </si>
  <si>
    <t>VBR-rt</t>
  </si>
  <si>
    <t>UBR 1:1</t>
  </si>
  <si>
    <t>1:4</t>
  </si>
  <si>
    <t>1:10</t>
  </si>
  <si>
    <t>1:20</t>
  </si>
  <si>
    <t>1280/1280</t>
  </si>
  <si>
    <t>2304/2304</t>
  </si>
  <si>
    <t>regionaal-supranationaal</t>
  </si>
  <si>
    <t>BROADCAST KOPER EN GLAS</t>
  </si>
  <si>
    <t>Dienst over koper</t>
  </si>
  <si>
    <t>Broadcast</t>
  </si>
  <si>
    <t>Transport</t>
  </si>
  <si>
    <t>Broadcast (exclusief unicast functionaliteit)</t>
  </si>
  <si>
    <t>Platform</t>
  </si>
  <si>
    <t>Dienst over FttH glas</t>
  </si>
  <si>
    <t>ILL &lt;= 2 MB KOPER</t>
  </si>
  <si>
    <t>64 KBIT/S</t>
  </si>
  <si>
    <t>telco-sited</t>
  </si>
  <si>
    <t>128 KBIT/S</t>
  </si>
  <si>
    <t>192 KBIT/S</t>
  </si>
  <si>
    <t>256 KBIT/S</t>
  </si>
  <si>
    <t>384 KBIT/S</t>
  </si>
  <si>
    <t>512 KBIT/S</t>
  </si>
  <si>
    <t>1984 KBIT/S</t>
  </si>
  <si>
    <t>2048 KBIT/S</t>
  </si>
  <si>
    <t>NWAD/NMUX</t>
  </si>
  <si>
    <t>passief-lokaal</t>
  </si>
  <si>
    <t>collo</t>
  </si>
  <si>
    <t>WEAS KOPER</t>
  </si>
  <si>
    <t>Copper access</t>
  </si>
  <si>
    <t>3 Mb</t>
  </si>
  <si>
    <t>5 Mb</t>
  </si>
  <si>
    <t>10 Mb</t>
  </si>
  <si>
    <t>15 Mb</t>
  </si>
  <si>
    <t>20 Mb</t>
  </si>
  <si>
    <t>Transport ethernet t.b.v. EoK aansluiting</t>
  </si>
  <si>
    <t>metro-regionaal</t>
  </si>
  <si>
    <t>TELEFONIE KLASSIEK (TDM) ten behoeve van WLR - MDF toetsing</t>
  </si>
  <si>
    <t>PSTN lijnkaart</t>
  </si>
  <si>
    <t>ISDN1 lijnkaart</t>
  </si>
  <si>
    <t>ISDN2 lijnkaart</t>
  </si>
  <si>
    <t>ISDN15 lijnkaart</t>
  </si>
  <si>
    <t>ISDN20 lijnkaart</t>
  </si>
  <si>
    <t>ISDN30 lijnkaart</t>
  </si>
  <si>
    <t>Cityphone lijnkaart</t>
  </si>
  <si>
    <t>HDSL modem (2 stuks)</t>
  </si>
  <si>
    <t>PSTN aanleg tlf deel</t>
  </si>
  <si>
    <t>eenmalig</t>
  </si>
  <si>
    <t>ISDN1 aanleg tlf deel</t>
  </si>
  <si>
    <t>ISDN2 aanleg tlf deel</t>
  </si>
  <si>
    <t>ISDN15 aanleg tlf deel</t>
  </si>
  <si>
    <t>ISDN20 aanleg tlf deel</t>
  </si>
  <si>
    <t>ISDN30 aanleg tlf deel</t>
  </si>
  <si>
    <t>Cityphone aanleg tlf deel</t>
  </si>
  <si>
    <t>PSTN ophef tlf deel</t>
  </si>
  <si>
    <t>ISDN1 ophef tlf deel</t>
  </si>
  <si>
    <t>ISDN2 ophef tlf deel</t>
  </si>
  <si>
    <t>ISDN15 ophef tlf deel</t>
  </si>
  <si>
    <t>ISDN20 ophef tlf deel</t>
  </si>
  <si>
    <t>ISDN30 ophef tlf deel</t>
  </si>
  <si>
    <t>Cityphone ophef tlf deel</t>
  </si>
  <si>
    <t>PSTN overstap</t>
  </si>
  <si>
    <t>ISDN1 overstap</t>
  </si>
  <si>
    <t>ISDN2 overstap</t>
  </si>
  <si>
    <t>ISDN15 overstap</t>
  </si>
  <si>
    <t>ISDN20 overstap</t>
  </si>
  <si>
    <t>ISDN30 overstap</t>
  </si>
  <si>
    <t>Cityphone overstap</t>
  </si>
  <si>
    <t>DIENSTPLATFORMEN</t>
  </si>
  <si>
    <t>Internet platform consumenten</t>
  </si>
  <si>
    <t>VOIP platform consumenten</t>
  </si>
  <si>
    <t>SV verbindingen</t>
  </si>
  <si>
    <t>Digiaccess platform</t>
  </si>
  <si>
    <t>TELEFONIE KLASSIEK ten behoeve van RET_WHS toetsen</t>
  </si>
  <si>
    <t>Transport regionaal-nationaal</t>
  </si>
  <si>
    <t>per minuut</t>
  </si>
  <si>
    <t>CPS lokaal</t>
  </si>
  <si>
    <t>FTA lokaal</t>
  </si>
  <si>
    <t>Voice Carrier system</t>
  </si>
  <si>
    <t>0800-0900 platform</t>
  </si>
  <si>
    <t>Dataverkeer, Mobiel radio deel</t>
  </si>
  <si>
    <t>per Mb</t>
  </si>
  <si>
    <t>SMS verkeer, Mobiel radio deel</t>
  </si>
  <si>
    <t>per SMS</t>
  </si>
  <si>
    <t>Telefonie offnet, Mobiel radio deel</t>
  </si>
  <si>
    <t>Dataverkeer, Mobiel vast deel</t>
  </si>
  <si>
    <t>SMS verkeer, Mobiel vast deel</t>
  </si>
  <si>
    <t>Telefonie offnet, Mobiel vast deel</t>
  </si>
  <si>
    <t>IDD, internationale deel (excl externe inkoop)</t>
  </si>
  <si>
    <t>USD per minuut</t>
  </si>
  <si>
    <t>CPA (= actieve SDH apparatuur tbv CPA)</t>
  </si>
  <si>
    <t>CPA 32</t>
  </si>
  <si>
    <t>per maand per aansluiting</t>
  </si>
  <si>
    <t>CPA 155</t>
  </si>
  <si>
    <t>CPA 622</t>
  </si>
  <si>
    <t>CPA 2500</t>
  </si>
  <si>
    <t>WEAS GLAS</t>
  </si>
  <si>
    <t>FTTO access</t>
  </si>
  <si>
    <t>A/B/C</t>
  </si>
  <si>
    <t>O</t>
  </si>
  <si>
    <t>DWDM  GLAS</t>
  </si>
  <si>
    <t>FTTO access tot en met 2,5 G standaard</t>
  </si>
  <si>
    <t>FTTO access 10 G standaard</t>
  </si>
  <si>
    <t>SDH GLAS</t>
  </si>
  <si>
    <t>SDH transport</t>
  </si>
  <si>
    <t>34 Mbps</t>
  </si>
  <si>
    <t>155 Mbps</t>
  </si>
  <si>
    <t>afstapelpunt</t>
  </si>
  <si>
    <t>passief</t>
  </si>
  <si>
    <t>WBA GLAS</t>
  </si>
  <si>
    <t>DIENSTPLATFORMEN  ten behoeve van Ret-whs toetsen</t>
  </si>
  <si>
    <t>VoIP OPIB per aansluiting</t>
  </si>
  <si>
    <t>IP centrex per kanaal</t>
  </si>
  <si>
    <t>VoIP connect per kanaal</t>
  </si>
  <si>
    <t>Epacity platform per aansluiting</t>
  </si>
  <si>
    <t>DF ten behoeve van ILL DF-ODF toets en RET-ILL DF</t>
  </si>
  <si>
    <t>DF Backhaul MB-MC per km vezelpaar</t>
  </si>
  <si>
    <t>DF Inter-MC per km vezelpaar</t>
  </si>
  <si>
    <t>DF inter-MB per km vezelpaar</t>
  </si>
  <si>
    <t>Faciliteiten/SLAs</t>
  </si>
  <si>
    <t>PM</t>
  </si>
  <si>
    <t>Kosten</t>
  </si>
  <si>
    <t>Geen</t>
  </si>
  <si>
    <t>RETAIL PRIJZEN</t>
  </si>
  <si>
    <t>WHOLESALE KOSTEN</t>
  </si>
  <si>
    <t>RETAILKOSTEN</t>
  </si>
  <si>
    <t>SQUEEZE TOETS</t>
  </si>
  <si>
    <t>REDEN VAN UITSLUITING TARIEFCOMBINATIES</t>
  </si>
  <si>
    <t>dimensies retail</t>
  </si>
  <si>
    <t>dimensies wholesale</t>
  </si>
  <si>
    <t>Totalen</t>
  </si>
  <si>
    <t>VVA+VVE</t>
  </si>
  <si>
    <t>TOTAAL</t>
  </si>
  <si>
    <t>Identifier rekenblad totaal</t>
  </si>
  <si>
    <t>Identifier transfersheet</t>
  </si>
  <si>
    <t>ZM Access type</t>
  </si>
  <si>
    <t>ZM Graafafstand</t>
  </si>
  <si>
    <t>WO Access type</t>
  </si>
  <si>
    <t>offnet kosten</t>
  </si>
  <si>
    <t>WO identifier VVE</t>
  </si>
  <si>
    <t>WO identifier VVA</t>
  </si>
  <si>
    <t>rij tariefblad</t>
  </si>
  <si>
    <t>ZMtermijnkorting access VVE</t>
  </si>
  <si>
    <t>VVE netto</t>
  </si>
  <si>
    <t>VVE netto (mnd)</t>
  </si>
  <si>
    <t>ZMtermijnkorting access VVA</t>
  </si>
  <si>
    <t>VVA netto (mnd)</t>
  </si>
  <si>
    <t>VVA netto + VVE netto (mnd)</t>
  </si>
  <si>
    <t>rij W&amp;O blad VVE</t>
  </si>
  <si>
    <t>WOkortingVVE</t>
  </si>
  <si>
    <t>Aanschafkosten</t>
  </si>
  <si>
    <t>rij W&amp;O blad VVA</t>
  </si>
  <si>
    <t>WOkortingVVA</t>
  </si>
  <si>
    <t>Offnet kosten (mnd)</t>
  </si>
  <si>
    <t>RTO (mnd)</t>
  </si>
  <si>
    <t>Distributievergoeding (mnd)</t>
  </si>
  <si>
    <t>Totaal retail (mnd)</t>
  </si>
  <si>
    <t>VVA netto + VVE netto + Retail</t>
  </si>
  <si>
    <t>Squeeze Marge (abs)</t>
  </si>
  <si>
    <t>Squeeze Marge (%)</t>
  </si>
  <si>
    <t>Squeeze ?</t>
  </si>
  <si>
    <t>Wordt tariefcombinatie getoetst?</t>
  </si>
  <si>
    <t>Reden van ontbreken toetsing (en dus foutmelding(en) in formules)</t>
  </si>
  <si>
    <t>ZM VPN type</t>
  </si>
  <si>
    <t>ZM Geografisch Bereik</t>
  </si>
  <si>
    <t>ZM Snelheid</t>
  </si>
  <si>
    <t>WO VPN Kwaliteit</t>
  </si>
  <si>
    <t>WO VPN type</t>
  </si>
  <si>
    <t>WO Geografisch Bereik</t>
  </si>
  <si>
    <t>WO Snelheid</t>
  </si>
  <si>
    <t>Epacity platform</t>
  </si>
  <si>
    <t>backbone</t>
  </si>
  <si>
    <t>ZMtermijnkorting transport VVE</t>
  </si>
  <si>
    <t>ZMtermijnkorting transport VVA</t>
  </si>
  <si>
    <t>Epacity platformkosten (mnd)</t>
  </si>
  <si>
    <t>backbone kosten (mnd)</t>
  </si>
  <si>
    <t>ZMtermijnkorting servicelevel VVE</t>
  </si>
  <si>
    <t>ZMtermijnkorting servicelevel VVA</t>
  </si>
  <si>
    <t>Voor korting &amp; sales mandaat</t>
  </si>
  <si>
    <t>Sleutel voor KWT</t>
  </si>
  <si>
    <t>ZM VVE (in EUR)</t>
  </si>
  <si>
    <t>ZM VVA (in EUR/mnd)</t>
  </si>
  <si>
    <t>WO VVE (in EUR)</t>
  </si>
  <si>
    <t>Dienstfamilie</t>
  </si>
  <si>
    <t>Connect type</t>
  </si>
  <si>
    <t>Access type</t>
  </si>
  <si>
    <t>Geografische toets</t>
  </si>
  <si>
    <t>VVA xDF</t>
  </si>
  <si>
    <t>xIP</t>
  </si>
  <si>
    <t>new line</t>
  </si>
  <si>
    <t>telco-telco</t>
  </si>
  <si>
    <t>NLS type 1 ZTL</t>
  </si>
  <si>
    <t>NLS type 1</t>
  </si>
  <si>
    <t>NLS type 2</t>
  </si>
  <si>
    <t>NLS type 3</t>
  </si>
  <si>
    <t>NLS type 2/3</t>
  </si>
  <si>
    <t>NLS type 1 DHZ</t>
  </si>
  <si>
    <t>NLS type 2/3 DHZ</t>
  </si>
  <si>
    <t>End of sheet</t>
  </si>
  <si>
    <t>NLS2</t>
  </si>
  <si>
    <t>Aantal koperparen</t>
  </si>
  <si>
    <t>WEAS-over-koper parameters</t>
  </si>
  <si>
    <t>Aantal homes passed per Area PoP</t>
  </si>
  <si>
    <t>jaar</t>
  </si>
  <si>
    <t>Afschrijvingstermijn VVE (de)patching</t>
  </si>
  <si>
    <t>Afschrijvingstermijn Eenmalige aansluitbijdrage Area PoP</t>
  </si>
  <si>
    <t>Gemiddeld aantal actieve operators</t>
  </si>
  <si>
    <t>Homes activated KPN/RFW</t>
  </si>
  <si>
    <t>Totaal Homes Activated</t>
  </si>
  <si>
    <t>ODF FTTH parameters</t>
  </si>
  <si>
    <t>kbps</t>
  </si>
  <si>
    <t>WAP verkeer per aansluiting</t>
  </si>
  <si>
    <t>Verkeersparameters</t>
  </si>
  <si>
    <t xml:space="preserve">3. </t>
  </si>
  <si>
    <t>Contractsduur (mnd)</t>
  </si>
  <si>
    <t xml:space="preserve"> Contractsduur per Service</t>
  </si>
  <si>
    <t>Generieke parameters</t>
  </si>
  <si>
    <t>1.</t>
  </si>
  <si>
    <t>End of Sheet</t>
  </si>
  <si>
    <t>Additionele tarieven</t>
  </si>
  <si>
    <t>ODF informatie product</t>
  </si>
  <si>
    <t>Stroom per aansluiting</t>
  </si>
  <si>
    <t>Dienst Collocatie per Area PoP</t>
  </si>
  <si>
    <t>City-ring per Area PoP</t>
  </si>
  <si>
    <t>Eenmalige aansluitbijdrage per Area PoP</t>
  </si>
  <si>
    <t>Per mnd</t>
  </si>
  <si>
    <t>Totaal (omgeslagen per aansluiting)</t>
  </si>
  <si>
    <t>ODF information product</t>
  </si>
  <si>
    <t>Eenmalig</t>
  </si>
  <si>
    <t>Korting</t>
  </si>
  <si>
    <t xml:space="preserve">FttH Reggefiber korting ODF </t>
  </si>
  <si>
    <t>Landelijk uniform tarief</t>
  </si>
  <si>
    <t>Depatching</t>
  </si>
  <si>
    <t xml:space="preserve">Telco-Telco migratie </t>
  </si>
  <si>
    <t>Aansluitbijdrage + patching</t>
  </si>
  <si>
    <t>Special SLA</t>
  </si>
  <si>
    <t>Premium service ('Additional serviceniveau' from SLA S&amp;I)</t>
  </si>
  <si>
    <t>3. Optional Service Tariffs</t>
  </si>
  <si>
    <t>Carrier Information Product (CIP)</t>
  </si>
  <si>
    <t>3. Information product tariffs Tariffs</t>
  </si>
  <si>
    <t>Totaal</t>
  </si>
  <si>
    <t>Access Line disconnection</t>
  </si>
  <si>
    <t>MDF Access Pair bonding</t>
  </si>
  <si>
    <t>MDF Access aSL</t>
  </si>
  <si>
    <t>MDF Access xTL</t>
  </si>
  <si>
    <t>Anti DDOS</t>
  </si>
  <si>
    <t xml:space="preserve">Anti DDOS platformkosten </t>
  </si>
  <si>
    <t>Helpdesk</t>
  </si>
  <si>
    <t>Dcconnect</t>
  </si>
  <si>
    <t>Datacenter_Connect_10Mbps_single</t>
  </si>
  <si>
    <t>Datacenter_Connect_100Mbps_single</t>
  </si>
  <si>
    <t>Datacenter_Connect_400Mbps_single</t>
  </si>
  <si>
    <t>Datacenter_Connect_1Gbps_single</t>
  </si>
  <si>
    <t>Datacenter_Connect_10Mbps_redundant</t>
  </si>
  <si>
    <t>Datacenter_Connect_100Mbps_redundant</t>
  </si>
  <si>
    <t>Datacenter_Connect_400Mbps_redundant</t>
  </si>
  <si>
    <t>Datacenter_Connect_1Gbps_redundant</t>
  </si>
  <si>
    <t>Additioneel ODF</t>
  </si>
  <si>
    <t>xDF korting</t>
  </si>
  <si>
    <t>Standard</t>
  </si>
  <si>
    <t>regel toegevoegd, in tariefblad geen onderscheid gemaakt met VDSL</t>
  </si>
  <si>
    <t>ULL + Retail</t>
  </si>
  <si>
    <t>sleutel access</t>
  </si>
  <si>
    <t>WO VPN Service Level</t>
  </si>
  <si>
    <t>SQUEEZE TOETS ULL</t>
  </si>
  <si>
    <t>RETAILKOSTEN ULL</t>
  </si>
  <si>
    <t>ULL</t>
  </si>
  <si>
    <t>ULL incl retail</t>
  </si>
  <si>
    <t>ULL totaal (mnd)</t>
  </si>
  <si>
    <t>1:10+</t>
  </si>
  <si>
    <t>1:1 VBR-rt</t>
  </si>
  <si>
    <t>1:1 UBR</t>
  </si>
  <si>
    <t>WOKortingVVAWBA ZM EthernetADSL</t>
  </si>
  <si>
    <t>WOKortingVVAWBA CM EthernetADSL</t>
  </si>
  <si>
    <t>WOKortingVVAWBA ZM EthernetVDSL Bonding</t>
  </si>
  <si>
    <t>WOKortingVVAWBA CM EthernetVDSL Bonding</t>
  </si>
  <si>
    <t>WOKortingVVAWBA ZM EthernetSDSL</t>
  </si>
  <si>
    <t>WOKortingVVAWBA CM EthernetSDSL</t>
  </si>
  <si>
    <t>WOKortingVVAWBA ZM EthernetFttH</t>
  </si>
  <si>
    <t>WOKortingVVAWBA CM EthernetFttH</t>
  </si>
  <si>
    <t>WOKortingVVAWBA ZM EthernetVDSL</t>
  </si>
  <si>
    <t>WOKortingVVAWBA CM EthernetVDSL</t>
  </si>
  <si>
    <t>WAP transport</t>
  </si>
  <si>
    <t>WAP transport 1 Gb/s</t>
  </si>
  <si>
    <t>1 Gb/s transport capacity to National Ethernet WAP port</t>
  </si>
  <si>
    <t>1 Gb/s transport capacity to Metro Ethernet WAP port</t>
  </si>
  <si>
    <t xml:space="preserve">1 Gb/s transport capacity to Metro Ethernet WAP port </t>
  </si>
  <si>
    <t>metro (best effort)</t>
  </si>
  <si>
    <t xml:space="preserve">1 Gb/s Best Effort transport capacity to Metro Ethernet WAP port </t>
  </si>
  <si>
    <t>WAP port</t>
  </si>
  <si>
    <t>type</t>
  </si>
  <si>
    <t>WAP port 1 Gb/s</t>
  </si>
  <si>
    <t>Setup 1 Gb/s Ethernet port National</t>
  </si>
  <si>
    <t>(Setup) 1 Gb/s Ethernet WAP port Metro</t>
  </si>
  <si>
    <t>WAP bandbreedte</t>
  </si>
  <si>
    <t>WAPbandbreedte(Kb/s) WBA ZM Ethernet</t>
  </si>
  <si>
    <t>Gemiddelde bandbreedte (Kb/s)</t>
  </si>
  <si>
    <t>WAPbandbreedte(Kb/s) WBA CM Ethernet</t>
  </si>
  <si>
    <t>vertaling 1Gb/s naar Kb/s</t>
  </si>
  <si>
    <t>ja</t>
  </si>
  <si>
    <t>Ja</t>
  </si>
  <si>
    <t>&lt;=20/1</t>
  </si>
  <si>
    <t>≤200/200 Mbps</t>
  </si>
  <si>
    <t>NA</t>
  </si>
  <si>
    <t>20150526 LPM Epacity SA IPVPN</t>
  </si>
  <si>
    <t>Na korting, na retailopslag</t>
  </si>
  <si>
    <t>Na korting, na retailopslag (Incl. EDC)</t>
  </si>
  <si>
    <t>Sleutel</t>
  </si>
  <si>
    <t>WO VVA (in EUR/mnd</t>
  </si>
  <si>
    <t>EDC (platform + backbone)</t>
  </si>
  <si>
    <t>Tariefcomponent
(let op, aparte formules per tariefcomponent)</t>
  </si>
  <si>
    <t>ZM Sleutel</t>
  </si>
  <si>
    <t>WO Sleutel</t>
  </si>
  <si>
    <t>ZM SA IPVPN VVE (in EUR)</t>
  </si>
  <si>
    <t>SA IPVPN VVA (in EUR/mnd)</t>
  </si>
  <si>
    <t>ZM Drager VVE (in EUR/mnd)</t>
  </si>
  <si>
    <t>ZM Drager VVA (in EUR/mnd)</t>
  </si>
  <si>
    <t>ZM Service Window VVA (in EUR/mnd)</t>
  </si>
  <si>
    <t>ZM Router VVE (in EUR/mnd)</t>
  </si>
  <si>
    <t>ZM Router Service Level VVA (in EUR/mnd)</t>
  </si>
  <si>
    <t>ZM termijnkorting VVA (in percentage)</t>
  </si>
  <si>
    <t>WO VLAN VVE incl. retailopslag (in EUR/mnd)</t>
  </si>
  <si>
    <t>WO VLAN VVA incl. retailopslag (in EUR/mnd)</t>
  </si>
  <si>
    <t>WO Access VVE incl. retailopslag (in EUR/mnd)</t>
  </si>
  <si>
    <t>WO Access VVA incl. retailopslag (in EUR/mnd)</t>
  </si>
  <si>
    <t>WO VPN Service Window VVA incl. retailsopslag (in EUR/mnd)</t>
  </si>
  <si>
    <t>Eenmalige routerkosten obv LRIC tabblad
(EUR/mnd)</t>
  </si>
  <si>
    <t>WO Router Service Level VVA</t>
  </si>
  <si>
    <t>WO 2de VPN VVE (in EUR/mnd)</t>
  </si>
  <si>
    <t>WO 2de VPN VVA (in EUR/mnd)</t>
  </si>
  <si>
    <t>EDC transportkosten netto</t>
  </si>
  <si>
    <t>EDC Platformkosten Netto</t>
  </si>
  <si>
    <t>1SA IP-VPNEntry8192/1024</t>
  </si>
  <si>
    <t>Zie E52 en E53</t>
  </si>
  <si>
    <t>VLAN</t>
  </si>
  <si>
    <t>Entry8192/1024</t>
  </si>
  <si>
    <t>1SA IP-VPNEntry10240/10240</t>
  </si>
  <si>
    <t>Entry10240/10240</t>
  </si>
  <si>
    <t>1SA IP-VPNEntry10240/1024</t>
  </si>
  <si>
    <t>Entry10240/1024</t>
  </si>
  <si>
    <t>1SA IP-VPNEntry12288/1024</t>
  </si>
  <si>
    <t>Entry12288/1024</t>
  </si>
  <si>
    <t>1SA IP-VPNEntry20480/2048</t>
  </si>
  <si>
    <t>Entry20480/2048</t>
  </si>
  <si>
    <t>1SA IP-VPNEntry30720/3072</t>
  </si>
  <si>
    <t>Entry30720/3072</t>
  </si>
  <si>
    <t>1SA IP-VPNEntry51200/5120</t>
  </si>
  <si>
    <t>Entry51200/5120</t>
  </si>
  <si>
    <t>1SA IP-VPNEntry30720/30720</t>
  </si>
  <si>
    <t>Entry30720/30720</t>
  </si>
  <si>
    <t>1SA IP-VPNEntry51200/51200</t>
  </si>
  <si>
    <t>Entry51200/51200</t>
  </si>
  <si>
    <t>1SA IP-VPNEntry100000/100000</t>
  </si>
  <si>
    <t>Entry100000/100000</t>
  </si>
  <si>
    <t>1SA IP-VPNPremium1024/1024</t>
  </si>
  <si>
    <t>Premium1024/1024</t>
  </si>
  <si>
    <t>1SA IP-VPNPremium2048/2048</t>
  </si>
  <si>
    <t>Premium2048/2048</t>
  </si>
  <si>
    <t>1SA IP-VPNPremium3072/3072</t>
  </si>
  <si>
    <t>Premium3072/3072</t>
  </si>
  <si>
    <t>1SA IP-VPNPremium4096/1024</t>
  </si>
  <si>
    <t>Premium4096/1024</t>
  </si>
  <si>
    <t>1SA IP-VPNPremium4096/4096</t>
  </si>
  <si>
    <t>Premium4096/4096</t>
  </si>
  <si>
    <t>1SA IP-VPNPremium8192/1024</t>
  </si>
  <si>
    <t>Premium8192/1024</t>
  </si>
  <si>
    <t>1SA IP-VPNPremium8192/8192</t>
  </si>
  <si>
    <t>Premium8192/8192</t>
  </si>
  <si>
    <t>1SA IP-VPNPremium10240/10240</t>
  </si>
  <si>
    <t>Premium10240/10240</t>
  </si>
  <si>
    <t>2SA IP-VPNEntry8192/1024</t>
  </si>
  <si>
    <t>2SA IP-VPNEntry10240/10240</t>
  </si>
  <si>
    <t>2SA IP-VPNEntry10240/1024</t>
  </si>
  <si>
    <t>2SA IP-VPNEntry12288/1024</t>
  </si>
  <si>
    <t>2SA IP-VPNEntry20480/2048</t>
  </si>
  <si>
    <t>2SA IP-VPNEntry30720/3072</t>
  </si>
  <si>
    <t>2SA IP-VPNEntry51200/5120</t>
  </si>
  <si>
    <t>2SA IP-VPNEntry30720/30720</t>
  </si>
  <si>
    <t>2SA IP-VPNEntry51200/51200</t>
  </si>
  <si>
    <t>2SA IP-VPNEntry100000/100000</t>
  </si>
  <si>
    <t>2SA IP-VPNPremium1024/1024</t>
  </si>
  <si>
    <t>2SA IP-VPNPremium2048/2048</t>
  </si>
  <si>
    <t>2SA IP-VPNPremium3072/3072</t>
  </si>
  <si>
    <t>2SA IP-VPNPremium4096/1024</t>
  </si>
  <si>
    <t>2SA IP-VPNPremium4096/4096</t>
  </si>
  <si>
    <t>2SA IP-VPNPremium8192/1024</t>
  </si>
  <si>
    <t>2SA IP-VPNPremium8192/8192</t>
  </si>
  <si>
    <t>2SA IP-VPNPremium10240/10240</t>
  </si>
  <si>
    <t>3SA IP-VPNEntry8192/1024</t>
  </si>
  <si>
    <t>3SA IP-VPNEntry10240/10240</t>
  </si>
  <si>
    <t>3SA IP-VPNEntry10240/1024</t>
  </si>
  <si>
    <t>3SA IP-VPNEntry12288/1024</t>
  </si>
  <si>
    <t>3SA IP-VPNEntry20480/2048</t>
  </si>
  <si>
    <t>3SA IP-VPNEntry30720/3072</t>
  </si>
  <si>
    <t>3SA IP-VPNEntry51200/5120</t>
  </si>
  <si>
    <t>3SA IP-VPNEntry30720/30720</t>
  </si>
  <si>
    <t>3SA IP-VPNEntry51200/51200</t>
  </si>
  <si>
    <t>3SA IP-VPNEntry100000/100000</t>
  </si>
  <si>
    <t>3SA IP-VPNPremium1024/1024</t>
  </si>
  <si>
    <t>3SA IP-VPNPremium2048/2048</t>
  </si>
  <si>
    <t>3SA IP-VPNPremium3072/3072</t>
  </si>
  <si>
    <t>3SA IP-VPNPremium4096/1024</t>
  </si>
  <si>
    <t>3SA IP-VPNPremium4096/4096</t>
  </si>
  <si>
    <t>3SA IP-VPNPremium8192/1024</t>
  </si>
  <si>
    <t>3SA IP-VPNPremium8192/8192</t>
  </si>
  <si>
    <t>3SA IP-VPNPremium10240/10240</t>
  </si>
  <si>
    <t>PremiumIP-VPN Drager t.b.v. SA IPVPN (nieuwe glasaansluiting/Wholesale New Line)</t>
  </si>
  <si>
    <t>Access</t>
  </si>
  <si>
    <t>EntryIP-VPN Drager t.b.v. SA IPVPN (nieuwe glasaansluiting/Wholesale New Line)</t>
  </si>
  <si>
    <t>PremiumKantoor</t>
  </si>
  <si>
    <t>VPN SLA VVA</t>
  </si>
  <si>
    <t>WBA ZM EthernetStandard</t>
  </si>
  <si>
    <t>Premium7x24</t>
  </si>
  <si>
    <t>WBA ZM Ethernet7x24 repairtime 8h</t>
  </si>
  <si>
    <t>EntryKantoor</t>
  </si>
  <si>
    <t>WBA CM EthernetStandard</t>
  </si>
  <si>
    <t>Entry7x24</t>
  </si>
  <si>
    <t>WBA CM Ethernet7x24 repairtime 8h</t>
  </si>
  <si>
    <t>Cisco 881 (Ethernet Entry t/m 50Mb Premium t/m 10Mb)</t>
  </si>
  <si>
    <t>Router VVE</t>
  </si>
  <si>
    <t>Cisco 881</t>
  </si>
  <si>
    <t>Cisco 1921 (Ethernet t/m 30Mb)</t>
  </si>
  <si>
    <t>Cisco 1921</t>
  </si>
  <si>
    <t>Cisco 2921(Ethernet t/m 50Mb)</t>
  </si>
  <si>
    <t>Cisco 2921</t>
  </si>
  <si>
    <t>Cisco 2951(Ethernet t/m 100Mb)</t>
  </si>
  <si>
    <t>Cisco 2951</t>
  </si>
  <si>
    <t>Cisco 881 (Ethernet Entry t/m 50Mb Premium t/m 10Mb)kantoor</t>
  </si>
  <si>
    <t>Router SLA VVA</t>
  </si>
  <si>
    <t>Cisco 881kantoor</t>
  </si>
  <si>
    <t>Cisco 1921 (Ethernet t/m 30Mb)kantoor</t>
  </si>
  <si>
    <t>Cisco 1921kantoor</t>
  </si>
  <si>
    <t>Cisco 2921(Ethernet t/m 50Mb)kantoor</t>
  </si>
  <si>
    <t>Cisco 2921kantoor</t>
  </si>
  <si>
    <t>Cisco 2951(Ethernet t/m 100Mb)kantoor</t>
  </si>
  <si>
    <t>Cisco 2951kantoor</t>
  </si>
  <si>
    <t>Cisco 881 (Ethernet Entry t/m 50Mb Premium t/m 10Mb)7x24</t>
  </si>
  <si>
    <t>Cisco 8817x24</t>
  </si>
  <si>
    <t>Cisco 1921 (Ethernet t/m 30Mb)7x24</t>
  </si>
  <si>
    <t>Cisco 19217x24</t>
  </si>
  <si>
    <t>Cisco 2921(Ethernet t/m 50Mb)7x24</t>
  </si>
  <si>
    <t>Cisco 29217x24</t>
  </si>
  <si>
    <t>Cisco 2951(Ethernet t/m 100Mb)7x24</t>
  </si>
  <si>
    <t>Cisco 29517x24</t>
  </si>
  <si>
    <t>2de1SA IP-VPNPremium128/128</t>
  </si>
  <si>
    <t>2de aansluiting</t>
  </si>
  <si>
    <t>Premium352 kbps/352 kbps</t>
  </si>
  <si>
    <t>2de1SA IP-VPNPremium256/256</t>
  </si>
  <si>
    <t>2de1SA IP-VPNPremium448/448</t>
  </si>
  <si>
    <t>Premium448 kbps/448 kbps</t>
  </si>
  <si>
    <t>2de1SA IP-VPNPremium640/640</t>
  </si>
  <si>
    <t>Premium640 kbps/640 kbps</t>
  </si>
  <si>
    <t>2de1SA IP-VPNPremium1024/1024</t>
  </si>
  <si>
    <t>Premium1 Mbps/1 Mbps</t>
  </si>
  <si>
    <t>2de1SA IP-VPNPremium2048/2048</t>
  </si>
  <si>
    <t>Premium2 Mbps/2 Mbps</t>
  </si>
  <si>
    <t>2de1SA IP-VPNPremium3072/3072</t>
  </si>
  <si>
    <t>Premium3 Mbps/3 Mbps</t>
  </si>
  <si>
    <t>2de1SA IP-VPNPremium4096/4096</t>
  </si>
  <si>
    <t>Premium4 Mbps/4 Mbps</t>
  </si>
  <si>
    <t>2de1SA IP-VPNPremium8192/8192</t>
  </si>
  <si>
    <t>Premium8 Mbps/8 Mbps</t>
  </si>
  <si>
    <t>2de2SA IP-VPNPremium128/128</t>
  </si>
  <si>
    <t>2de2SA IP-VPNPremium256/256</t>
  </si>
  <si>
    <t>2de2SA IP-VPNPremium448/448</t>
  </si>
  <si>
    <t>2de2SA IP-VPNPremium640/640</t>
  </si>
  <si>
    <t>2de2SA IP-VPNPremium1024/1024</t>
  </si>
  <si>
    <t>2de2SA IP-VPNPremium2048/2048</t>
  </si>
  <si>
    <t>2de2SA IP-VPNPremium3072/3072</t>
  </si>
  <si>
    <t>2de2SA IP-VPNPremium4096/4096</t>
  </si>
  <si>
    <t>2de2SA IP-VPNPremium8192/8192</t>
  </si>
  <si>
    <t>2de3SA IP-VPNPremium128/128</t>
  </si>
  <si>
    <t>2de3SA IP-VPNPremium256/256</t>
  </si>
  <si>
    <t>2de3SA IP-VPNPremium448/448</t>
  </si>
  <si>
    <t>2de3SA IP-VPNPremium640/640</t>
  </si>
  <si>
    <t>2de3SA IP-VPNPremium1024/1024</t>
  </si>
  <si>
    <t>2de3SA IP-VPNPremium2048/2048</t>
  </si>
  <si>
    <t>2de3SA IP-VPNPremium3072/3072</t>
  </si>
  <si>
    <t>2de3SA IP-VPNPremium4096/4096</t>
  </si>
  <si>
    <t>2de3SA IP-VPNPremium8192/8192</t>
  </si>
  <si>
    <t>EDCentry</t>
  </si>
  <si>
    <t>EDC</t>
  </si>
  <si>
    <t>EDCpremium</t>
  </si>
  <si>
    <t>20150501 LPM Epacity VDSL</t>
  </si>
  <si>
    <t>Na korting, na retailopslag en incl. EDC backbone (indien van toepassing)</t>
  </si>
  <si>
    <t>WO VVA (inclusief EDC minus) (in EUR/mnd)</t>
  </si>
  <si>
    <t>WO VVA (exclusief EDC minus) (in EUR/mnd</t>
  </si>
  <si>
    <t>EDC minus Backbone netto</t>
  </si>
  <si>
    <t>EDC minus Platformkosten netto</t>
  </si>
  <si>
    <t>EDC totaal netto</t>
  </si>
  <si>
    <t>1VDSL 128/128Entry</t>
  </si>
  <si>
    <t>1VDSL 256/256Entry</t>
  </si>
  <si>
    <t>1VDSL 384/384Entry</t>
  </si>
  <si>
    <t>1VDSL 448/448Entry</t>
  </si>
  <si>
    <t>1VDSL 512/512Entry</t>
  </si>
  <si>
    <t>1VDSL 640/640Entry</t>
  </si>
  <si>
    <t>1VDSL 1024/512Entry</t>
  </si>
  <si>
    <t>1VDSL 2048/512Entry</t>
  </si>
  <si>
    <t>1VDSL 3072/512Entry</t>
  </si>
  <si>
    <t>1VDSL 6144/768Entry</t>
  </si>
  <si>
    <t>1VDSL 1024/1024Entry</t>
  </si>
  <si>
    <t>1VDSL 2048/2048Entry</t>
  </si>
  <si>
    <t>1VDSL 3072/3072Entry</t>
  </si>
  <si>
    <t>1VDSL 4096/1024Entry</t>
  </si>
  <si>
    <t>1VDSL 8192/1024Entry</t>
  </si>
  <si>
    <t>1VDSL 10240/1024Entry</t>
  </si>
  <si>
    <t>1VDSL 12288/1024Entry</t>
  </si>
  <si>
    <t>1VDSL 20480/2048Entry</t>
  </si>
  <si>
    <t>1VDSL 30720/3072Entry</t>
  </si>
  <si>
    <t>1VDSL 40960/3072Entry</t>
  </si>
  <si>
    <t>1VDSL 51200/5120Entry</t>
  </si>
  <si>
    <t>1VDSL 81920/8192Entry</t>
  </si>
  <si>
    <t>1VDSL 128/128Premium</t>
  </si>
  <si>
    <t>1VDSL 256/256Premium</t>
  </si>
  <si>
    <t>1VDSL 384/384Premium</t>
  </si>
  <si>
    <t>1VDSL 448/448Premium</t>
  </si>
  <si>
    <t>1VDSL 512/512Premium</t>
  </si>
  <si>
    <t>1VDSL 640/640Premium</t>
  </si>
  <si>
    <t>1VDSL 1024/512Premium</t>
  </si>
  <si>
    <t>1VDSL 2048/512Premium</t>
  </si>
  <si>
    <t>1VDSL 3072/512Premium</t>
  </si>
  <si>
    <t>1VDSL 6144/768Premium</t>
  </si>
  <si>
    <t>1VDSL 1024/1024Premium</t>
  </si>
  <si>
    <t>1VDSL 2048/2048Premium</t>
  </si>
  <si>
    <t>1VDSL 3072/3072Premium</t>
  </si>
  <si>
    <t>1VDSL 4096/1024Premium</t>
  </si>
  <si>
    <t>1VDSL 4096/4096Premium</t>
  </si>
  <si>
    <t>1VDSL 8192/1024Premium</t>
  </si>
  <si>
    <t>1VDSL 10240/1024Premium</t>
  </si>
  <si>
    <t>1VDSL 12288/1024Premium</t>
  </si>
  <si>
    <t>1VDSL 20480/2048Premium</t>
  </si>
  <si>
    <t>1VDSL 30720/3072Premium</t>
  </si>
  <si>
    <t>1VDSL 40960/3072Premium</t>
  </si>
  <si>
    <t>2VDSL 128/128Entry</t>
  </si>
  <si>
    <t>2VDSL 256/256Entry</t>
  </si>
  <si>
    <t>2VDSL 384/384Entry</t>
  </si>
  <si>
    <t>2VDSL 448/448Entry</t>
  </si>
  <si>
    <t>2VDSL 512/512Entry</t>
  </si>
  <si>
    <t>2VDSL 640/640Entry</t>
  </si>
  <si>
    <t>2VDSL 1024/512Entry</t>
  </si>
  <si>
    <t>2VDSL 2048/512Entry</t>
  </si>
  <si>
    <t>2VDSL 3072/512Entry</t>
  </si>
  <si>
    <t>2VDSL 6144/768Entry</t>
  </si>
  <si>
    <t>2VDSL 1024/1024Entry</t>
  </si>
  <si>
    <t>2VDSL 2048/2048Entry</t>
  </si>
  <si>
    <t>2VDSL 3072/3072Entry</t>
  </si>
  <si>
    <t>2VDSL 4096/1024Entry</t>
  </si>
  <si>
    <t>2VDSL 8192/1024Entry</t>
  </si>
  <si>
    <t>2VDSL 10240/1024Entry</t>
  </si>
  <si>
    <t>2VDSL 12288/1024Entry</t>
  </si>
  <si>
    <t>2VDSL 20480/2048Entry</t>
  </si>
  <si>
    <t>2VDSL 30720/3072Entry</t>
  </si>
  <si>
    <t>2VDSL 40960/3072Entry</t>
  </si>
  <si>
    <t>2VDSL 51200/5120Entry</t>
  </si>
  <si>
    <t>2VDSL 81920/8192Entry</t>
  </si>
  <si>
    <t>2VDSL 128/128Premium</t>
  </si>
  <si>
    <t>2VDSL 256/256Premium</t>
  </si>
  <si>
    <t>2VDSL 384/384Premium</t>
  </si>
  <si>
    <t>2VDSL 448/448Premium</t>
  </si>
  <si>
    <t>2VDSL 512/512Premium</t>
  </si>
  <si>
    <t>2VDSL 640/640Premium</t>
  </si>
  <si>
    <t>2VDSL 1024/512Premium</t>
  </si>
  <si>
    <t>2VDSL 2048/512Premium</t>
  </si>
  <si>
    <t>2VDSL 3072/512Premium</t>
  </si>
  <si>
    <t>2VDSL 6144/768Premium</t>
  </si>
  <si>
    <t>2VDSL 1024/1024Premium</t>
  </si>
  <si>
    <t>2VDSL 2048/2048Premium</t>
  </si>
  <si>
    <t>2VDSL 3072/3072Premium</t>
  </si>
  <si>
    <t>2VDSL 4096/1024Premium</t>
  </si>
  <si>
    <t>2VDSL 4096/4096Premium</t>
  </si>
  <si>
    <t>2VDSL 8192/1024Premium</t>
  </si>
  <si>
    <t>2VDSL 10240/1024Premium</t>
  </si>
  <si>
    <t>2VDSL 12288/1024Premium</t>
  </si>
  <si>
    <t>2VDSL 20480/2048Premium</t>
  </si>
  <si>
    <t>2VDSL 30720/3072Premium</t>
  </si>
  <si>
    <t>2VDSL 40960/3072Premium</t>
  </si>
  <si>
    <t>3VDSL 128/128Entry</t>
  </si>
  <si>
    <t>3VDSL 256/256Entry</t>
  </si>
  <si>
    <t>3VDSL 384/384Entry</t>
  </si>
  <si>
    <t>3VDSL 448/448Entry</t>
  </si>
  <si>
    <t>3VDSL 512/512Entry</t>
  </si>
  <si>
    <t>3VDSL 640/640Entry</t>
  </si>
  <si>
    <t>3VDSL 1024/512Entry</t>
  </si>
  <si>
    <t>3VDSL 2048/512Entry</t>
  </si>
  <si>
    <t>3VDSL 3072/512Entry</t>
  </si>
  <si>
    <t>3VDSL 6144/768Entry</t>
  </si>
  <si>
    <t>3VDSL 1024/1024Entry</t>
  </si>
  <si>
    <t>3VDSL 2048/2048Entry</t>
  </si>
  <si>
    <t>3VDSL 3072/3072Entry</t>
  </si>
  <si>
    <t>3VDSL 4096/1024Entry</t>
  </si>
  <si>
    <t>3VDSL 8192/1024Entry</t>
  </si>
  <si>
    <t>3VDSL 10240/1024Entry</t>
  </si>
  <si>
    <t>3VDSL 12288/1024Entry</t>
  </si>
  <si>
    <t>3VDSL 20480/2048Entry</t>
  </si>
  <si>
    <t>3VDSL 30720/3072Entry</t>
  </si>
  <si>
    <t>3VDSL 40960/3072Entry</t>
  </si>
  <si>
    <t>3VDSL 51200/5120Entry</t>
  </si>
  <si>
    <t>3VDSL 81920/8192Entry</t>
  </si>
  <si>
    <t>3VDSL 128/128Premium</t>
  </si>
  <si>
    <t>3VDSL 256/256Premium</t>
  </si>
  <si>
    <t>3VDSL 384/384Premium</t>
  </si>
  <si>
    <t>3VDSL 448/448Premium</t>
  </si>
  <si>
    <t>3VDSL 512/512Premium</t>
  </si>
  <si>
    <t>3VDSL 640/640Premium</t>
  </si>
  <si>
    <t>3VDSL 1024/512Premium</t>
  </si>
  <si>
    <t>3VDSL 2048/512Premium</t>
  </si>
  <si>
    <t>3VDSL 3072/512Premium</t>
  </si>
  <si>
    <t>3VDSL 6144/768Premium</t>
  </si>
  <si>
    <t>3VDSL 1024/1024Premium</t>
  </si>
  <si>
    <t>3VDSL 2048/2048Premium</t>
  </si>
  <si>
    <t>3VDSL 3072/3072Premium</t>
  </si>
  <si>
    <t>3VDSL 4096/1024Premium</t>
  </si>
  <si>
    <t>3VDSL 4096/4096Premium</t>
  </si>
  <si>
    <t>3VDSL 8192/1024Premium</t>
  </si>
  <si>
    <t>3VDSL 10240/1024Premium</t>
  </si>
  <si>
    <t>3VDSL 12288/1024Premium</t>
  </si>
  <si>
    <t>3VDSL 20480/2048Premium</t>
  </si>
  <si>
    <t>3VDSL 30720/3072Premium</t>
  </si>
  <si>
    <t>3VDSL 40960/3072Premium</t>
  </si>
  <si>
    <t>EntryIP-VPN Drager t.b.v. ADSL/VDSL (nieuwe aansluiting/Wholesale New Line)</t>
  </si>
  <si>
    <t>Drager</t>
  </si>
  <si>
    <t>EntryIPVPN Drager PSTN gebruiken t.b.v VDSL (telefonie afsluiten/terminate voice)</t>
  </si>
  <si>
    <t>EntryIPVPN Drager PSTN gebruiken t.b.v. VDSL in combinatie met telefonie</t>
  </si>
  <si>
    <t>PremiumIP-VPN Drager t.b.v. ADSL/VDSL (nieuwe aansluiting/Wholesale New Line)</t>
  </si>
  <si>
    <t>PremiumIPVPN Drager PSTN gebruiken t.b.v VDSL (telefonie afsluiten/terminate voice)</t>
  </si>
  <si>
    <t>PremiumIPVPN Drager PSTN gebruiken t.b.v. VDSL in combinatie met telefonie</t>
  </si>
  <si>
    <t>Router</t>
  </si>
  <si>
    <t>RouterServiceKantoor</t>
  </si>
  <si>
    <t>Router Service</t>
  </si>
  <si>
    <t>RouterServiceWinkel</t>
  </si>
  <si>
    <t>RouterService7x24</t>
  </si>
  <si>
    <t>1 jaar2-25</t>
  </si>
  <si>
    <t>Epacity Staffelkorting op Maandelijkse tarieven voor DSL (in %)</t>
  </si>
  <si>
    <t>1 jaar26-50</t>
  </si>
  <si>
    <t>1 jaar51-100</t>
  </si>
  <si>
    <t>1 jaar101-250</t>
  </si>
  <si>
    <t>1 jaar251+</t>
  </si>
  <si>
    <t>2 jaar2-25</t>
  </si>
  <si>
    <t>2 jaar26-50</t>
  </si>
  <si>
    <t>2 jaar51-100</t>
  </si>
  <si>
    <t>2 jaar101-250</t>
  </si>
  <si>
    <t>2 jaar251+</t>
  </si>
  <si>
    <t>3 jaar2-25</t>
  </si>
  <si>
    <t>3 jaar26-50</t>
  </si>
  <si>
    <t>3 jaar51-100</t>
  </si>
  <si>
    <t>3 jaar101-250</t>
  </si>
  <si>
    <t>3 jaar251+</t>
  </si>
  <si>
    <t>Premiumkantoor</t>
  </si>
  <si>
    <t>SLA op verbinding</t>
  </si>
  <si>
    <t>PremiumStandard</t>
  </si>
  <si>
    <t>Premiumwinkel</t>
  </si>
  <si>
    <t>Entrykantoor</t>
  </si>
  <si>
    <t>EntryStandard</t>
  </si>
  <si>
    <t>Entrywinkel</t>
  </si>
  <si>
    <t>2de1VDSL 128/128Premium</t>
  </si>
  <si>
    <t>2de PVC</t>
  </si>
  <si>
    <t>VDSL 128/128</t>
  </si>
  <si>
    <t>2de1VDSL 256/256Premium</t>
  </si>
  <si>
    <t>VDSL 256/256</t>
  </si>
  <si>
    <t>2de1VDSL 448/448Premium</t>
  </si>
  <si>
    <t>VDSL 448/448</t>
  </si>
  <si>
    <t>2de1VDSL 640/640Premium</t>
  </si>
  <si>
    <t>VDSL 640/640</t>
  </si>
  <si>
    <t>2de1VDSL 1024/1024Premium</t>
  </si>
  <si>
    <t>VDSL 1024/1024</t>
  </si>
  <si>
    <t>2de1VDSL 2048/2048Premium</t>
  </si>
  <si>
    <t>VDSL 2048/2048</t>
  </si>
  <si>
    <t>2de1VDSL 3072/3072Premium</t>
  </si>
  <si>
    <t>VDSL 3072/3072</t>
  </si>
  <si>
    <t>2de1VDSL 4096/4096Premium</t>
  </si>
  <si>
    <t>VDSL 4096/4096</t>
  </si>
  <si>
    <t>2de2VDSL 128/128Premium</t>
  </si>
  <si>
    <t>2de2VDSL 256/256Premium</t>
  </si>
  <si>
    <t>2de2VDSL 448/448Premium</t>
  </si>
  <si>
    <t>2de2VDSL 640/640Premium</t>
  </si>
  <si>
    <t>2de2VDSL 1024/1024Premium</t>
  </si>
  <si>
    <t>2de2VDSL 2048/2048Premium</t>
  </si>
  <si>
    <t>2de2VDSL 3072/3072Premium</t>
  </si>
  <si>
    <t>2de2VDSL 4096/4096Premium</t>
  </si>
  <si>
    <t>2de3VDSL 128/128Premium</t>
  </si>
  <si>
    <t>2de3VDSL 256/256Premium</t>
  </si>
  <si>
    <t>2de3VDSL 448/448Premium</t>
  </si>
  <si>
    <t>2de3VDSL 640/640Premium</t>
  </si>
  <si>
    <t>2de3VDSL 1024/1024Premium</t>
  </si>
  <si>
    <t>2de3VDSL 2048/2048Premium</t>
  </si>
  <si>
    <t>2de3VDSL 3072/3072Premium</t>
  </si>
  <si>
    <t>2de3VDSL 4096/4096Premium</t>
  </si>
  <si>
    <t>20150501 LPM Epacity ADSL SDSL obv WBA ZM Ethernet werkversieChecked</t>
  </si>
  <si>
    <t>Sleutel voor opzoeken op Rekenblad</t>
  </si>
  <si>
    <t>EDC minus platformkosten netto</t>
  </si>
  <si>
    <t>EDC Minus backbone netto</t>
  </si>
  <si>
    <t>EDC minus totaal netto</t>
  </si>
  <si>
    <t>1ADSL 20000/10241:1</t>
  </si>
  <si>
    <t>PVC Access Speed Tariffs</t>
  </si>
  <si>
    <t>1ADSL 512/2561:1</t>
  </si>
  <si>
    <t>1SDSL 512/5121:1</t>
  </si>
  <si>
    <t>1SDSL 1536/15361:1</t>
  </si>
  <si>
    <t>1ADSL 256/2561:1</t>
  </si>
  <si>
    <t>1SDSL 2300/23001:1</t>
  </si>
  <si>
    <t>1ADSL 1024/2561:1</t>
  </si>
  <si>
    <t>1SDSL 256/2561:1</t>
  </si>
  <si>
    <t>1ADSL 4096/10241:1</t>
  </si>
  <si>
    <t>1ADSL 512/5121:1</t>
  </si>
  <si>
    <t>1ADSL 1024/5121:1</t>
  </si>
  <si>
    <t>1ADSL 8000/10241:1</t>
  </si>
  <si>
    <t>1SDSL 2048/20481:1</t>
  </si>
  <si>
    <t>1ADSL 6144/10241:1</t>
  </si>
  <si>
    <t>1ADSL 2048/5121:1</t>
  </si>
  <si>
    <t>1ADSL 12000/10241:1</t>
  </si>
  <si>
    <t>1ADSL 384/1281:1</t>
  </si>
  <si>
    <t>1ADSL 128/1281:1</t>
  </si>
  <si>
    <t>1SDSL 1024/10241:1</t>
  </si>
  <si>
    <t>1ADSL 3072/5121:1</t>
  </si>
  <si>
    <t>1ADSL 512/2561:10</t>
  </si>
  <si>
    <t>1SDSL 2048/20481:10</t>
  </si>
  <si>
    <t>1ADSL 128/1281:10</t>
  </si>
  <si>
    <t>1ADSL 256/2561:10</t>
  </si>
  <si>
    <t>1SDSL 1536/15361:10</t>
  </si>
  <si>
    <t>1ADSL 8000/10241:10</t>
  </si>
  <si>
    <t>1ADSL 1024/2561:10</t>
  </si>
  <si>
    <t>1ADSL 6144/10241:10</t>
  </si>
  <si>
    <t>1ADSL 12000/10241:10</t>
  </si>
  <si>
    <t>1ADSL 1024/5121:10</t>
  </si>
  <si>
    <t>1ADSL 384/1281:10</t>
  </si>
  <si>
    <t>1ADSL 20000/10241:10</t>
  </si>
  <si>
    <t>1ADSL 2048/5121:10</t>
  </si>
  <si>
    <t>1SDSL 2300/23001:10</t>
  </si>
  <si>
    <t>1SDSL 256/2561:10</t>
  </si>
  <si>
    <t>1SDSL 512/5121:10</t>
  </si>
  <si>
    <t>1ADSL 4096/10241:10</t>
  </si>
  <si>
    <t>1ADSL 512/5121:10</t>
  </si>
  <si>
    <t>1ADSL 3072/5121:10</t>
  </si>
  <si>
    <t>1SDSL 1024/10241:10</t>
  </si>
  <si>
    <t>1SDSL 1536/15361:4</t>
  </si>
  <si>
    <t>1ADSL 1024/2561:4</t>
  </si>
  <si>
    <t>1ADSL 8000/10241:4</t>
  </si>
  <si>
    <t>1ADSL 512/5121:4</t>
  </si>
  <si>
    <t>1SDSL 512/5121:4</t>
  </si>
  <si>
    <t>1ADSL 2048/5121:4</t>
  </si>
  <si>
    <t>1ADSL 12000/10241:4</t>
  </si>
  <si>
    <t>1ADSL 128/1281:4</t>
  </si>
  <si>
    <t>1ADSL 512/2561:4</t>
  </si>
  <si>
    <t>1ADSL 20000/10241:4</t>
  </si>
  <si>
    <t>1SDSL 2048/20481:4</t>
  </si>
  <si>
    <t>1ADSL 4096/10241:4</t>
  </si>
  <si>
    <t>1ADSL 384/1281:4</t>
  </si>
  <si>
    <t>1ADSL 1024/5121:4</t>
  </si>
  <si>
    <t>1SDSL 2300/23001:4</t>
  </si>
  <si>
    <t>1SDSL 256/2561:4</t>
  </si>
  <si>
    <t>1ADSL 6144/10241:4</t>
  </si>
  <si>
    <t>1ADSL 256/2561:4</t>
  </si>
  <si>
    <t>1ADSL 3072/5121:4</t>
  </si>
  <si>
    <t>1SDSL 1024/10241:4</t>
  </si>
  <si>
    <t>1SDSL 1536/1536Basic</t>
  </si>
  <si>
    <t>1ADSL 20000/1024Basic</t>
  </si>
  <si>
    <t>1SDSL 256/256Basic</t>
  </si>
  <si>
    <t>1ADSL 256/256Basic</t>
  </si>
  <si>
    <t>1ADSL 128/128Basic</t>
  </si>
  <si>
    <t>1SDSL 2300/2300Basic</t>
  </si>
  <si>
    <t>1SDSL 512/512Basic</t>
  </si>
  <si>
    <t>1SDSL 2048/2048Basic</t>
  </si>
  <si>
    <t>1ADSL 512/256Basic</t>
  </si>
  <si>
    <t>1ADSL 6144/1024Basic</t>
  </si>
  <si>
    <t>1ADSL 12000/1024Basic</t>
  </si>
  <si>
    <t>1ADSL 1024/512Basic</t>
  </si>
  <si>
    <t>1ADSL 1024/256Basic</t>
  </si>
  <si>
    <t>1ADSL 384/128Basic</t>
  </si>
  <si>
    <t>1ADSL 4096/1024Basic</t>
  </si>
  <si>
    <t>1ADSL 8000/1024Basic</t>
  </si>
  <si>
    <t>1ADSL 2048/512Basic</t>
  </si>
  <si>
    <t>1ADSL 512/512Basic</t>
  </si>
  <si>
    <t>1ADSL 3072/512Basic</t>
  </si>
  <si>
    <t>1SDSL 1024/1024Basic</t>
  </si>
  <si>
    <t>2SDSL 2048/20481:1</t>
  </si>
  <si>
    <t>2SDSL 2300/23001:1</t>
  </si>
  <si>
    <t>2ADSL 8000/10241:1</t>
  </si>
  <si>
    <t>2ADSL 1024/2561:1</t>
  </si>
  <si>
    <t>2ADSL 2048/5121:1</t>
  </si>
  <si>
    <t>2ADSL 512/2561:1</t>
  </si>
  <si>
    <t>2ADSL 256/2561:1</t>
  </si>
  <si>
    <t>2SDSL 1536/15361:1</t>
  </si>
  <si>
    <t>2ADSL 20000/10241:1</t>
  </si>
  <si>
    <t>2ADSL 1024/5121:1</t>
  </si>
  <si>
    <t>2ADSL 128/1281:1</t>
  </si>
  <si>
    <t>2ADSL 6144/10241:1</t>
  </si>
  <si>
    <t>2ADSL 12000/10241:1</t>
  </si>
  <si>
    <t>2ADSL 512/5121:1</t>
  </si>
  <si>
    <t>2ADSL 4096/10241:1</t>
  </si>
  <si>
    <t>2SDSL 256/2561:1</t>
  </si>
  <si>
    <t>2SDSL 512/5121:1</t>
  </si>
  <si>
    <t>2ADSL 384/1281:1</t>
  </si>
  <si>
    <t>2SDSL 1024/10241:1</t>
  </si>
  <si>
    <t>2ADSL 3072/5121:1</t>
  </si>
  <si>
    <t>2ADSL 4096/10241:10</t>
  </si>
  <si>
    <t>2ADSL 512/2561:10</t>
  </si>
  <si>
    <t>2ADSL 384/1281:10</t>
  </si>
  <si>
    <t>2SDSL 1536/15361:10</t>
  </si>
  <si>
    <t>2SDSL 512/5121:10</t>
  </si>
  <si>
    <t>2ADSL 12000/10241:10</t>
  </si>
  <si>
    <t>2ADSL 1024/2561:10</t>
  </si>
  <si>
    <t>2SDSL 256/2561:10</t>
  </si>
  <si>
    <t>2SDSL 2300/23001:10</t>
  </si>
  <si>
    <t>2ADSL 128/1281:10</t>
  </si>
  <si>
    <t>2ADSL 2048/5121:10</t>
  </si>
  <si>
    <t>2ADSL 1024/5121:10</t>
  </si>
  <si>
    <t>2ADSL 6144/10241:10</t>
  </si>
  <si>
    <t>2SDSL 2048/20481:10</t>
  </si>
  <si>
    <t>2ADSL 20000/10241:10</t>
  </si>
  <si>
    <t>2ADSL 8000/10241:10</t>
  </si>
  <si>
    <t>2ADSL 256/2561:10</t>
  </si>
  <si>
    <t>2SDSL 1024/10241:10</t>
  </si>
  <si>
    <t>2ADSL 3072/5121:10</t>
  </si>
  <si>
    <t>2ADSL 512/5121:10</t>
  </si>
  <si>
    <t>2ADSL 6144/10241:4</t>
  </si>
  <si>
    <t>2ADSL 1024/5121:4</t>
  </si>
  <si>
    <t>2SDSL 256/2561:4</t>
  </si>
  <si>
    <t>2SDSL 1536/15361:4</t>
  </si>
  <si>
    <t>2ADSL 512/2561:4</t>
  </si>
  <si>
    <t>2ADSL 2048/5121:4</t>
  </si>
  <si>
    <t>2ADSL 8000/10241:4</t>
  </si>
  <si>
    <t>2ADSL 384/1281:4</t>
  </si>
  <si>
    <t>2SDSL 512/5121:4</t>
  </si>
  <si>
    <t>2ADSL 12000/10241:4</t>
  </si>
  <si>
    <t>2SDSL 2048/20481:4</t>
  </si>
  <si>
    <t>2SDSL 2300/23001:4</t>
  </si>
  <si>
    <t>2ADSL 4096/10241:4</t>
  </si>
  <si>
    <t>2ADSL 1024/2561:4</t>
  </si>
  <si>
    <t>2ADSL 20000/10241:4</t>
  </si>
  <si>
    <t>2ADSL 256/2561:4</t>
  </si>
  <si>
    <t>2ADSL 128/1281:4</t>
  </si>
  <si>
    <t>2SDSL 1024/10241:4</t>
  </si>
  <si>
    <t>2ADSL 3072/5121:4</t>
  </si>
  <si>
    <t>2ADSL 512/5121:4</t>
  </si>
  <si>
    <t>2SDSL 256/256Basic</t>
  </si>
  <si>
    <t>2SDSL 512/512Basic</t>
  </si>
  <si>
    <t>2ADSL 512/256Basic</t>
  </si>
  <si>
    <t>2ADSL 6144/1024Basic</t>
  </si>
  <si>
    <t>2SDSL 1536/1536Basic</t>
  </si>
  <si>
    <t>2ADSL 8000/1024Basic</t>
  </si>
  <si>
    <t>2ADSL 4096/1024Basic</t>
  </si>
  <si>
    <t>2ADSL 1024/512Basic</t>
  </si>
  <si>
    <t>2ADSL 20000/1024Basic</t>
  </si>
  <si>
    <t>2ADSL 128/128Basic</t>
  </si>
  <si>
    <t>2SDSL 2048/2048Basic</t>
  </si>
  <si>
    <t>2ADSL 12000/1024Basic</t>
  </si>
  <si>
    <t>2SDSL 2300/2300Basic</t>
  </si>
  <si>
    <t>2ADSL 256/256Basic</t>
  </si>
  <si>
    <t>2ADSL 1024/256Basic</t>
  </si>
  <si>
    <t>2ADSL 2048/512Basic</t>
  </si>
  <si>
    <t>2ADSL 384/128Basic</t>
  </si>
  <si>
    <t>2SDSL 1024/1024Basic</t>
  </si>
  <si>
    <t>2ADSL 3072/512Basic</t>
  </si>
  <si>
    <t>2ADSL 512/512Basic</t>
  </si>
  <si>
    <t>3ADSL 2048/5121:1</t>
  </si>
  <si>
    <t>3ADSL 12000/10241:1</t>
  </si>
  <si>
    <t>3ADSL 1024/2561:1</t>
  </si>
  <si>
    <t>3ADSL 384/1281:1</t>
  </si>
  <si>
    <t>3SDSL 1536/15361:1</t>
  </si>
  <si>
    <t>3ADSL 1024/5121:1</t>
  </si>
  <si>
    <t>3ADSL 6144/10241:1</t>
  </si>
  <si>
    <t>3ADSL 256/2561:1</t>
  </si>
  <si>
    <t>3SDSL 2048/20481:1</t>
  </si>
  <si>
    <t>3ADSL 4096/10241:1</t>
  </si>
  <si>
    <t>3ADSL 512/2561:1</t>
  </si>
  <si>
    <t>3SDSL 512/5121:1</t>
  </si>
  <si>
    <t>3ADSL 20000/10241:1</t>
  </si>
  <si>
    <t>3ADSL 128/1281:1</t>
  </si>
  <si>
    <t>3SDSL 256/2561:1</t>
  </si>
  <si>
    <t>3SDSL 2300/23001:1</t>
  </si>
  <si>
    <t>3ADSL 8000/10241:1</t>
  </si>
  <si>
    <t>3ADSL 512/5121:1</t>
  </si>
  <si>
    <t>3SDSL 1024/10241:1</t>
  </si>
  <si>
    <t>3ADSL 3072/5121:1</t>
  </si>
  <si>
    <t>3ADSL 2048/5121:10</t>
  </si>
  <si>
    <t>3SDSL 256/2561:10</t>
  </si>
  <si>
    <t>3ADSL 8000/10241:10</t>
  </si>
  <si>
    <t>3ADSL 128/1281:10</t>
  </si>
  <si>
    <t>3SDSL 512/5121:10</t>
  </si>
  <si>
    <t>3ADSL 256/2561:10</t>
  </si>
  <si>
    <t>3ADSL 384/1281:10</t>
  </si>
  <si>
    <t>3ADSL 12000/10241:10</t>
  </si>
  <si>
    <t>3SDSL 2048/20481:10</t>
  </si>
  <si>
    <t>3ADSL 1024/5121:10</t>
  </si>
  <si>
    <t>3ADSL 20000/10241:10</t>
  </si>
  <si>
    <t>3SDSL 1536/15361:10</t>
  </si>
  <si>
    <t>3ADSL 6144/10241:10</t>
  </si>
  <si>
    <t>3SDSL 2300/23001:10</t>
  </si>
  <si>
    <t>3ADSL 4096/10241:10</t>
  </si>
  <si>
    <t>3ADSL 1024/2561:10</t>
  </si>
  <si>
    <t>3ADSL 512/2561:10</t>
  </si>
  <si>
    <t>3ADSL 512/5121:10</t>
  </si>
  <si>
    <t>3SDSL 1024/10241:10</t>
  </si>
  <si>
    <t>3ADSL 3072/5121:10</t>
  </si>
  <si>
    <t>3ADSL 512/2561:4</t>
  </si>
  <si>
    <t>3ADSL 4096/10241:4</t>
  </si>
  <si>
    <t>3ADSL 1024/5121:4</t>
  </si>
  <si>
    <t>3ADSL 12000/10241:4</t>
  </si>
  <si>
    <t>3ADSL 20000/10241:4</t>
  </si>
  <si>
    <t>3SDSL 512/5121:4</t>
  </si>
  <si>
    <t>3SDSL 2048/20481:4</t>
  </si>
  <si>
    <t>3ADSL 384/1281:4</t>
  </si>
  <si>
    <t>3SDSL 2300/23001:4</t>
  </si>
  <si>
    <t>3SDSL 256/2561:4</t>
  </si>
  <si>
    <t>3SDSL 1536/15361:4</t>
  </si>
  <si>
    <t>3ADSL 6144/10241:4</t>
  </si>
  <si>
    <t>3ADSL 2048/5121:4</t>
  </si>
  <si>
    <t>3ADSL 128/1281:4</t>
  </si>
  <si>
    <t>3ADSL 1024/2561:4</t>
  </si>
  <si>
    <t>3ADSL 8000/10241:4</t>
  </si>
  <si>
    <t>3ADSL 256/2561:4</t>
  </si>
  <si>
    <t>3ADSL 512/5121:4</t>
  </si>
  <si>
    <t>3SDSL 1024/10241:4</t>
  </si>
  <si>
    <t>3ADSL 3072/5121:4</t>
  </si>
  <si>
    <t>3ADSL 128/128Basic</t>
  </si>
  <si>
    <t>3SDSL 2300/2300Basic</t>
  </si>
  <si>
    <t>3ADSL 6144/1024Basic</t>
  </si>
  <si>
    <t>3ADSL 8000/1024Basic</t>
  </si>
  <si>
    <t>3ADSL 2048/512Basic</t>
  </si>
  <si>
    <t>3ADSL 1024/256Basic</t>
  </si>
  <si>
    <t>3ADSL 20000/1024Basic</t>
  </si>
  <si>
    <t>3SDSL 256/256Basic</t>
  </si>
  <si>
    <t>3ADSL 12000/1024Basic</t>
  </si>
  <si>
    <t>3ADSL 4096/1024Basic</t>
  </si>
  <si>
    <t>3ADSL 512/256Basic</t>
  </si>
  <si>
    <t>3ADSL 384/128Basic</t>
  </si>
  <si>
    <t>3ADSL 256/256Basic</t>
  </si>
  <si>
    <t>3SDSL 1536/1536Basic</t>
  </si>
  <si>
    <t>3SDSL 512/512Basic</t>
  </si>
  <si>
    <t>3ADSL 1024/512Basic</t>
  </si>
  <si>
    <t>3SDSL 2048/2048Basic</t>
  </si>
  <si>
    <t>3ADSL 512/512Basic</t>
  </si>
  <si>
    <t>3SDSL 1024/1024Basic</t>
  </si>
  <si>
    <t>3ADSL 3072/512Basic</t>
  </si>
  <si>
    <t>WBA CM EthernetIP-VPN Drager t.b.v. ADSL/VDSL (nieuwe aansluiting/Wholesale New Line)</t>
  </si>
  <si>
    <t>WBA CM EthernetIP-VPN Drager t.b.v. SDSL (Wholesale New Line)</t>
  </si>
  <si>
    <t>WBA CM EthernetIPVPN Drager ISDN/PSTN gebruiken t.b.v. ADSL (telefonie afsluiten/terminate voice)</t>
  </si>
  <si>
    <t>IPVPN Drager ISDN/PSTN gebruiken t.b.v. ADSL (telefonie afsluiten/terminate voice)</t>
  </si>
  <si>
    <t>WBA CM EthernetIPVPN Drager ISDN/PSTN gebruiken t.b.v. SDSL (telefonie afsluiten/terminate voice)</t>
  </si>
  <si>
    <t>IPVPN Drager ISDN/PSTN gebruiken t.b.v. SDSL (telefonie afsluiten/terminate voice)</t>
  </si>
  <si>
    <t>WBA CM EthernetIPVPN Drager ISDN/PSTN gebruiken t.b.v. ADSL in combinatie met telefonie</t>
  </si>
  <si>
    <t>WBA ZM EthernetIP-VPN Drager t.b.v. ADSL/VDSL (nieuwe aansluiting/Wholesale New Line)</t>
  </si>
  <si>
    <t>WBA ZM EthernetIP-VPN Drager t.b.v. SDSL (Wholesale New Line)</t>
  </si>
  <si>
    <t>WBA ZM EthernetIPVPN Drager ISDN/PSTN gebruiken t.b.v. ADSL (telefonie afsluiten/terminate voice)</t>
  </si>
  <si>
    <t>WBA ZM EthernetIPVPN Drager ISDN/PSTN gebruiken t.b.v. SDSL (telefonie afsluiten/terminate voice)</t>
  </si>
  <si>
    <t>WBA ZM EthernetIPVPN Drager ISDN/PSTN gebruiken t.b.v. ADSL in combinatie met telefonie</t>
  </si>
  <si>
    <t>Alcatel ST789 (ADSL/PSTN) ST789i (ADSL/ISDN)</t>
  </si>
  <si>
    <t>Cisco 886 (ADSL/ISDN) Cisco 887 (ADSL/PSTN) Cisco 887 VA(VDSL)</t>
  </si>
  <si>
    <t>Geen router</t>
  </si>
  <si>
    <t>RouterServicekantoor</t>
  </si>
  <si>
    <t>RouterServicewinkel</t>
  </si>
  <si>
    <t>SLAkantoor</t>
  </si>
  <si>
    <t>SLA</t>
  </si>
  <si>
    <t>SLAwinkel</t>
  </si>
  <si>
    <t>SLA7x24</t>
  </si>
  <si>
    <t>2de 1ADSL 128/1281:1n.v.t.</t>
  </si>
  <si>
    <t>2de VPN</t>
  </si>
  <si>
    <t>2de 1ADSL 200/2001:1n.v.t.</t>
  </si>
  <si>
    <t>2de 1ADSL 224/2241:1n.v.t.</t>
  </si>
  <si>
    <t>2de 1ADSL 256/2561:1n.v.t.</t>
  </si>
  <si>
    <t>2de 1ADSL 352/3521:1n.v.t.</t>
  </si>
  <si>
    <t>2de 1ADSL 448/4481:1n.v.t.</t>
  </si>
  <si>
    <t>2de 1ADSL 512/5121:1n.v.t.</t>
  </si>
  <si>
    <t>2de 1SDSL 1024/10241:1n.v.t.</t>
  </si>
  <si>
    <t>2de 1SDSL 1536/15361:1n.v.t.</t>
  </si>
  <si>
    <t>2de 1SDSL 2048/20481:1n.v.t.</t>
  </si>
  <si>
    <t>2de 1SDSL 224/2241:1n.v.t.</t>
  </si>
  <si>
    <t>2de 1SDSL 256/2561:1n.v.t.</t>
  </si>
  <si>
    <t>2de 1SDSL 448/4481:1n.v.t.</t>
  </si>
  <si>
    <t>2de 1SDSL 512/5121:1n.v.t.</t>
  </si>
  <si>
    <t>2de 2ADSL 128/1281:1n.v.t.</t>
  </si>
  <si>
    <t>2de 2ADSL 200/2001:1n.v.t.</t>
  </si>
  <si>
    <t>2de 2ADSL 224/2241:1n.v.t.</t>
  </si>
  <si>
    <t>2de 2ADSL 256/2561:1n.v.t.</t>
  </si>
  <si>
    <t>2de 2ADSL 352/3521:1n.v.t.</t>
  </si>
  <si>
    <t>2de 2ADSL 448/4481:1n.v.t.</t>
  </si>
  <si>
    <t>2de 2ADSL 512/5121:1n.v.t.</t>
  </si>
  <si>
    <t>2de 2SDSL 1024/10241:1n.v.t.</t>
  </si>
  <si>
    <t>2de 2SDSL 1536/15361:1n.v.t.</t>
  </si>
  <si>
    <t>2de 2SDSL 2048/20481:1n.v.t.</t>
  </si>
  <si>
    <t>2de 2SDSL 224/2241:1n.v.t.</t>
  </si>
  <si>
    <t>2de 2SDSL 256/2561:1n.v.t.</t>
  </si>
  <si>
    <t>2de 2SDSL 448/4481:1n.v.t.</t>
  </si>
  <si>
    <t>2de 2SDSL 512/5121:1n.v.t.</t>
  </si>
  <si>
    <t>2de 3ADSL 128/1281:1n.v.t.</t>
  </si>
  <si>
    <t>2de 3ADSL 200/2001:1n.v.t.</t>
  </si>
  <si>
    <t>2de 3ADSL 224/2241:1n.v.t.</t>
  </si>
  <si>
    <t>2de 3ADSL 256/2561:1n.v.t.</t>
  </si>
  <si>
    <t>2de 3ADSL 352/3521:1n.v.t.</t>
  </si>
  <si>
    <t>2de 3ADSL 448/4481:1n.v.t.</t>
  </si>
  <si>
    <t>2de 3ADSL 512/5121:1n.v.t.</t>
  </si>
  <si>
    <t>2de 3SDSL 1024/10241:1n.v.t.</t>
  </si>
  <si>
    <t>2de 3SDSL 1536/15361:1n.v.t.</t>
  </si>
  <si>
    <t>2de 3SDSL 2048/20481:1n.v.t.</t>
  </si>
  <si>
    <t>2de 3SDSL 224/2241:1n.v.t.</t>
  </si>
  <si>
    <t>2de 3SDSL 256/2561:1n.v.t.</t>
  </si>
  <si>
    <t>2de 3SDSL 448/4481:1n.v.t.</t>
  </si>
  <si>
    <t>2de 3SDSL 512/5121:1n.v.t.</t>
  </si>
  <si>
    <t>kan alleen met bonding</t>
  </si>
  <si>
    <t>Telco - Telco and WSO - WSO migration DHZ</t>
  </si>
  <si>
    <t>&lt;= 100 Mbps/&lt;= 30 Mbps</t>
  </si>
  <si>
    <t>&lt;= 200 Mbps/&lt;= 60 Mbps</t>
  </si>
  <si>
    <t>Telco-telco en WSO-WSO</t>
  </si>
  <si>
    <t>1 Mps/1 Mbps</t>
  </si>
  <si>
    <t>5 Mbps/5 Mbps</t>
  </si>
  <si>
    <t>2 Mbps/1 Mbps</t>
  </si>
  <si>
    <t>5 Mbps/1 Mbps</t>
  </si>
  <si>
    <t>10 Mbps/5 Mbps</t>
  </si>
  <si>
    <t>20 Mbps/10 Mbps</t>
  </si>
  <si>
    <t>20 Mbps/20 Mbps</t>
  </si>
  <si>
    <t>versie 14.2 - juli 2015</t>
  </si>
  <si>
    <t>1024/1024 tbv alarm</t>
  </si>
  <si>
    <t>kantooruren</t>
  </si>
  <si>
    <t>Fully connected but not yet active copper pair available to end user premises, excl. testing and labelling by KPN</t>
  </si>
  <si>
    <t>- Fully connected but not yet active copper pair available to end user premises, incl. testing and labelling by KPN</t>
  </si>
  <si>
    <t>- NLS1 "kruisdraden" done by WSO, TL by KPN</t>
  </si>
  <si>
    <t>- NLS1 "kruisdraden" and T&amp;L done by WSO</t>
  </si>
  <si>
    <t>- Maximum of 3 welds needed to complete copper</t>
  </si>
  <si>
    <t>- NLS2 "kruisdraden" done by KPN, TL by WSO</t>
  </si>
  <si>
    <t>- NLS2 "kruisdraden" done by WSO, TL by KPN</t>
  </si>
  <si>
    <t>NLS2 "kruisdraden" and T&amp;L done by WSO</t>
  </si>
  <si>
    <t>In all other situations</t>
  </si>
  <si>
    <t>NLS3 "kruisdraden" done by KPN, TL by WSO</t>
  </si>
  <si>
    <t>- NLS3 "kruisdraden" done by WSO, TL by KPN</t>
  </si>
  <si>
    <t>- NLS3 "kruisdraden" and T&amp;L done by WSO</t>
  </si>
  <si>
    <t>MDF Access surcharge for delivery of wall mounted socket at ISRA point (optional):</t>
  </si>
  <si>
    <t>kruisdraden provisioning by KPN corrected by WSO</t>
  </si>
  <si>
    <t>Regular order including Test &amp; Label</t>
  </si>
  <si>
    <t>- If regular order is not possible and "infra extention" is required, including Test &amp; Label</t>
  </si>
  <si>
    <t>- Regular order where Test &amp; Label is done by "Doe Het Zelf monteur"</t>
  </si>
  <si>
    <t>- If regular order with "Doe Het Zelf monteur" requires "infra extention"</t>
  </si>
  <si>
    <t>Fiber available at Premises ("FTU afgemonteerd/afgemonteerd bij levering")</t>
  </si>
  <si>
    <t>- Fiber available at Front Wall ("Voorgevel")</t>
  </si>
  <si>
    <t>Fiber available at Grounds ("Erfgrens")</t>
  </si>
  <si>
    <t>Fiber to the Office</t>
  </si>
  <si>
    <t>extra</t>
  </si>
  <si>
    <t>NLS type 1 ZTL/DHZ TL</t>
  </si>
  <si>
    <t>NLS 1 DHZ Kruisdraden</t>
  </si>
  <si>
    <t>NLS 1 DHZ Kruisdraden &amp; TL</t>
  </si>
  <si>
    <t>NLS 2 DHZ TL</t>
  </si>
  <si>
    <t>NLS 2 DHZ Kruisdraden</t>
  </si>
  <si>
    <t>NLS 2 DHZ Kruisdraden &amp; TL</t>
  </si>
  <si>
    <t>NLS 3 DHZ TL</t>
  </si>
  <si>
    <t>NLS 3 DHZ Kruisdraden</t>
  </si>
  <si>
    <t>NLS 3 DHZ Kruisdraden &amp; TL</t>
  </si>
  <si>
    <t>WCD</t>
  </si>
  <si>
    <t>DHZ "Nazorg en Service"</t>
  </si>
  <si>
    <t>NLS type 6, 9</t>
  </si>
  <si>
    <t>NLS type 7</t>
  </si>
  <si>
    <t>NLS type 8</t>
  </si>
  <si>
    <t>NLS type 21, 23, 24</t>
  </si>
  <si>
    <t>NLS1</t>
  </si>
  <si>
    <t>NLS3 &lt;25m</t>
  </si>
  <si>
    <t>NLS3 25-125m</t>
  </si>
  <si>
    <t>NLS3 &gt;125m</t>
  </si>
  <si>
    <t>frequentie</t>
  </si>
  <si>
    <t>kosten NLS3 &gt; 125 m</t>
  </si>
  <si>
    <t>NLS kosten</t>
  </si>
  <si>
    <t>ADSL/VDSL/SDSL</t>
  </si>
  <si>
    <t>50 Mbps/10 Mbps</t>
  </si>
  <si>
    <t>&lt;=50/10</t>
  </si>
  <si>
    <t>WBA CM EthernetADSL/VDSL/SDSLNLS type 1</t>
  </si>
  <si>
    <t>WBA CM EthernetADSL/VDSL/SDSLNLS type 2</t>
  </si>
  <si>
    <t>WBA CM EthernetADSL/VDSL/SDSLNLS type 3</t>
  </si>
  <si>
    <t>sleutel</t>
  </si>
  <si>
    <t>WBA ZM EthernetADSL/VDSL/SDSLNLS type 1</t>
  </si>
  <si>
    <t>WBA ZM EthernetADSL/VDSL/SDSLNLS type 2</t>
  </si>
  <si>
    <t>WBA ZM EthernetADSL/VDSL/SDSLNLS type 3</t>
  </si>
  <si>
    <t>gem kosten NLSx DSL WBA ZM</t>
  </si>
  <si>
    <t>NLSx ADSL WBA ZM Ethernet</t>
  </si>
  <si>
    <t>NLSx VDSL WBA ZM Ethernet</t>
  </si>
  <si>
    <t>gem kosten NLSx DSL bonding WBA ZM</t>
  </si>
  <si>
    <t>WBA ZM EthernetVDSL BondingNLS type 1</t>
  </si>
  <si>
    <t>NLS2/3 - 25 mtr</t>
  </si>
  <si>
    <t>WBA ZM EthernetVDSL BondingNLS type 2/3</t>
  </si>
  <si>
    <t>NLSx VDSL Bonding WBA ZM Ethernet</t>
  </si>
  <si>
    <t>gem kosten NLSx FttH WBA ZM</t>
  </si>
  <si>
    <t>NLSx FttH WBA ZM Ethernet</t>
  </si>
  <si>
    <t>gem kosten NLSx DSL WBA CM</t>
  </si>
  <si>
    <t>NLSx ADSL WBA CM Ethernet</t>
  </si>
  <si>
    <t>NLSx VDSL WBA CM Ethernet</t>
  </si>
  <si>
    <t>gem kosten NLSx DSL bonding WBA CM</t>
  </si>
  <si>
    <t>WBA CM EthernetVDSL BondingNLS type 1</t>
  </si>
  <si>
    <t>WBA CM EthernetVDSL BondingNLS type 2/3</t>
  </si>
  <si>
    <t>NLSx VDSL Bonding WBA CM Ethernet</t>
  </si>
  <si>
    <t>gem kosten NLSx FttH WBA CM</t>
  </si>
  <si>
    <t>NLSx FttH WBA CM Ethernet</t>
  </si>
  <si>
    <t>gem kosten NLSx DSL ULL</t>
  </si>
  <si>
    <t>NLSx ADSL ULL</t>
  </si>
  <si>
    <t>NLSx VDSL ULL</t>
  </si>
  <si>
    <t>gem kosten NLSx DSL Bonding ULL</t>
  </si>
  <si>
    <t>NLSx VDSL Bonding ULL</t>
  </si>
  <si>
    <t>gem kosten NLSx FttH ULL</t>
  </si>
  <si>
    <t>NLSx FttH ULL</t>
  </si>
  <si>
    <t>NLSx SDSL WBA ZM Ethernet</t>
  </si>
  <si>
    <t>NLSx SDSL WBA CM Ethernet</t>
  </si>
  <si>
    <t>NLSx SDSL ULL</t>
  </si>
  <si>
    <t>NLSx</t>
  </si>
  <si>
    <t>WO Network Access Line type</t>
  </si>
  <si>
    <t>surcharge NLSx</t>
  </si>
  <si>
    <t>SDF</t>
  </si>
  <si>
    <t>worst case</t>
  </si>
  <si>
    <t>MDF Pair bonding</t>
  </si>
  <si>
    <t>WO identifier ULL</t>
  </si>
  <si>
    <t>niet gebruikt</t>
  </si>
  <si>
    <t>Premium SLA per IGP</t>
  </si>
  <si>
    <t>Installatie op FTU niet gelijktijdig met HAS</t>
  </si>
  <si>
    <t>per mnd/klant</t>
  </si>
  <si>
    <t>ADSL/VDSLnon-sharednieuw</t>
  </si>
  <si>
    <t>1) Access</t>
  </si>
  <si>
    <t>model1</t>
  </si>
  <si>
    <t>model2</t>
  </si>
  <si>
    <t>sleutel wholesaleblad</t>
  </si>
  <si>
    <t>sleutel retailblad</t>
  </si>
  <si>
    <t>inkoop VULA</t>
  </si>
  <si>
    <t>ADSLNew lineunshared</t>
  </si>
  <si>
    <t>VDSLNew lineunshared</t>
  </si>
  <si>
    <t>ADSL/VDSLnon-sharedbestaand</t>
  </si>
  <si>
    <t>VDSLnvtunshared</t>
  </si>
  <si>
    <t>ADSLnvtunshared</t>
  </si>
  <si>
    <t>ADSL/VDSLsharedbestaand</t>
  </si>
  <si>
    <t>VDSLnvtshared</t>
  </si>
  <si>
    <t>ADSLnvtshared</t>
  </si>
  <si>
    <t>inkoop MDF VDSL</t>
  </si>
  <si>
    <t>VDSL bondingnon-sharednieuw</t>
  </si>
  <si>
    <t>VDSL BondingNew lineunshared</t>
  </si>
  <si>
    <t>inkoop MDF SDSL</t>
  </si>
  <si>
    <t>SDSLnon-sharednieuw</t>
  </si>
  <si>
    <t>SDSLNew lineunshared</t>
  </si>
  <si>
    <t>SDSLnon-sharedbestaand</t>
  </si>
  <si>
    <t>SDSLnvtunshared</t>
  </si>
  <si>
    <t>inkoop ODF FTTH</t>
  </si>
  <si>
    <t>FTTHnon-sharednieuw</t>
  </si>
  <si>
    <t>FttHNew lineunshared</t>
  </si>
  <si>
    <t>QoS</t>
  </si>
  <si>
    <t>model</t>
  </si>
  <si>
    <t>Best-effort</t>
  </si>
  <si>
    <t>Other</t>
  </si>
  <si>
    <t>≤2/2Mbps</t>
  </si>
  <si>
    <t>2) Transport (toeslag)</t>
  </si>
  <si>
    <t>Best-effortOther</t>
  </si>
  <si>
    <t>Best-effort≤2/2Mbps</t>
  </si>
  <si>
    <t>PremiumOther</t>
  </si>
  <si>
    <t>Premium≤2/2Mbps</t>
  </si>
  <si>
    <t>3) SLA</t>
  </si>
  <si>
    <t>sleutel ULL (transport)</t>
  </si>
  <si>
    <t>Premium &gt; 2/2Mbps</t>
  </si>
  <si>
    <t>EDC minus maandbedragen resp LRIC maandbedragen incl en excl TH, E, SEV (interpolatie 2017 uit 2015 en 2018)</t>
  </si>
  <si>
    <t>kosten vvv</t>
  </si>
  <si>
    <t>kosten vve</t>
  </si>
  <si>
    <t>kosten vva t/m MC ex vva TH, E en SEV</t>
  </si>
  <si>
    <t>kosten vva TH t/m MC</t>
  </si>
  <si>
    <t>kosten vva E t/m MC</t>
  </si>
  <si>
    <t>kosten vva SEV t/m MC</t>
  </si>
  <si>
    <t>TH t/m MC in m2</t>
  </si>
  <si>
    <t>kWh E t/m MC</t>
  </si>
  <si>
    <t>kosten vva MC tot core incl TH, E, SEV</t>
  </si>
  <si>
    <t>kosten vva core +wap incl TH, E, SEV</t>
  </si>
  <si>
    <t>WBA FTTH</t>
  </si>
  <si>
    <t>WBA FTTC</t>
  </si>
  <si>
    <t>WBA SDSL</t>
  </si>
  <si>
    <t>WBA VULA (mix van wba co en wba fttc)</t>
  </si>
  <si>
    <t>WBA ETN p2p  met geschat verbruik</t>
  </si>
  <si>
    <t>WBA ETN p2p  met geschat verbruik pb</t>
  </si>
  <si>
    <t>EOK gemiddeld</t>
  </si>
  <si>
    <t>EOK tot 2,3 Mb met één koperpaar</t>
  </si>
  <si>
    <t>EOK tot 3 Mb</t>
  </si>
  <si>
    <t>EOK tot 5 Mb</t>
  </si>
  <si>
    <t>EOK tot 10 Mb</t>
  </si>
  <si>
    <t>EOK tot 15 Mb</t>
  </si>
  <si>
    <t>EOK tot 20 Mb</t>
  </si>
  <si>
    <t>verkeer evkc to evkc</t>
  </si>
  <si>
    <t>verkeer evkc to host</t>
  </si>
  <si>
    <t>verkeer access netwerk  host</t>
  </si>
  <si>
    <t>verkeer voice carrier systeem</t>
  </si>
  <si>
    <t>verkeer premium transit</t>
  </si>
  <si>
    <t>tdm poort 2mbits</t>
  </si>
  <si>
    <t>isdn 1/2 lijnkaart</t>
  </si>
  <si>
    <t>isdn 15/20/30 lijnkaart</t>
  </si>
  <si>
    <t>pstn lijnkaart</t>
  </si>
  <si>
    <t>hdsl modem isdn 15/20/30</t>
  </si>
  <si>
    <t>vaste transmissie mobiel data</t>
  </si>
  <si>
    <t>vaste transmissie mobiel sms</t>
  </si>
  <si>
    <t>vaste transmissie mobiel spraak</t>
  </si>
  <si>
    <t>radionet mobiel data</t>
  </si>
  <si>
    <t>radionet mobiel sms</t>
  </si>
  <si>
    <t>radionet mobiel spraak</t>
  </si>
  <si>
    <t>broadcast platform kpn retail</t>
  </si>
  <si>
    <t>broadcast platform kpn whs</t>
  </si>
  <si>
    <t>broadcast transport</t>
  </si>
  <si>
    <t>unicast platform</t>
  </si>
  <si>
    <t>w.v.unicast npvr</t>
  </si>
  <si>
    <t>w.v. unicast vod</t>
  </si>
  <si>
    <t>ILL 2048 kbit/s lokaal collo</t>
  </si>
  <si>
    <t>ILL 2048 kbit/s lokaal telco (incl LEP/CP)</t>
  </si>
  <si>
    <t>ILL 2048 kbit/s regionaal collo</t>
  </si>
  <si>
    <t>ILL 2048 kbit/s regionaal telco (incl LEP/CP)</t>
  </si>
  <si>
    <t>ILL 2 Mbit/s (VC12) AP-CP</t>
  </si>
  <si>
    <t>ILLP 34 Mbit/s (VC3) AP-CP</t>
  </si>
  <si>
    <t>ILL 155 Mbit/s (VC4) AP-CP</t>
  </si>
  <si>
    <t>ILL 622 Mbit/s (4*STM1) UTN-A PAN(SDH)</t>
  </si>
  <si>
    <t>ILL tie cable</t>
  </si>
  <si>
    <t>ILL 2 Mbit/s CP CP</t>
  </si>
  <si>
    <t>ILL 34 Mbit/s (VC3) CP-CP</t>
  </si>
  <si>
    <t>ILL 155 Mbit/s CP_CP</t>
  </si>
  <si>
    <t>CPA 34 mbits</t>
  </si>
  <si>
    <t>CPA 155 mbits</t>
  </si>
  <si>
    <t>CPA 622 mbits</t>
  </si>
  <si>
    <t>CPA 2500 mbits</t>
  </si>
  <si>
    <t>CPA afstapelpunt</t>
  </si>
  <si>
    <t>dark fiber e2e excl odf per stuk</t>
  </si>
  <si>
    <t>dark fiber per km vezelpaar boven MB</t>
  </si>
  <si>
    <t>WDM segment t/m 2,5G passief metro</t>
  </si>
  <si>
    <t>WDM segment t/m 2,5G metro regionaal</t>
  </si>
  <si>
    <t>WDM segment t/m 2,5G regionaal nationaal</t>
  </si>
  <si>
    <t>WDM segment 10G passief metro</t>
  </si>
  <si>
    <t>WDM segment 10G metro regionaal</t>
  </si>
  <si>
    <t>WDM segment 10G regionaal nationaal</t>
  </si>
  <si>
    <t>generiek IP platform per 10GB</t>
  </si>
  <si>
    <t>Anti DDOS platformkosten premium</t>
  </si>
  <si>
    <t>Anti DDOS platformkosten basic</t>
  </si>
  <si>
    <t>Helpdesk premium</t>
  </si>
  <si>
    <t>Helpdesk basic</t>
  </si>
  <si>
    <t>TH in MC  in m2</t>
  </si>
  <si>
    <t>kWh E in MC</t>
  </si>
  <si>
    <t>WETS TH, E in MC (is gehalveerd, moet nog * 3,8 volgens berekening Carel)</t>
  </si>
  <si>
    <t xml:space="preserve">2. </t>
  </si>
  <si>
    <t>Mix van NLS1/2/3</t>
  </si>
  <si>
    <t>Mix van NLS varianten op basis van CARE</t>
  </si>
  <si>
    <t>NLS3 25-125m tarief</t>
  </si>
  <si>
    <t>+ NLS1 tarief</t>
  </si>
  <si>
    <t>MDF NLS1/2/3 mix tarief</t>
  </si>
  <si>
    <t>MDF PB NLS1/2/3 mix tarief</t>
  </si>
  <si>
    <t>4.</t>
  </si>
  <si>
    <t>5.</t>
  </si>
  <si>
    <t>6.</t>
  </si>
  <si>
    <t>VULA parameters</t>
  </si>
  <si>
    <t>Aantal retail aansluitingen op VULA</t>
  </si>
  <si>
    <t>Tarieven + parameters collocatie</t>
  </si>
  <si>
    <t>MDF collocatie</t>
  </si>
  <si>
    <t>Footprint (2 m2)</t>
  </si>
  <si>
    <t>per jaar</t>
  </si>
  <si>
    <t>Koppelkabel, 600 DA</t>
  </si>
  <si>
    <t>SIP kast (1000 DA)</t>
  </si>
  <si>
    <t>48V voedingskast</t>
  </si>
  <si>
    <t>48V no break voorziening</t>
  </si>
  <si>
    <t>Interne doorbekabeling 4 glasvezelparen</t>
  </si>
  <si>
    <t>prijs per kWh</t>
  </si>
  <si>
    <t>48V no break voorziening, voorschottarief</t>
  </si>
  <si>
    <t>per lijn per jaar</t>
  </si>
  <si>
    <t>SEV (tarief per lijn)</t>
  </si>
  <si>
    <t>WBA/WLL collocatie</t>
  </si>
  <si>
    <t>WBA/WLL koppelkabel met 4 vezelparen</t>
  </si>
  <si>
    <t>Stroommeter</t>
  </si>
  <si>
    <t>per maand</t>
  </si>
  <si>
    <t>SEV bij WLL  collocatie</t>
  </si>
  <si>
    <t>WBA/WLL collocatie, verbruik per MC</t>
  </si>
  <si>
    <t>Aantal WETS per MC locatie</t>
  </si>
  <si>
    <t>Energie</t>
  </si>
  <si>
    <t>Economische afschrijvingstermijn b+d koppelkabel, footprint en SIP kast</t>
  </si>
  <si>
    <t>Economische afschrijvingstermijn 48V stroomvoorziening en glasvezeldoorbekabeling</t>
  </si>
  <si>
    <t>Bezettingsgraad koppelkabel</t>
  </si>
  <si>
    <t>Bezettingsgraad SIP kast</t>
  </si>
  <si>
    <t>Aantal MDF locaties</t>
  </si>
  <si>
    <t>Aantal MC locaties</t>
  </si>
  <si>
    <t>Aantal VULA lijnen</t>
  </si>
  <si>
    <t>Aantal MDF lijnen</t>
  </si>
  <si>
    <t>(prognose 2017)</t>
  </si>
  <si>
    <t>2.</t>
  </si>
  <si>
    <t>Output gegevens</t>
  </si>
  <si>
    <t>MDF collo, VDSL</t>
  </si>
  <si>
    <t>Eenheden per lijn</t>
  </si>
  <si>
    <t>VVA per jaar</t>
  </si>
  <si>
    <t>EUR per kWh</t>
  </si>
  <si>
    <t>Afschr. Termijn</t>
  </si>
  <si>
    <t>Kosten per lijn</t>
  </si>
  <si>
    <t>SEV</t>
  </si>
  <si>
    <t>Koppelkabel (600 DA)</t>
  </si>
  <si>
    <t>MDF collo, SDSL</t>
  </si>
  <si>
    <t>MDF collo, Pair bonding</t>
  </si>
  <si>
    <t>Koppelkabel</t>
  </si>
  <si>
    <t>VULA collo</t>
  </si>
  <si>
    <t>48V no break voorziening /kWh</t>
  </si>
  <si>
    <t>SEV /kWh</t>
  </si>
  <si>
    <t>Per EoK aansluiting</t>
  </si>
  <si>
    <t>Per MDF lijn</t>
  </si>
  <si>
    <t>MDF collo, ILL smalband</t>
  </si>
  <si>
    <t>MDF collo, PSTN</t>
  </si>
  <si>
    <t>MDF collo, ISDN1,2</t>
  </si>
  <si>
    <t>MDF collo, ISDN15,20,30</t>
  </si>
  <si>
    <t>4. Reggefiber ODF FTTH tarieven (per 1-1-2016, v.2.2.11)</t>
  </si>
  <si>
    <t>WBA Annex 4 VULA</t>
  </si>
  <si>
    <t>Tariffs Consumer an Business modules</t>
  </si>
  <si>
    <t>Tariff VULA Modules*</t>
  </si>
  <si>
    <t xml:space="preserve"> </t>
  </si>
  <si>
    <t>* all tariffs in euro's excl. VAT</t>
  </si>
  <si>
    <t>VULA tariffs replacing regular WBA Network Access Line Type Tariffs</t>
  </si>
  <si>
    <t>Shared ADSL2+_POTS, (V)VDSL2</t>
  </si>
  <si>
    <t>per line</t>
  </si>
  <si>
    <t>Non shared ADSL2+_POTS, (V)VDSL2</t>
  </si>
  <si>
    <t>Non shared (V)VDSL2 Bonding</t>
  </si>
  <si>
    <t>Non recurring tariffs Network Access Ports ADSL2+_POTS, (V)VDSL2 based on MDF and streetcabinet access</t>
  </si>
  <si>
    <t>Block of ports for 84 months</t>
  </si>
  <si>
    <t>per 10.000 ports</t>
  </si>
  <si>
    <t>per 5.000 ports</t>
  </si>
  <si>
    <t>Pair Bonding occupies 2 ports</t>
  </si>
  <si>
    <t>Non recurring tariffs Network Access line</t>
  </si>
  <si>
    <t>Non recurring surcharge for delivery on a new Access Line and other Line charges</t>
  </si>
  <si>
    <r>
      <t xml:space="preserve">Pair Bonding NLS type 1 </t>
    </r>
    <r>
      <rPr>
        <sz val="12"/>
        <rFont val="KPN Arial"/>
      </rPr>
      <t>- Regular order including Test &amp; Label</t>
    </r>
  </si>
  <si>
    <t>All other line tariffs as specified in Annex 4 WBA-E LWAP</t>
  </si>
  <si>
    <t>Access PVC/VLAN tariffs</t>
  </si>
  <si>
    <t>Monthly tariffs Point to MultiPoint Access PVC/VLAN and Broadcast Streams</t>
  </si>
  <si>
    <t>PVC/VLAN Point to MultiPoint</t>
  </si>
  <si>
    <t>Aggregation</t>
  </si>
  <si>
    <t>Level LWAP</t>
  </si>
  <si>
    <t>One Best Effort PVC/VLAN</t>
  </si>
  <si>
    <t>included in line tariff</t>
  </si>
  <si>
    <t>One RTV Broadcast Streams</t>
  </si>
  <si>
    <t>One Premium PVC/VLAN ≤2/2Mbps</t>
  </si>
  <si>
    <t>Other Premium PVC/VLAN</t>
  </si>
  <si>
    <t>Monthly tariffs Point to Point Access PVC/VLAN</t>
  </si>
  <si>
    <t>PVC/VLAN Point to Point</t>
  </si>
  <si>
    <t>Lite PVC/VLAN ≤30/3Mbps</t>
  </si>
  <si>
    <t>Other Lite PVC/VLAN</t>
  </si>
  <si>
    <t>Premium PVC/VLAN</t>
  </si>
  <si>
    <t>Non-recurring PVC / VLAN tariffs and other PVC/VLAN Tariffs</t>
  </si>
  <si>
    <t>Non-recurring PVC/VLAN tariffs as specified in Annex 4 WBA-E LWAP</t>
  </si>
  <si>
    <t>3.</t>
  </si>
  <si>
    <t>Transport Tariffs</t>
  </si>
  <si>
    <t>Monthly tariffs Transport to LWAP's</t>
  </si>
  <si>
    <t>PtmP Best Effort + Premium transport capacity to LWAP port, measured cumulative traffic on all LWAP's*</t>
  </si>
  <si>
    <t>measured traffic in 10Gbps steps</t>
  </si>
  <si>
    <t>*) In case a VULA WAP is shared with non VULA connections, WAP Transport for non VULA lines will</t>
  </si>
  <si>
    <t>be charged as specified in the appropriate Annex 4 in proportion to number of lines</t>
  </si>
  <si>
    <t>Traffic (max of either inbound- or outbound traffic) is measured as sum over all PtmP LWAP's using 95 percentile and billed in steps of 10Gbps</t>
  </si>
  <si>
    <t>The sampling interval is 5 minutes</t>
  </si>
  <si>
    <t>Non-recurring aggregated Transport Instance (Transport VLAN) and other tariffs</t>
  </si>
  <si>
    <t>Non-recurring transport tariffs as specified in Annex 4 WBA-E LWAP</t>
  </si>
  <si>
    <t>WAP Tariffs</t>
  </si>
  <si>
    <t>WAP tariffs as specified in Annex 4 WBA-E LWAP</t>
  </si>
  <si>
    <t>Service Levels</t>
  </si>
  <si>
    <t>Monthly additional Service level tariffs:</t>
  </si>
  <si>
    <t>All other Service Level tariffs as specified in Annex 4 WBA-E LWAP</t>
  </si>
  <si>
    <t>Other costs</t>
  </si>
  <si>
    <t>VULA 7 year Initial Investment</t>
  </si>
  <si>
    <t>Overall initial investment VULA</t>
  </si>
  <si>
    <t>non recurring</t>
  </si>
  <si>
    <t>investment per</t>
  </si>
  <si>
    <t>Investment per LWAP location</t>
  </si>
  <si>
    <t>Number of LWAP locations</t>
  </si>
  <si>
    <t>location</t>
  </si>
  <si>
    <t>1-40 LWAP locations</t>
  </si>
  <si>
    <t>41-80 LWAP locations</t>
  </si>
  <si>
    <t>81-120 LWAP locations</t>
  </si>
  <si>
    <t>&gt;120 LWAP locations</t>
  </si>
  <si>
    <t>Project discount when ordering all 161 LWAP locations at once</t>
  </si>
  <si>
    <t>7.</t>
  </si>
  <si>
    <t>Discounts</t>
  </si>
  <si>
    <t>Volume discount and/or other WBA discounts are not applicable for VULA</t>
  </si>
  <si>
    <t># varianten:</t>
  </si>
  <si>
    <t>VVE Tarief</t>
  </si>
  <si>
    <t>VVA Tarief</t>
  </si>
  <si>
    <t>Tarieven</t>
  </si>
  <si>
    <t>Configuratie</t>
  </si>
  <si>
    <t>Connect</t>
  </si>
  <si>
    <t>Disconnect</t>
  </si>
  <si>
    <t>Initieel</t>
  </si>
  <si>
    <t>Blok</t>
  </si>
  <si>
    <t>Sum VVE</t>
  </si>
  <si>
    <t>Access Line</t>
  </si>
  <si>
    <t>Toeslag Premium/P-to-P</t>
  </si>
  <si>
    <t>Toeslag SLA</t>
  </si>
  <si>
    <t>WAP poort</t>
  </si>
  <si>
    <t>EDC minus kosten 
boven MC</t>
  </si>
  <si>
    <t>Sum VVA</t>
  </si>
  <si>
    <t>Sum VVE + VVA tarief</t>
  </si>
  <si>
    <t>VULA excl QoS en SLA</t>
  </si>
  <si>
    <t>sleutel transport</t>
  </si>
  <si>
    <t>VULA Toeslag Premium/P-to-P kosten</t>
  </si>
  <si>
    <t>sleutel SLA</t>
  </si>
  <si>
    <t>kosten SLA</t>
  </si>
  <si>
    <t>VULA</t>
  </si>
  <si>
    <t>NLS type 1/2/3</t>
  </si>
  <si>
    <t>passief-LWAP</t>
  </si>
  <si>
    <t>P-to-MP</t>
  </si>
  <si>
    <t>MDF</t>
  </si>
  <si>
    <t>Collo</t>
  </si>
  <si>
    <t>EDC minus kosten 
tot MC</t>
  </si>
  <si>
    <t>access excl QoS en SLA</t>
  </si>
  <si>
    <t>SLA kosten</t>
  </si>
  <si>
    <t>MDF SDSL</t>
  </si>
  <si>
    <t>MDF VDSL</t>
  </si>
  <si>
    <t>EDC minus 
tot MC</t>
  </si>
  <si>
    <t>EDC minus
boven MC</t>
  </si>
  <si>
    <t>ODF FTTH</t>
  </si>
  <si>
    <t>NRK le/corporate</t>
  </si>
  <si>
    <t>NRK</t>
  </si>
  <si>
    <t>% t.o.v. netto omzet</t>
  </si>
  <si>
    <t>NRK medium</t>
  </si>
  <si>
    <t>NRK medium BPO</t>
  </si>
  <si>
    <t>Retailopslag medium BPO</t>
  </si>
  <si>
    <t>Retailopslag medium</t>
  </si>
  <si>
    <t>Vergoedingen Grondslag</t>
  </si>
  <si>
    <t>Zeker of Conditioneel</t>
  </si>
  <si>
    <t>Parameters per dienst</t>
  </si>
  <si>
    <t>Portfolio</t>
  </si>
  <si>
    <t>Profiel</t>
  </si>
  <si>
    <t>Vast</t>
  </si>
  <si>
    <t>Network Services</t>
  </si>
  <si>
    <t>NRK (mnd)</t>
  </si>
  <si>
    <t>tdm poort 155mbits</t>
  </si>
  <si>
    <t>eenheid</t>
  </si>
  <si>
    <t>aansluiting</t>
  </si>
  <si>
    <t>kosten vva t/m MDF</t>
  </si>
  <si>
    <t>kosten vva TH t/m MDF</t>
  </si>
  <si>
    <t>kosten vva E t/m MDF</t>
  </si>
  <si>
    <t>kosten vva SEV t/m MDF</t>
  </si>
  <si>
    <t>TH t/m MDF in m2</t>
  </si>
  <si>
    <t>kWh E t/m MDF</t>
  </si>
  <si>
    <t>kosten vva evkc/RAC</t>
  </si>
  <si>
    <t>minuut</t>
  </si>
  <si>
    <t>poort enkel</t>
  </si>
  <si>
    <t>MB</t>
  </si>
  <si>
    <t>bericht</t>
  </si>
  <si>
    <t>kosten vva  MDF t/m cp</t>
  </si>
  <si>
    <t>kosten vva cp-cp</t>
  </si>
  <si>
    <t>kilometer vzp</t>
  </si>
  <si>
    <t>aansluiting/hop</t>
  </si>
  <si>
    <t>poort</t>
  </si>
  <si>
    <t>kosten vva</t>
  </si>
  <si>
    <t>klant</t>
  </si>
  <si>
    <t>eindpunt</t>
  </si>
  <si>
    <t>TAN</t>
  </si>
  <si>
    <t>SAN</t>
  </si>
  <si>
    <t>PAN</t>
  </si>
  <si>
    <t>WEAS BT dood glas</t>
  </si>
  <si>
    <t>WEAS BT bestaand nieuwe klant</t>
  </si>
  <si>
    <t>WEAS BT nieuw</t>
  </si>
  <si>
    <t>WEAS BT upgrade snelheid</t>
  </si>
  <si>
    <t>WEAS ST dood glas</t>
  </si>
  <si>
    <t>WEAS ST nearnet</t>
  </si>
  <si>
    <t>WEAS ST offnet</t>
  </si>
  <si>
    <t>EoK</t>
  </si>
  <si>
    <t>HKWBT</t>
  </si>
  <si>
    <t>Epacity platformkosten (ULL)</t>
  </si>
  <si>
    <t>IAS platform per aansluiting (ULL)</t>
  </si>
  <si>
    <t>IAS platform per aansluiting (HKWBT)</t>
  </si>
  <si>
    <t>Epacity platformkosten (HKWBT)</t>
  </si>
  <si>
    <t>product</t>
  </si>
  <si>
    <t>grondslag kosten</t>
  </si>
  <si>
    <t>WEAS BT/FTTO incl collo en BH</t>
  </si>
  <si>
    <t>WEAS BT/FTTO excl collo en BH</t>
  </si>
  <si>
    <t>WEAS CITY incl collo en BH</t>
  </si>
  <si>
    <t>WEAS CITY excl collo en BH</t>
  </si>
  <si>
    <t>Voip per minuut</t>
  </si>
  <si>
    <t>Voip transit per minuut</t>
  </si>
  <si>
    <t>mobiel vast bedrag per maand (LRIC residu)</t>
  </si>
  <si>
    <t>ODF per km vezelpaar (off net en protectie)</t>
  </si>
  <si>
    <t>generiek IP platform wba internet</t>
  </si>
  <si>
    <t>generiek IP platform wba itv</t>
  </si>
  <si>
    <t>straalverbinding WEAS</t>
  </si>
  <si>
    <t>straalverbinding EVENTS met mast</t>
  </si>
  <si>
    <t>straalverbindding EVENTS zonder mast</t>
  </si>
  <si>
    <t>Newtel platformkosten incl transmissie</t>
  </si>
  <si>
    <t>Newtel IVR Telios</t>
  </si>
  <si>
    <t>Newtel IVR Telios spraakherkenning</t>
  </si>
  <si>
    <t xml:space="preserve">Storm </t>
  </si>
  <si>
    <t>seat?</t>
  </si>
  <si>
    <t>Non shared (ATL, VTL)</t>
  </si>
  <si>
    <t>Shared (ASL-CO, VSL-CO) for both CO and BR</t>
  </si>
  <si>
    <t>NT install NWAP</t>
  </si>
  <si>
    <t>NT install LWAP</t>
  </si>
  <si>
    <t>subject to ACM approval</t>
  </si>
  <si>
    <t>&lt;= 50 Mbps/&lt;= 10 Mbps</t>
  </si>
  <si>
    <t>VVA tarief</t>
  </si>
  <si>
    <t>inkoop VVA</t>
  </si>
  <si>
    <t>inkoop VVE</t>
  </si>
  <si>
    <t>VVA+VVE/36</t>
  </si>
  <si>
    <t>hulpregel1</t>
  </si>
  <si>
    <t>hulpregel2</t>
  </si>
  <si>
    <t>(VVE=0)</t>
  </si>
  <si>
    <t>Technische Huisvesting t/m MC in m2</t>
  </si>
  <si>
    <t>kWh Energie t/m MC</t>
  </si>
  <si>
    <t>WBA central office</t>
  </si>
  <si>
    <t>WBA pairbonded</t>
  </si>
  <si>
    <t>Technische Huisvesting t/m MDF in m2</t>
  </si>
  <si>
    <t>kWh Energie t/m MDF</t>
  </si>
  <si>
    <t>WEAS FTTH  BT excl collo en BH</t>
  </si>
  <si>
    <t>WEAS FTTH CITY excl collo en BH</t>
  </si>
  <si>
    <t>backhaul FTTH BT tot MC</t>
  </si>
  <si>
    <t>backhaul FTTH ST tot MC</t>
  </si>
  <si>
    <t>Beschrijving</t>
  </si>
  <si>
    <t xml:space="preserve">Deze openbare ND5 toets bevat separate toetsen voor de access en de VPN. </t>
  </si>
  <si>
    <t>Voor combinaties van access en VPN(s) moet een optelling worden gemaakt van de uitkomsten van de separate toetsen.</t>
  </si>
  <si>
    <t>Navigatie</t>
  </si>
  <si>
    <t>Cel kleuren</t>
  </si>
  <si>
    <t>Fictieve getallen</t>
  </si>
  <si>
    <t>Verkeer</t>
  </si>
  <si>
    <t>Versie: 20130924</t>
  </si>
  <si>
    <t>VULA NLS1/2/3 mix tarief</t>
  </si>
  <si>
    <t>VULA PB NLS1/2/3 mix tarief</t>
  </si>
  <si>
    <t>Version 1.11</t>
  </si>
  <si>
    <t>Valid from 5 januari 2017</t>
  </si>
  <si>
    <t>Version 3.24</t>
  </si>
  <si>
    <t>DHZ Nazorg &amp; Service</t>
  </si>
  <si>
    <t>WAP port 10 Gb/s</t>
  </si>
  <si>
    <t>(Setup) 10 Gb/s Ethernet WAP port Metro</t>
  </si>
  <si>
    <t>FttH en FttO symmetrical</t>
  </si>
  <si>
    <t>Version 1.4</t>
  </si>
  <si>
    <t>Valid from 1 jan 2017</t>
  </si>
  <si>
    <t>Aantal metrische eenheden KPN/TOTAAL</t>
  </si>
  <si>
    <t>Aantal Cityringen KPN /totaal</t>
  </si>
  <si>
    <t>One Premium mngd PVC/VLAN ≤256/256 Kbps</t>
  </si>
  <si>
    <t>1. MDF access tarieven (per 1-1-2017)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</si>
</sst>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7">
    <numFmt numFmtId="41" formatCode="_ * #,##0_ ;_ * \-#,##0_ ;_ * &quot;-&quot;_ ;_ @_ "/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-&quot;€&quot;\ * #,##0.00_-;_-&quot;€&quot;\ * #,##0.00\-;_-&quot;€&quot;\ * &quot;-&quot;??_-;_-@_-"/>
    <numFmt numFmtId="167" formatCode="_-* #,##0.00_-;_-* #,##0.00\-;_-* &quot;-&quot;??_-;_-@_-"/>
    <numFmt numFmtId="168" formatCode="_-&quot;€&quot;\ * #,##0.0000_-;_-&quot;€&quot;\ * #,##0.0000\-;_-&quot;€&quot;\ * &quot;-&quot;??_-;_-@_-"/>
    <numFmt numFmtId="169" formatCode="_ &quot;€&quot;\ * #,##0.0000_ ;_ &quot;€&quot;\ * \-#,##0.0000_ ;_ &quot;€&quot;\ * &quot;-&quot;????_ ;_ @_ "/>
    <numFmt numFmtId="170" formatCode="#,##0.0_x\);\(#,##0.0\)_x;#,##0.0_x\);@_x\)"/>
    <numFmt numFmtId="171" formatCode="#,###.#"/>
    <numFmt numFmtId="172" formatCode="0.0"/>
    <numFmt numFmtId="173" formatCode="#,##0_%_);\(#,##0\)_%;#,##0_%_);@_%_)"/>
    <numFmt numFmtId="174" formatCode="#,##0_%_);\(#,##0\)_%;**;@_%_)"/>
    <numFmt numFmtId="175" formatCode="#,##0.00_%_);\(#,##0.00\)_%;#,##0.00_%_);@_%_)"/>
    <numFmt numFmtId="176" formatCode="&quot;$&quot;#,##0_%_);\(&quot;$&quot;#,##0\)_%;&quot;$&quot;#,##0_%_);@_%_)"/>
    <numFmt numFmtId="177" formatCode="&quot;$&quot;#,##0.00_%_);\(&quot;$&quot;#,##0.00\)_%;&quot;$&quot;#,##0.00_%_);@_%_)"/>
    <numFmt numFmtId="178" formatCode="#,##0_ ;[Red]\(#,##0\)"/>
    <numFmt numFmtId="179" formatCode="m/d/yy_%_)"/>
    <numFmt numFmtId="180" formatCode="mmm\ dd\,\ yyyy"/>
    <numFmt numFmtId="181" formatCode="0_%_);\(0\)_%;0_%_);@_%_)"/>
    <numFmt numFmtId="182" formatCode="#,##0_ ;[Red]\-#,##0\ "/>
    <numFmt numFmtId="183" formatCode="0.0\%_);\(0.0\%\);0.0\%_);@_%_)"/>
    <numFmt numFmtId="184" formatCode="#,##0.0_);\(#,##0.0\)"/>
    <numFmt numFmtId="185" formatCode="#,##0_);[Red]\-#,##0_);0_);@_)"/>
    <numFmt numFmtId="186" formatCode="#,##0;\(#,##0\)"/>
    <numFmt numFmtId="187" formatCode="&quot;Cr$&quot;#,##0_);\(&quot;Cr$&quot;#,##0\)"/>
    <numFmt numFmtId="188" formatCode="&quot;Cr$&quot;#,##0.00_);\(&quot;Cr$&quot;#,##0.00\)"/>
    <numFmt numFmtId="189" formatCode="_(&quot;R$&quot;\ * #,##0.00_);_(&quot;R$&quot;\ * \(#,##0.00\);_(&quot;R$&quot;\ * &quot;-&quot;??_);_(@_)"/>
    <numFmt numFmtId="190" formatCode="&quot;Cr$&quot;#,##0_);[Red]\(&quot;Cr$&quot;#,##0\)"/>
    <numFmt numFmtId="191" formatCode="#,##0.000"/>
    <numFmt numFmtId="192" formatCode="_-* #,##0.00\ &quot;F&quot;_-;\-* #,##0.00\ &quot;F&quot;_-;_-* &quot;-&quot;??\ &quot;F&quot;_-;_-@_-"/>
    <numFmt numFmtId="193" formatCode="_-* #,##0\ &quot;F&quot;_-;\-* #,##0\ &quot;F&quot;_-;_-* &quot;-&quot;\ &quot;F&quot;_-;_-@_-"/>
    <numFmt numFmtId="194" formatCode="#,##0.00000"/>
    <numFmt numFmtId="195" formatCode="0.0\x_)_);&quot;NM&quot;_x_)_);0.0\x_)_);@_%_)"/>
    <numFmt numFmtId="196" formatCode="#,##0.000000000000_);\(#,##0.000000000000\)"/>
    <numFmt numFmtId="197" formatCode="#,##0.00%;[Red]\-#,##0.00%;0.00%;@_)"/>
    <numFmt numFmtId="198" formatCode="mm/dd/yy"/>
    <numFmt numFmtId="199" formatCode="0\ \ ;\(0\)\ \ \ "/>
    <numFmt numFmtId="200" formatCode="#,##0.0"/>
    <numFmt numFmtId="201" formatCode="_-&quot;€&quot;\ * #,##0_-;_-&quot;€&quot;\ * #,##0\-;_-&quot;€&quot;\ * &quot;-&quot;??_-;_-@_-"/>
    <numFmt numFmtId="202" formatCode="#,##0.00_-;[Red]#,##0.00\-;\-"/>
    <numFmt numFmtId="203" formatCode="0.0%"/>
    <numFmt numFmtId="204" formatCode="#_)"/>
    <numFmt numFmtId="205" formatCode="_ * #,##0.0000_ ;_ * \-#,##0.0000_ ;_ * &quot;-&quot;??_ ;_ @_ "/>
    <numFmt numFmtId="206" formatCode="_-* #,##0_-;_-* #,##0\-;_-* &quot;-&quot;??_-;_-@_-"/>
    <numFmt numFmtId="207" formatCode="_-* #,##0.0_-;_-* #,##0.0\-;_-* &quot;-&quot;??_-;_-@_-"/>
    <numFmt numFmtId="208" formatCode="0.0000"/>
    <numFmt numFmtId="209" formatCode="_-* #,##0.0000_-;_-* #,##0.0000\-;_-* &quot;-&quot;??_-;_-@_-"/>
    <numFmt numFmtId="210" formatCode="0.000000"/>
    <numFmt numFmtId="211" formatCode="[$-413]d\ mmmm\ yyyy;@"/>
    <numFmt numFmtId="212" formatCode="_-&quot;€&quot;* #,##0.00_-;_-&quot;€&quot;* #,##0.00\-;_-&quot;€&quot;* &quot;-&quot;??_-;_-@_-"/>
    <numFmt numFmtId="213" formatCode="_-&quot;€&quot;* #,##0.00_-;_-&quot;€&quot;* #,##0.00\-;&quot;x&quot;_-"/>
    <numFmt numFmtId="214" formatCode="_-&quot;fl&quot;\ * #,##0.00_-;_-&quot;fl&quot;\ * #,##0.00\-;_-&quot;fl&quot;\ * &quot;-&quot;??_-;_-@_-"/>
    <numFmt numFmtId="215" formatCode="_-[$€-2]\ * #,##0.00_-;_-[$€-2]\ * #,##0.00\-;_-[$€-2]\ * &quot;-&quot;??_-;_-@_-"/>
    <numFmt numFmtId="216" formatCode="_-[$€-2]\ * #,##0_-;_-[$€-2]\ * #,##0\-;_-[$€-2]\ * &quot;-&quot;??_-;_-@_-"/>
    <numFmt numFmtId="217" formatCode="_-&quot;€&quot;* #,##0.00_-;_-&quot;€&quot;* #,##0.00\-;_-&quot;€&quot;* &quot; 0,-&quot;??_-;_-@_-"/>
    <numFmt numFmtId="218" formatCode="&quot;€&quot;\ #,##0.00"/>
    <numFmt numFmtId="219" formatCode="[$€-2]\ #,##0;[Red]\-[$€-2]\ #,##0"/>
    <numFmt numFmtId="220" formatCode="_-&quot;€&quot;* #,##0_-;_-&quot;€&quot;* #,##0\-;_-&quot;€&quot;* &quot; 0,-&quot;??_-;_-@_-"/>
    <numFmt numFmtId="221" formatCode="#,##0.00_ ;[Red]\-#,##0.00\ "/>
    <numFmt numFmtId="222" formatCode="&quot;€/m²&quot;* #,##0.00_);&quot;€/m²&quot;* \(#,##0.00\)"/>
    <numFmt numFmtId="223" formatCode="0.00;[Red]0.00"/>
    <numFmt numFmtId="224" formatCode="00000000"/>
    <numFmt numFmtId="225" formatCode="\ #,##0_);\(#,##0\)"/>
    <numFmt numFmtId="226" formatCode="#,##0.0_ ;[Red]\-#,##0.0\ "/>
    <numFmt numFmtId="227" formatCode="###\ ###\ ##"/>
    <numFmt numFmtId="228" formatCode="#,##0;\-#,##0;\-"/>
    <numFmt numFmtId="229" formatCode="#,##0.00;\-#,##0.00;&quot;-&quot;"/>
    <numFmt numFmtId="230" formatCode="#,##0%;\-#,##0%;&quot;- &quot;"/>
    <numFmt numFmtId="231" formatCode="#,##0.0%;\-#,##0.0%;&quot;- &quot;"/>
    <numFmt numFmtId="232" formatCode="#,##0.00%;\-#,##0.00%;&quot;- &quot;"/>
    <numFmt numFmtId="233" formatCode="#,##0;\-#,##0;&quot;-&quot;"/>
    <numFmt numFmtId="234" formatCode="#,##0.0;\-#,##0.0;&quot;-&quot;"/>
    <numFmt numFmtId="235" formatCode="&quot;CHF&quot;* #,##0_);&quot;CHF&quot;* \ \(#,##0\)"/>
    <numFmt numFmtId="236" formatCode="&quot;CHF&quot;* #,##0_)&quot;Mio.&quot;;&quot;CHF&quot;* \ \(#,##0\)&quot;Mio.&quot;"/>
    <numFmt numFmtId="237" formatCode="#,##0_)&quot;cm&quot;;\(#,###\)&quot;cm&quot;"/>
    <numFmt numFmtId="238" formatCode="\ #,##0.0%_);\(#,##0.0%\)"/>
    <numFmt numFmtId="239" formatCode="0.000_)"/>
    <numFmt numFmtId="240" formatCode="_-* #,##0.000_-;_-* #,##0.000\-;_-* &quot;-&quot;??_-;_-@_-"/>
    <numFmt numFmtId="241" formatCode="_(* #,##0.00_);_(* \(#,##0.00\);_(* &quot;-&quot;??_);_(@_)"/>
    <numFmt numFmtId="242" formatCode="#."/>
    <numFmt numFmtId="243" formatCode="&quot;ct&quot;* #,##0_);&quot;ct&quot;* \ \(#,##0\)"/>
    <numFmt numFmtId="244" formatCode="_(&quot;€&quot;* #,##0.00_);_(&quot;€&quot;* \(#,##0.00\);_(&quot;€&quot;* &quot;-&quot;??_);_(@_)"/>
    <numFmt numFmtId="245" formatCode="yymmdd"/>
    <numFmt numFmtId="246" formatCode="mm\/yyyy"/>
    <numFmt numFmtId="247" formatCode="dd/mm/"/>
    <numFmt numFmtId="248" formatCode="dd/mmm/yyyy"/>
    <numFmt numFmtId="249" formatCode="\+#,##0.000\ \ \ ;\-#,##0.000\ \ \ "/>
    <numFmt numFmtId="250" formatCode="#,##0.00\ \ \ "/>
    <numFmt numFmtId="251" formatCode="#,##0.000\ "/>
    <numFmt numFmtId="252" formatCode="#,###.#;\(#,###.#\)"/>
    <numFmt numFmtId="253" formatCode="#,##0.0;\(#,##0.0\)"/>
    <numFmt numFmtId="254" formatCode="#,##0.0\x;\(#,##0.0\x\)"/>
    <numFmt numFmtId="255" formatCode="0.0%_);\(0.0%\)"/>
    <numFmt numFmtId="256" formatCode="0.0%_);\(0.0%\);\-"/>
    <numFmt numFmtId="257" formatCode="0.0%;\(0.0%\)"/>
    <numFmt numFmtId="258" formatCode="#,##0_);\(#,##0\);\-"/>
    <numFmt numFmtId="259" formatCode="&quot;€&quot;* #,##0.00_);&quot;€&quot;* \ \(#,##0.00\)"/>
    <numFmt numFmtId="260" formatCode="_-[$€]\ * #,##0.00_-;_-[$€]\ * #,##0.00\-;_-[$€]\ * &quot;-&quot;??_-;_-@_-"/>
    <numFmt numFmtId="261" formatCode="_-[$€-2]\ * #,##0.00_-;_-[$€-2]\ * #,##0.00\-;_-[$€-2]\ * &quot;-&quot;??_-"/>
    <numFmt numFmtId="262" formatCode="[$€]\ #,##0.00_-;[Red][$€]\ #,##0.00\-"/>
    <numFmt numFmtId="263" formatCode="_-[$€-2]* #,##0.00_-;\-[$€-2]* #,##0.00_-;_-[$€-2]* &quot;-&quot;??_-"/>
    <numFmt numFmtId="264" formatCode="&quot;€&quot;* #,##0_)&quot;bn&quot;;&quot;€&quot;* \ \(#,##0\)&quot;bn&quot;"/>
    <numFmt numFmtId="265" formatCode="&quot;€&quot;* #,##0_)&quot;Mio.&quot;;&quot;€&quot;* \ \(#,##0\)&quot;Mio.&quot;"/>
    <numFmt numFmtId="266" formatCode="_-* #,##0.00\ [$€-1]_-;\-* #,##0.00\ [$€-1]_-;_-* &quot;-&quot;??\ [$€-1]_-"/>
    <numFmt numFmtId="267" formatCode="\ #,##0.0\x_);\(#,##0.0\x\)"/>
    <numFmt numFmtId="268" formatCode="\£* #,##0_);\£* \ \(#,##0\)"/>
    <numFmt numFmtId="269" formatCode="\£* #,##0_)&quot;Mio.&quot;;\£* \ \(#,##0\)&quot;Mio.&quot;"/>
    <numFmt numFmtId="270" formatCode="\ #,##0_)&quot;GW&quot;;\(#,##0\)&quot;GW&quot;"/>
    <numFmt numFmtId="271" formatCode="\ #,##0_)&quot;GWh&quot;;\(#,##0\)&quot;GWh&quot;"/>
    <numFmt numFmtId="272" formatCode="\(0\)"/>
    <numFmt numFmtId="273" formatCode="0.0%\ \ "/>
    <numFmt numFmtId="274" formatCode="0.00%;\(0.00%\)"/>
    <numFmt numFmtId="275" formatCode="#,##0.00;\(#,##0.00\)"/>
    <numFmt numFmtId="276" formatCode="#,##0.00\ \ "/>
    <numFmt numFmtId="277" formatCode="#,##0.000\ \ \ "/>
    <numFmt numFmtId="278" formatCode="#,##0;\(#,##0\);_(* &quot;-&quot;??_);_(@_)"/>
    <numFmt numFmtId="279" formatCode="#,##0_)&quot;km&quot;;\(#,###\)&quot;km&quot;"/>
    <numFmt numFmtId="280" formatCode="\ #,##0_)&quot;kW&quot;;\(#,##0\)&quot;kW&quot;"/>
    <numFmt numFmtId="281" formatCode="\ #,##0_)&quot;kWh&quot;;\(#,##0\)&quot;kWh&quot;"/>
    <numFmt numFmtId="282" formatCode="[=0]#;#,##0.0"/>
    <numFmt numFmtId="283" formatCode="#,##0_)&quot;m&quot;;\(#,###\)&quot;m&quot;"/>
    <numFmt numFmtId="284" formatCode="#,##0_)&quot;m²&quot;;\(#,###\)&quot;m²&quot;"/>
    <numFmt numFmtId="285" formatCode="#,##0_)&quot;m³&quot;;\(#,###\)&quot;m³&quot;"/>
    <numFmt numFmtId="286" formatCode="[Red]&quot;Too long&quot;;[Red]&quot;Mandatory field&quot;;&quot;OK&quot;"/>
    <numFmt numFmtId="287" formatCode="\ #,##0_)&quot;MW&quot;;\(#,##0\)&quot;MW&quot;"/>
    <numFmt numFmtId="288" formatCode="\ #,##0_)&quot;MWh&quot;;\(#,##0\)&quot;MWh&quot;"/>
    <numFmt numFmtId="289" formatCode="\ ###0_);\(###0\)"/>
    <numFmt numFmtId="290" formatCode="\ #,##0.00_);\(#,##0.00\)"/>
    <numFmt numFmtId="291" formatCode="0.000"/>
    <numFmt numFmtId="292" formatCode="#,##0_)%;\(#,##0\)%"/>
    <numFmt numFmtId="293" formatCode="0%;\(0%\)"/>
    <numFmt numFmtId="294" formatCode="0%\ \ "/>
    <numFmt numFmtId="295" formatCode="0.0&quot;x&quot;;@_)"/>
    <numFmt numFmtId="296" formatCode="\ \ @"/>
    <numFmt numFmtId="297" formatCode="\ \ \ \ @"/>
    <numFmt numFmtId="298" formatCode="hh:mm\ &quot;Uhr&quot;"/>
    <numFmt numFmtId="299" formatCode="\ #,##0_)&quot;TWh&quot;;\(#,##0\)&quot;TWh&quot;"/>
    <numFmt numFmtId="300" formatCode="\$* #,##0.00_);\$* \ \(#,##0.00\)"/>
    <numFmt numFmtId="301" formatCode="\$* #,##0_)&quot;Mio.&quot;;\$* \ \(#,##0\)&quot;Mio.&quot;"/>
    <numFmt numFmtId="302" formatCode="#,##0\ &quot;DM&quot;;[Red]\-#,##0\ &quot;DM&quot;"/>
    <numFmt numFmtId="303" formatCode="#,##0.00\ &quot;DM&quot;;[Red]\-#,##0.00\ &quot;DM&quot;"/>
    <numFmt numFmtId="304" formatCode="General&quot;a&quot;"/>
    <numFmt numFmtId="305" formatCode="General&quot;e&quot;"/>
    <numFmt numFmtId="306" formatCode="&quot;¥&quot;* #,##0_);&quot;¥&quot;* \ \(#,##0\)"/>
    <numFmt numFmtId="307" formatCode="&quot;¥&quot;* #,##0_)&quot;Mio.&quot;;&quot;¥&quot;* \ \(#,##0\)&quot;Mio.&quot;"/>
  </numFmts>
  <fonts count="25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FF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2"/>
      <name val="Times New Roman"/>
      <family val="1"/>
    </font>
    <font>
      <b/>
      <sz val="11"/>
      <name val="Arial"/>
      <family val="2"/>
    </font>
    <font>
      <sz val="10"/>
      <name val="KPN Arial"/>
    </font>
    <font>
      <b/>
      <i/>
      <sz val="10"/>
      <name val="Arial"/>
      <family val="2"/>
    </font>
    <font>
      <i/>
      <sz val="10"/>
      <color rgb="FF0000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sz val="10"/>
      <color indexed="17"/>
      <name val="Arial"/>
      <family val="2"/>
    </font>
    <font>
      <sz val="14"/>
      <color rgb="FF00B0F0"/>
      <name val="Arial"/>
      <family val="2"/>
    </font>
    <font>
      <b/>
      <sz val="14"/>
      <color rgb="FFFF0000"/>
      <name val="Arial"/>
      <family val="2"/>
    </font>
    <font>
      <b/>
      <sz val="10"/>
      <color indexed="17"/>
      <name val="Arial"/>
      <family val="2"/>
    </font>
    <font>
      <sz val="14"/>
      <color indexed="49"/>
      <name val="Arial"/>
      <family val="2"/>
    </font>
    <font>
      <sz val="14"/>
      <name val="Arial"/>
      <family val="2"/>
    </font>
    <font>
      <sz val="10"/>
      <color indexed="49"/>
      <name val="Arial"/>
      <family val="2"/>
    </font>
    <font>
      <sz val="10"/>
      <color indexed="12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2"/>
      <name val="Times New Roman"/>
      <family val="1"/>
    </font>
    <font>
      <sz val="10"/>
      <name val="Geneva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Helv"/>
    </font>
    <font>
      <sz val="8"/>
      <name val="KPN Arial"/>
      <family val="2"/>
    </font>
    <font>
      <sz val="10"/>
      <name val="MS Sans Serif"/>
      <family val="2"/>
    </font>
    <font>
      <sz val="8"/>
      <color indexed="12"/>
      <name val="KPN Arial"/>
      <family val="2"/>
    </font>
    <font>
      <sz val="8"/>
      <name val="Times New Roman"/>
      <family val="1"/>
    </font>
    <font>
      <b/>
      <i/>
      <sz val="11"/>
      <name val="Arial"/>
      <family val="2"/>
    </font>
    <font>
      <sz val="8"/>
      <name val="Palatino"/>
      <family val="1"/>
    </font>
    <font>
      <sz val="10"/>
      <color indexed="16"/>
      <name val="MS Sans Serif"/>
      <family val="2"/>
    </font>
    <font>
      <sz val="18"/>
      <name val="Courier New"/>
      <family val="3"/>
    </font>
    <font>
      <sz val="7"/>
      <color indexed="10"/>
      <name val="Helvetica"/>
      <family val="2"/>
    </font>
    <font>
      <b/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9"/>
      <name val="Tms Rmn"/>
    </font>
    <font>
      <sz val="10"/>
      <name val="MS Serif"/>
      <family val="1"/>
    </font>
    <font>
      <sz val="12"/>
      <name val="Courier New"/>
      <family val="3"/>
    </font>
    <font>
      <sz val="7"/>
      <name val="MS Sans Serif"/>
      <family val="2"/>
    </font>
    <font>
      <sz val="10"/>
      <color indexed="16"/>
      <name val="MS Serif"/>
      <family val="1"/>
    </font>
    <font>
      <u/>
      <sz val="10"/>
      <color indexed="36"/>
      <name val="Arial"/>
      <family val="2"/>
    </font>
    <font>
      <sz val="7"/>
      <name val="Palatino"/>
      <family val="1"/>
    </font>
    <font>
      <sz val="6"/>
      <color indexed="16"/>
      <name val="Palatino"/>
      <family val="1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8"/>
      <color indexed="17"/>
      <name val="Helvetica"/>
      <family val="2"/>
    </font>
    <font>
      <sz val="12"/>
      <name val="Helv"/>
    </font>
    <font>
      <sz val="9"/>
      <name val="Arial"/>
      <family val="2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25"/>
      <name val="Helvetica"/>
      <family val="2"/>
    </font>
    <font>
      <sz val="12"/>
      <color indexed="9"/>
      <name val="Helv"/>
    </font>
    <font>
      <i/>
      <sz val="9"/>
      <color indexed="16"/>
      <name val="Arial"/>
      <family val="2"/>
    </font>
    <font>
      <sz val="7"/>
      <name val="Small Fonts"/>
      <family val="2"/>
    </font>
    <font>
      <sz val="10"/>
      <name val="Times New Roman"/>
      <family val="1"/>
    </font>
    <font>
      <sz val="10"/>
      <color theme="1"/>
      <name val="Arial"/>
      <family val="2"/>
    </font>
    <font>
      <sz val="10"/>
      <name val="Arial MT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sz val="11"/>
      <color indexed="16"/>
      <name val="Times New Roman"/>
      <family val="1"/>
    </font>
    <font>
      <b/>
      <sz val="16"/>
      <color indexed="13"/>
      <name val="Arial"/>
      <family val="2"/>
    </font>
    <font>
      <sz val="10"/>
      <name val="Arial"/>
      <family val="2"/>
      <charset val="177"/>
    </font>
    <font>
      <sz val="10"/>
      <color indexed="16"/>
      <name val="Helvetica-Black"/>
    </font>
    <font>
      <sz val="10"/>
      <name val="Courier New"/>
      <family val="3"/>
    </font>
    <font>
      <sz val="10"/>
      <color indexed="18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b/>
      <sz val="12"/>
      <color indexed="8"/>
      <name val="Arial"/>
      <family val="2"/>
    </font>
    <font>
      <sz val="8"/>
      <name val="Helv"/>
    </font>
    <font>
      <sz val="8"/>
      <color indexed="8"/>
      <name val="Arial"/>
      <family val="2"/>
    </font>
    <font>
      <sz val="8"/>
      <color indexed="12"/>
      <name val="Arial"/>
      <family val="2"/>
    </font>
    <font>
      <b/>
      <i/>
      <sz val="12"/>
      <name val="Arial"/>
      <family val="2"/>
    </font>
    <font>
      <b/>
      <i/>
      <sz val="24"/>
      <name val="Times New Roman"/>
      <family val="1"/>
    </font>
    <font>
      <sz val="8"/>
      <name val="MS Sans Serif"/>
      <family val="2"/>
    </font>
    <font>
      <b/>
      <sz val="8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6"/>
      <color indexed="62"/>
      <name val="Arial"/>
      <family val="2"/>
    </font>
    <font>
      <sz val="8"/>
      <color indexed="8"/>
      <name val="Wingdings"/>
      <charset val="2"/>
    </font>
    <font>
      <b/>
      <i/>
      <sz val="8"/>
      <name val="Helv"/>
    </font>
    <font>
      <sz val="11"/>
      <color rgb="FF00B0F0"/>
      <name val="Arial"/>
      <family val="2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i/>
      <sz val="10"/>
      <name val="Arial"/>
      <family val="2"/>
    </font>
    <font>
      <sz val="11"/>
      <color theme="3" tint="-0.249977111117893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color indexed="10"/>
      <name val="Arial"/>
      <family val="2"/>
    </font>
    <font>
      <sz val="10"/>
      <color indexed="48"/>
      <name val="Arial"/>
      <family val="2"/>
    </font>
    <font>
      <b/>
      <sz val="9"/>
      <color indexed="81"/>
      <name val="Tahoma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sz val="18"/>
      <name val="Helvetica-Black"/>
    </font>
    <font>
      <i/>
      <sz val="14"/>
      <name val="Palatino"/>
      <family val="1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KPN Sans"/>
      <family val="2"/>
    </font>
    <font>
      <b/>
      <sz val="6"/>
      <name val="Times New Roman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color indexed="10"/>
      <name val="Arial"/>
      <family val="2"/>
    </font>
    <font>
      <sz val="10"/>
      <color theme="0"/>
      <name val="Arial"/>
      <family val="2"/>
    </font>
    <font>
      <i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trike/>
      <sz val="10"/>
      <color rgb="FF0000FF"/>
      <name val="Arial"/>
      <family val="2"/>
    </font>
    <font>
      <strike/>
      <sz val="10"/>
      <color indexed="12"/>
      <name val="Arial"/>
      <family val="2"/>
    </font>
    <font>
      <strike/>
      <sz val="10"/>
      <name val="Arial"/>
      <family val="2"/>
    </font>
    <font>
      <sz val="12"/>
      <name val="Times New Roman"/>
      <family val="1"/>
    </font>
    <font>
      <b/>
      <sz val="24"/>
      <name val="KPN Arial"/>
      <family val="2"/>
    </font>
    <font>
      <sz val="12"/>
      <name val="KPN Arial"/>
      <family val="2"/>
    </font>
    <font>
      <b/>
      <sz val="12"/>
      <name val="KPN Arial"/>
      <family val="2"/>
    </font>
    <font>
      <b/>
      <sz val="10"/>
      <name val="KPN Arial"/>
    </font>
    <font>
      <sz val="10"/>
      <name val="KPN Arial"/>
      <family val="2"/>
    </font>
    <font>
      <b/>
      <sz val="12"/>
      <name val="KPN Arial"/>
    </font>
    <font>
      <i/>
      <sz val="12"/>
      <name val="KPN Arial"/>
    </font>
    <font>
      <sz val="12"/>
      <name val="KPN Arial"/>
    </font>
    <font>
      <sz val="10"/>
      <color indexed="55"/>
      <name val="KPN Arial"/>
      <family val="2"/>
    </font>
    <font>
      <b/>
      <sz val="12"/>
      <color theme="1"/>
      <name val="KPN Arial"/>
      <family val="2"/>
    </font>
    <font>
      <b/>
      <sz val="11"/>
      <color theme="1"/>
      <name val="KPN Arial"/>
      <family val="2"/>
    </font>
    <font>
      <sz val="12"/>
      <color theme="1"/>
      <name val="KPN Arial"/>
    </font>
    <font>
      <sz val="11"/>
      <color theme="1"/>
      <name val="KPN Arial"/>
      <family val="2"/>
    </font>
    <font>
      <sz val="11"/>
      <name val="KPN Arial"/>
      <family val="2"/>
    </font>
    <font>
      <sz val="11"/>
      <name val="KPN Arial"/>
    </font>
    <font>
      <sz val="11"/>
      <color theme="1"/>
      <name val="Arial"/>
      <family val="2"/>
    </font>
    <font>
      <b/>
      <sz val="10"/>
      <name val="KPN Arial"/>
      <family val="2"/>
    </font>
    <font>
      <sz val="11"/>
      <color indexed="55"/>
      <name val="KPN Arial"/>
    </font>
    <font>
      <b/>
      <i/>
      <sz val="11"/>
      <color theme="1"/>
      <name val="Calibri"/>
      <family val="2"/>
      <scheme val="minor"/>
    </font>
    <font>
      <b/>
      <sz val="10"/>
      <color theme="1"/>
      <name val="KPN Sans"/>
      <family val="2"/>
    </font>
    <font>
      <b/>
      <sz val="9"/>
      <color theme="1"/>
      <name val="KPN Sans"/>
      <family val="2"/>
    </font>
    <font>
      <sz val="9"/>
      <color theme="1"/>
      <name val="KPN Sans"/>
      <family val="2"/>
    </font>
    <font>
      <sz val="9"/>
      <color rgb="FF000000"/>
      <name val="KPN Sans"/>
      <family val="2"/>
    </font>
    <font>
      <sz val="10"/>
      <color rgb="FF000000"/>
      <name val="Arial"/>
      <family val="2"/>
    </font>
    <font>
      <sz val="9"/>
      <color indexed="81"/>
      <name val="Tahoma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  <scheme val="minor"/>
    </font>
    <font>
      <sz val="10"/>
      <color rgb="FF9933FF"/>
      <name val="Arial"/>
      <family val="2"/>
    </font>
    <font>
      <sz val="12"/>
      <color rgb="FF9933FF"/>
      <name val="Arial"/>
      <family val="2"/>
    </font>
    <font>
      <sz val="10"/>
      <color indexed="8"/>
      <name val="Times New Roman"/>
      <family val="1"/>
    </font>
    <font>
      <sz val="10"/>
      <name val="Helv"/>
      <charset val="204"/>
    </font>
    <font>
      <sz val="10"/>
      <name val="Verdana"/>
      <family val="2"/>
    </font>
    <font>
      <sz val="10"/>
      <name val="Geneva"/>
      <family val="2"/>
    </font>
    <font>
      <sz val="10"/>
      <name val="Helv"/>
      <family val="2"/>
    </font>
    <font>
      <sz val="8"/>
      <name val="Antique Olive"/>
      <family val="2"/>
    </font>
    <font>
      <sz val="8"/>
      <name val="Geneva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9"/>
      <name val="Times New Roman"/>
      <family val="1"/>
    </font>
    <font>
      <sz val="11"/>
      <color indexed="37"/>
      <name val="Calibri"/>
      <family val="2"/>
    </font>
    <font>
      <sz val="10"/>
      <color indexed="20"/>
      <name val="Calibri"/>
      <family val="2"/>
    </font>
    <font>
      <sz val="9"/>
      <name val="Univers"/>
      <family val="2"/>
    </font>
    <font>
      <b/>
      <sz val="11"/>
      <color indexed="17"/>
      <name val="Calibri"/>
      <family val="2"/>
    </font>
    <font>
      <b/>
      <sz val="10"/>
      <name val="Helv"/>
    </font>
    <font>
      <b/>
      <sz val="8"/>
      <color indexed="8"/>
      <name val="Verdana"/>
      <family val="2"/>
    </font>
    <font>
      <sz val="10"/>
      <name val="Calibri"/>
      <family val="2"/>
    </font>
    <font>
      <b/>
      <sz val="10"/>
      <name val="Times New Roman"/>
      <family val="1"/>
    </font>
    <font>
      <sz val="11"/>
      <name val="Tms Rmn"/>
    </font>
    <font>
      <sz val="1"/>
      <color indexed="16"/>
      <name val="Courier"/>
      <family val="3"/>
    </font>
    <font>
      <sz val="12"/>
      <color indexed="8"/>
      <name val="Arial"/>
      <family val="2"/>
    </font>
    <font>
      <b/>
      <sz val="12"/>
      <name val="Helv"/>
    </font>
    <font>
      <sz val="9"/>
      <color indexed="8"/>
      <name val="Arial"/>
      <family val="2"/>
    </font>
    <font>
      <sz val="10"/>
      <color indexed="47"/>
      <name val="Arial"/>
      <family val="2"/>
    </font>
    <font>
      <sz val="10"/>
      <name val="DKBRHelvetica"/>
      <family val="2"/>
    </font>
    <font>
      <sz val="8"/>
      <color indexed="47"/>
      <name val="Arial"/>
      <family val="2"/>
    </font>
    <font>
      <sz val="10"/>
      <color indexed="18"/>
      <name val="Arial"/>
      <family val="2"/>
    </font>
    <font>
      <i/>
      <sz val="8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0"/>
      <color indexed="31"/>
      <name val="Arial"/>
      <family val="2"/>
    </font>
    <font>
      <b/>
      <sz val="12"/>
      <name val="Frutiger 55 Roman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6"/>
      <color indexed="12"/>
      <name val="Arial"/>
      <family val="2"/>
    </font>
    <font>
      <sz val="9"/>
      <color indexed="12"/>
      <name val="Arial"/>
      <family val="2"/>
    </font>
    <font>
      <sz val="10"/>
      <color indexed="18"/>
      <name val="Palatino"/>
    </font>
    <font>
      <b/>
      <sz val="10"/>
      <color indexed="12"/>
      <name val="Arial"/>
      <family val="2"/>
    </font>
    <font>
      <i/>
      <sz val="9"/>
      <color indexed="12"/>
      <name val="Arial"/>
      <family val="2"/>
    </font>
    <font>
      <sz val="9"/>
      <color indexed="12"/>
      <name val="Frutiger 55 Roman"/>
    </font>
    <font>
      <b/>
      <sz val="10"/>
      <color indexed="10"/>
      <name val="Arial"/>
      <family val="2"/>
    </font>
    <font>
      <i/>
      <sz val="9"/>
      <color indexed="10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i/>
      <sz val="9"/>
      <color indexed="11"/>
      <name val="Arial"/>
      <family val="2"/>
    </font>
    <font>
      <b/>
      <sz val="11"/>
      <name val="Helv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Palatino"/>
    </font>
    <font>
      <sz val="11"/>
      <color indexed="8"/>
      <name val="Trebuchet MS"/>
      <family val="2"/>
    </font>
    <font>
      <sz val="10"/>
      <name val="Arial "/>
    </font>
    <font>
      <sz val="10"/>
      <name val="Arial CE"/>
      <charset val="238"/>
    </font>
    <font>
      <i/>
      <sz val="10"/>
      <name val="Helv"/>
    </font>
    <font>
      <sz val="8"/>
      <color indexed="55"/>
      <name val="Arial"/>
      <family val="2"/>
    </font>
    <font>
      <sz val="8"/>
      <name val="Tahoma"/>
      <family val="2"/>
    </font>
    <font>
      <b/>
      <sz val="10"/>
      <color indexed="63"/>
      <name val="Arial"/>
      <family val="2"/>
    </font>
    <font>
      <i/>
      <sz val="9"/>
      <name val="Arial"/>
      <family val="2"/>
    </font>
    <font>
      <sz val="24"/>
      <name val="Arial Narrow"/>
      <family val="2"/>
    </font>
    <font>
      <b/>
      <i/>
      <sz val="10"/>
      <color indexed="48"/>
      <name val="Arial"/>
      <family val="2"/>
    </font>
    <font>
      <sz val="9"/>
      <color indexed="8"/>
      <name val="Frutiger 55 Roman"/>
    </font>
    <font>
      <b/>
      <sz val="10"/>
      <name val="MS Sans Serif"/>
      <family val="2"/>
    </font>
    <font>
      <sz val="8"/>
      <color indexed="60"/>
      <name val="Trebuchet MS"/>
      <family val="2"/>
    </font>
    <font>
      <i/>
      <sz val="8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b/>
      <sz val="16"/>
      <color indexed="23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6"/>
      <color indexed="9"/>
      <name val="Arial"/>
      <family val="2"/>
    </font>
    <font>
      <b/>
      <sz val="14"/>
      <color indexed="32"/>
      <name val="Arial"/>
      <family val="2"/>
    </font>
    <font>
      <b/>
      <sz val="14"/>
      <name val="Arial"/>
      <family val="2"/>
    </font>
    <font>
      <b/>
      <sz val="18"/>
      <color indexed="8"/>
      <name val="Frutiger 55 Roman"/>
    </font>
    <font>
      <b/>
      <sz val="11"/>
      <name val="Frutiger 55 Roman"/>
    </font>
    <font>
      <b/>
      <sz val="9"/>
      <color indexed="8"/>
      <name val="Frutiger 55 Roman"/>
    </font>
    <font>
      <i/>
      <sz val="9"/>
      <color indexed="8"/>
      <name val="Frutiger 55 Roman"/>
    </font>
    <font>
      <sz val="11"/>
      <color indexed="14"/>
      <name val="Calibri"/>
      <family val="2"/>
    </font>
    <font>
      <b/>
      <sz val="12"/>
      <name val="MS Sans Serif"/>
      <family val="2"/>
    </font>
    <font>
      <sz val="11"/>
      <name val="ＭＳ Ｐゴシック"/>
      <family val="2"/>
      <charset val="128"/>
    </font>
    <font>
      <i/>
      <sz val="10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10"/>
      <color theme="0"/>
      <name val="KPN Sans"/>
      <family val="2"/>
    </font>
    <font>
      <sz val="9"/>
      <color theme="0"/>
      <name val="KPN Sans"/>
      <family val="2"/>
    </font>
  </fonts>
  <fills count="131">
    <fill>
      <patternFill patternType="none"/>
    </fill>
    <fill>
      <patternFill patternType="gray125"/>
    </fill>
    <fill>
      <patternFill patternType="solid">
        <fgColor rgb="FF99CC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1F497D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darkVertical"/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31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1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4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5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gray0625">
        <fgColor indexed="15"/>
      </patternFill>
    </fill>
    <fill>
      <patternFill patternType="solid">
        <fgColor indexed="18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15"/>
      </patternFill>
    </fill>
    <fill>
      <patternFill patternType="gray125">
        <fgColor indexed="13"/>
      </patternFill>
    </fill>
    <fill>
      <patternFill patternType="solid">
        <fgColor indexed="51"/>
        <bgColor indexed="64"/>
      </patternFill>
    </fill>
    <fill>
      <patternFill patternType="mediumGray">
        <fgColor indexed="22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20"/>
      </patternFill>
    </fill>
    <fill>
      <patternFill patternType="solid">
        <fgColor indexed="3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rgb="FF000000"/>
      </patternFill>
    </fill>
    <fill>
      <patternFill patternType="solid">
        <fgColor theme="9" tint="0.39997558519241921"/>
        <bgColor indexed="64"/>
      </patternFill>
    </fill>
  </fills>
  <borders count="1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B0F0"/>
      </bottom>
      <diagonal/>
    </border>
    <border>
      <left style="thin">
        <color indexed="50"/>
      </left>
      <right style="thin">
        <color indexed="50"/>
      </right>
      <top style="thin">
        <color indexed="50"/>
      </top>
      <bottom style="thin">
        <color indexed="5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4659260841701"/>
      </left>
      <right/>
      <top/>
      <bottom/>
      <diagonal/>
    </border>
    <border>
      <left style="medium">
        <color auto="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auto="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medium">
        <color indexed="64"/>
      </right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/>
      <top style="thin">
        <color theme="0" tint="-0.24994659260841701"/>
      </top>
      <bottom style="medium">
        <color indexed="64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indexed="64"/>
      </bottom>
      <diagonal/>
    </border>
    <border>
      <left style="dashed">
        <color indexed="63"/>
      </left>
      <right style="dashed">
        <color indexed="63"/>
      </right>
      <top style="dashed">
        <color indexed="63"/>
      </top>
      <bottom style="dashed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9"/>
      </left>
      <right/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45"/>
      </bottom>
      <diagonal/>
    </border>
    <border>
      <left style="dotted">
        <color indexed="28"/>
      </left>
      <right style="dotted">
        <color indexed="28"/>
      </right>
      <top style="dotted">
        <color indexed="28"/>
      </top>
      <bottom style="dotted">
        <color indexed="2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55"/>
      </left>
      <right style="dashed">
        <color indexed="55"/>
      </right>
      <top style="dashed">
        <color indexed="55"/>
      </top>
      <bottom style="dashed">
        <color indexed="55"/>
      </bottom>
      <diagonal/>
    </border>
    <border>
      <left/>
      <right/>
      <top/>
      <bottom style="thick">
        <color indexed="48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indexed="28"/>
      </left>
      <right style="dashed">
        <color indexed="28"/>
      </right>
      <top style="dashed">
        <color indexed="28"/>
      </top>
      <bottom style="dashed">
        <color indexed="28"/>
      </bottom>
      <diagonal/>
    </border>
    <border>
      <left/>
      <right/>
      <top/>
      <bottom style="double">
        <color indexed="17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10"/>
      </left>
      <right style="dotted">
        <color indexed="10"/>
      </right>
      <top style="dotted">
        <color indexed="10"/>
      </top>
      <bottom style="dotted">
        <color indexed="10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ck">
        <color indexed="59"/>
      </left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3996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0" fillId="0" borderId="0"/>
    <xf numFmtId="166" fontId="10" fillId="0" borderId="0" applyFont="0" applyFill="0" applyBorder="0" applyAlignment="0" applyProtection="0"/>
    <xf numFmtId="0" fontId="3" fillId="0" borderId="0" applyBorder="0"/>
    <xf numFmtId="0" fontId="3" fillId="0" borderId="0"/>
    <xf numFmtId="0" fontId="3" fillId="0" borderId="0" applyBorder="0"/>
    <xf numFmtId="0" fontId="29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3" fontId="3" fillId="0" borderId="0"/>
    <xf numFmtId="3" fontId="3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1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29" fillId="0" borderId="0"/>
    <xf numFmtId="0" fontId="29" fillId="0" borderId="0"/>
    <xf numFmtId="0" fontId="31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10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29" fillId="0" borderId="0"/>
    <xf numFmtId="0" fontId="29" fillId="0" borderId="0"/>
    <xf numFmtId="0" fontId="31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38" fontId="34" fillId="0" borderId="0" applyFont="0" applyFill="0" applyBorder="0" applyAlignment="0" applyProtection="0"/>
    <xf numFmtId="0" fontId="10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5" fillId="0" borderId="0" applyFill="0" applyBorder="0" applyProtection="0">
      <alignment vertical="center"/>
    </xf>
    <xf numFmtId="0" fontId="35" fillId="0" borderId="0" applyFill="0" applyBorder="0" applyProtection="0">
      <alignment vertical="center"/>
    </xf>
    <xf numFmtId="0" fontId="35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2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29" fillId="0" borderId="0"/>
    <xf numFmtId="0" fontId="31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20" borderId="0"/>
    <xf numFmtId="0" fontId="3" fillId="2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3" fontId="3" fillId="0" borderId="0"/>
    <xf numFmtId="3" fontId="3" fillId="0" borderId="0"/>
    <xf numFmtId="0" fontId="35" fillId="0" borderId="0" applyFill="0" applyBorder="0" applyProtection="0">
      <alignment vertical="center"/>
    </xf>
    <xf numFmtId="3" fontId="3" fillId="0" borderId="0"/>
    <xf numFmtId="3" fontId="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2" fillId="0" borderId="0">
      <protection locked="0"/>
    </xf>
    <xf numFmtId="0" fontId="36" fillId="0" borderId="0">
      <alignment horizontal="center" wrapText="1"/>
      <protection locked="0"/>
    </xf>
    <xf numFmtId="0" fontId="37" fillId="0" borderId="0"/>
    <xf numFmtId="170" fontId="38" fillId="0" borderId="0"/>
    <xf numFmtId="0" fontId="30" fillId="0" borderId="0"/>
    <xf numFmtId="171" fontId="31" fillId="0" borderId="0" applyFill="0" applyBorder="0" applyAlignment="0"/>
    <xf numFmtId="3" fontId="39" fillId="0" borderId="0" applyFill="0" applyBorder="0" applyProtection="0"/>
    <xf numFmtId="2" fontId="40" fillId="21" borderId="13">
      <alignment horizontal="left" vertical="center"/>
    </xf>
    <xf numFmtId="172" fontId="41" fillId="0" borderId="0"/>
    <xf numFmtId="0" fontId="42" fillId="15" borderId="0" applyNumberFormat="0">
      <alignment horizontal="center" vertical="top" wrapText="1"/>
    </xf>
    <xf numFmtId="0" fontId="43" fillId="22" borderId="0">
      <alignment horizontal="left"/>
    </xf>
    <xf numFmtId="0" fontId="44" fillId="22" borderId="0">
      <alignment horizontal="right"/>
    </xf>
    <xf numFmtId="0" fontId="45" fillId="23" borderId="0">
      <alignment horizontal="center"/>
    </xf>
    <xf numFmtId="0" fontId="44" fillId="22" borderId="0">
      <alignment horizontal="right"/>
    </xf>
    <xf numFmtId="0" fontId="46" fillId="23" borderId="0">
      <alignment horizontal="left"/>
    </xf>
    <xf numFmtId="173" fontId="38" fillId="0" borderId="0" applyFont="0" applyFill="0" applyBorder="0" applyAlignment="0" applyProtection="0">
      <alignment horizontal="right"/>
    </xf>
    <xf numFmtId="174" fontId="38" fillId="0" borderId="0" applyFont="0" applyFill="0" applyBorder="0" applyAlignment="0" applyProtection="0"/>
    <xf numFmtId="0" fontId="38" fillId="0" borderId="0" applyFont="0" applyFill="0" applyBorder="0" applyAlignment="0" applyProtection="0">
      <alignment horizontal="right"/>
    </xf>
    <xf numFmtId="175" fontId="38" fillId="0" borderId="0" applyFont="0" applyFill="0" applyBorder="0" applyAlignment="0" applyProtection="0">
      <alignment horizontal="right"/>
    </xf>
    <xf numFmtId="167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47" fillId="0" borderId="14" applyNumberFormat="0" applyBorder="0" applyAlignment="0">
      <alignment horizontal="center"/>
    </xf>
    <xf numFmtId="0" fontId="48" fillId="0" borderId="0" applyNumberFormat="0" applyAlignment="0">
      <alignment horizontal="left"/>
    </xf>
    <xf numFmtId="176" fontId="38" fillId="0" borderId="0" applyFont="0" applyFill="0" applyBorder="0" applyAlignment="0" applyProtection="0">
      <alignment horizontal="right"/>
    </xf>
    <xf numFmtId="177" fontId="38" fillId="0" borderId="0" applyFont="0" applyFill="0" applyBorder="0" applyAlignment="0" applyProtection="0">
      <alignment horizontal="right"/>
    </xf>
    <xf numFmtId="166" fontId="10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178" fontId="30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0" fontId="3" fillId="0" borderId="0" applyNumberFormat="0" applyFont="0" applyBorder="0" applyProtection="0">
      <alignment vertical="top"/>
      <protection locked="0"/>
    </xf>
    <xf numFmtId="179" fontId="38" fillId="0" borderId="0" applyFont="0" applyFill="0" applyBorder="0" applyAlignment="0" applyProtection="0"/>
    <xf numFmtId="180" fontId="49" fillId="0" borderId="3">
      <alignment vertical="center" wrapText="1"/>
    </xf>
    <xf numFmtId="14" fontId="50" fillId="0" borderId="0" applyFont="0" applyFill="0" applyBorder="0" applyAlignment="0" applyProtection="0">
      <alignment vertical="center"/>
    </xf>
    <xf numFmtId="0" fontId="3" fillId="24" borderId="3" applyNumberFormat="0" applyFont="0" applyBorder="0" applyAlignment="0" applyProtection="0">
      <alignment horizontal="left" vertical="center"/>
    </xf>
    <xf numFmtId="181" fontId="38" fillId="0" borderId="15" applyNumberFormat="0" applyFont="0" applyFill="0" applyAlignment="0" applyProtection="0"/>
    <xf numFmtId="0" fontId="51" fillId="0" borderId="0" applyNumberFormat="0" applyAlignment="0">
      <alignment horizontal="left"/>
    </xf>
    <xf numFmtId="166" fontId="3" fillId="0" borderId="0" applyFont="0" applyFill="0" applyBorder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Fill="0" applyBorder="0" applyProtection="0">
      <alignment horizontal="left"/>
    </xf>
    <xf numFmtId="182" fontId="35" fillId="24" borderId="3" applyFont="0" applyFill="0" applyBorder="0" applyAlignment="0" applyProtection="0">
      <alignment horizontal="right" vertical="center"/>
    </xf>
    <xf numFmtId="38" fontId="30" fillId="19" borderId="0" applyNumberFormat="0" applyBorder="0" applyAlignment="0" applyProtection="0"/>
    <xf numFmtId="183" fontId="38" fillId="0" borderId="0" applyFont="0" applyFill="0" applyBorder="0" applyAlignment="0" applyProtection="0">
      <alignment horizontal="right"/>
    </xf>
    <xf numFmtId="0" fontId="54" fillId="0" borderId="0" applyProtection="0">
      <alignment horizontal="right"/>
    </xf>
    <xf numFmtId="0" fontId="6" fillId="0" borderId="16" applyNumberFormat="0" applyAlignment="0" applyProtection="0">
      <alignment horizontal="left" vertical="center"/>
    </xf>
    <xf numFmtId="0" fontId="6" fillId="0" borderId="5">
      <alignment horizontal="left" vertical="center"/>
    </xf>
    <xf numFmtId="0" fontId="55" fillId="0" borderId="17">
      <alignment horizontal="center"/>
    </xf>
    <xf numFmtId="0" fontId="55" fillId="0" borderId="0">
      <alignment horizontal="center"/>
    </xf>
    <xf numFmtId="0" fontId="56" fillId="0" borderId="0" applyNumberFormat="0" applyBorder="0"/>
    <xf numFmtId="3" fontId="57" fillId="0" borderId="0"/>
    <xf numFmtId="10" fontId="30" fillId="25" borderId="3" applyNumberFormat="0" applyBorder="0" applyAlignment="0" applyProtection="0"/>
    <xf numFmtId="184" fontId="58" fillId="26" borderId="0"/>
    <xf numFmtId="185" fontId="59" fillId="27" borderId="18" applyNumberFormat="0" applyAlignment="0">
      <alignment vertical="center"/>
      <protection locked="0"/>
    </xf>
    <xf numFmtId="0" fontId="29" fillId="0" borderId="0"/>
    <xf numFmtId="167" fontId="10" fillId="0" borderId="0" applyFont="0" applyFill="0" applyBorder="0" applyAlignment="0" applyProtection="0"/>
    <xf numFmtId="167" fontId="60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2" fillId="0" borderId="0"/>
    <xf numFmtId="0" fontId="43" fillId="22" borderId="0">
      <alignment horizontal="left"/>
    </xf>
    <xf numFmtId="0" fontId="61" fillId="23" borderId="0">
      <alignment horizontal="left"/>
    </xf>
    <xf numFmtId="3" fontId="62" fillId="0" borderId="0"/>
    <xf numFmtId="184" fontId="63" fillId="22" borderId="0"/>
    <xf numFmtId="186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0" fontId="49" fillId="0" borderId="3" applyFill="0" applyBorder="0" applyProtection="0">
      <alignment vertical="center"/>
    </xf>
    <xf numFmtId="187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95" fontId="38" fillId="0" borderId="0" applyFont="0" applyFill="0" applyBorder="0" applyAlignment="0" applyProtection="0">
      <alignment horizontal="right"/>
    </xf>
    <xf numFmtId="0" fontId="64" fillId="0" borderId="0" applyNumberFormat="0" applyAlignment="0">
      <alignment vertical="center"/>
    </xf>
    <xf numFmtId="49" fontId="3" fillId="0" borderId="3"/>
    <xf numFmtId="0" fontId="49" fillId="28" borderId="3" applyNumberFormat="0" applyFont="0" applyBorder="0" applyAlignment="0" applyProtection="0">
      <alignment vertical="center"/>
    </xf>
    <xf numFmtId="37" fontId="65" fillId="0" borderId="0"/>
    <xf numFmtId="196" fontId="3" fillId="0" borderId="0"/>
    <xf numFmtId="196" fontId="3" fillId="0" borderId="0"/>
    <xf numFmtId="37" fontId="66" fillId="0" borderId="0" applyAlignment="0"/>
    <xf numFmtId="0" fontId="10" fillId="0" borderId="0"/>
    <xf numFmtId="0" fontId="1" fillId="0" borderId="0"/>
    <xf numFmtId="0" fontId="10" fillId="0" borderId="0"/>
    <xf numFmtId="0" fontId="3" fillId="0" borderId="0"/>
    <xf numFmtId="0" fontId="67" fillId="0" borderId="0"/>
    <xf numFmtId="0" fontId="67" fillId="0" borderId="0"/>
    <xf numFmtId="0" fontId="3" fillId="0" borderId="0" applyBorder="0"/>
    <xf numFmtId="37" fontId="36" fillId="0" borderId="0" applyNumberFormat="0" applyFill="0" applyAlignment="0"/>
    <xf numFmtId="0" fontId="1" fillId="16" borderId="9" applyNumberFormat="0" applyFont="0" applyAlignment="0" applyProtection="0"/>
    <xf numFmtId="4" fontId="68" fillId="0" borderId="11" applyNumberFormat="0" applyFont="0" applyFill="0" applyBorder="0" applyAlignment="0"/>
    <xf numFmtId="40" fontId="69" fillId="20" borderId="0">
      <alignment horizontal="right"/>
    </xf>
    <xf numFmtId="0" fontId="70" fillId="29" borderId="0">
      <alignment horizontal="center"/>
    </xf>
    <xf numFmtId="0" fontId="71" fillId="20" borderId="19"/>
    <xf numFmtId="0" fontId="21" fillId="23" borderId="0" applyBorder="0">
      <alignment horizontal="centerContinuous"/>
    </xf>
    <xf numFmtId="0" fontId="72" fillId="30" borderId="0" applyBorder="0">
      <alignment horizontal="centerContinuous"/>
    </xf>
    <xf numFmtId="0" fontId="73" fillId="0" borderId="3" applyFill="0" applyProtection="0">
      <alignment vertical="center" wrapText="1"/>
      <protection locked="0"/>
    </xf>
    <xf numFmtId="1" fontId="74" fillId="0" borderId="0" applyProtection="0">
      <alignment horizontal="right" vertical="center"/>
    </xf>
    <xf numFmtId="14" fontId="36" fillId="0" borderId="0">
      <alignment horizontal="center" wrapText="1"/>
      <protection locked="0"/>
    </xf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97" fontId="59" fillId="0" borderId="0" applyFont="0" applyFill="0" applyBorder="0" applyAlignment="0" applyProtection="0">
      <alignment vertical="center"/>
    </xf>
    <xf numFmtId="13" fontId="3" fillId="0" borderId="0" applyFont="0" applyFill="0" applyProtection="0"/>
    <xf numFmtId="0" fontId="75" fillId="15" borderId="3" applyNumberFormat="0" applyFont="0" applyBorder="0" applyAlignment="0" applyProtection="0">
      <alignment horizontal="center" vertical="center"/>
    </xf>
    <xf numFmtId="9" fontId="10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" fontId="76" fillId="0" borderId="0" applyFill="0" applyBorder="0" applyProtection="0"/>
    <xf numFmtId="0" fontId="77" fillId="31" borderId="0" applyNumberFormat="0" applyFont="0" applyBorder="0" applyAlignment="0">
      <alignment horizontal="center"/>
    </xf>
    <xf numFmtId="0" fontId="78" fillId="0" borderId="3" applyProtection="0">
      <alignment vertical="center"/>
    </xf>
    <xf numFmtId="0" fontId="75" fillId="0" borderId="3" applyFill="0" applyBorder="0" applyProtection="0">
      <alignment horizontal="left" vertical="center"/>
    </xf>
    <xf numFmtId="0" fontId="61" fillId="32" borderId="0">
      <alignment horizontal="center"/>
    </xf>
    <xf numFmtId="49" fontId="79" fillId="23" borderId="0">
      <alignment horizontal="center"/>
    </xf>
    <xf numFmtId="198" fontId="80" fillId="0" borderId="0" applyNumberFormat="0" applyFill="0" applyBorder="0" applyAlignment="0" applyProtection="0">
      <alignment horizontal="left"/>
    </xf>
    <xf numFmtId="0" fontId="44" fillId="22" borderId="0">
      <alignment horizontal="center"/>
    </xf>
    <xf numFmtId="0" fontId="44" fillId="22" borderId="0">
      <alignment horizontal="centerContinuous"/>
    </xf>
    <xf numFmtId="0" fontId="81" fillId="23" borderId="0">
      <alignment horizontal="left"/>
    </xf>
    <xf numFmtId="49" fontId="81" fillId="23" borderId="0">
      <alignment horizontal="center"/>
    </xf>
    <xf numFmtId="0" fontId="43" fillId="22" borderId="0">
      <alignment horizontal="left"/>
    </xf>
    <xf numFmtId="49" fontId="81" fillId="23" borderId="0">
      <alignment horizontal="left"/>
    </xf>
    <xf numFmtId="0" fontId="43" fillId="22" borderId="0">
      <alignment horizontal="centerContinuous"/>
    </xf>
    <xf numFmtId="0" fontId="43" fillId="22" borderId="0">
      <alignment horizontal="right"/>
    </xf>
    <xf numFmtId="49" fontId="61" fillId="23" borderId="0">
      <alignment horizontal="left"/>
    </xf>
    <xf numFmtId="0" fontId="44" fillId="22" borderId="0">
      <alignment horizontal="right"/>
    </xf>
    <xf numFmtId="0" fontId="3" fillId="0" borderId="0" applyNumberFormat="0" applyFill="0" applyBorder="0" applyAlignment="0" applyProtection="0"/>
    <xf numFmtId="0" fontId="81" fillId="33" borderId="0">
      <alignment horizontal="center"/>
    </xf>
    <xf numFmtId="0" fontId="82" fillId="33" borderId="0">
      <alignment horizontal="center"/>
    </xf>
    <xf numFmtId="0" fontId="83" fillId="34" borderId="20">
      <alignment vertical="center"/>
    </xf>
    <xf numFmtId="0" fontId="84" fillId="34" borderId="20" applyProtection="0">
      <alignment vertical="center"/>
    </xf>
    <xf numFmtId="0" fontId="77" fillId="1" borderId="5" applyNumberFormat="0" applyFont="0" applyAlignment="0">
      <alignment horizontal="center"/>
    </xf>
    <xf numFmtId="3" fontId="30" fillId="0" borderId="0"/>
    <xf numFmtId="0" fontId="85" fillId="0" borderId="0" applyNumberFormat="0" applyFill="0" applyBorder="0" applyAlignment="0">
      <alignment horizontal="center"/>
    </xf>
    <xf numFmtId="1" fontId="66" fillId="0" borderId="0" applyBorder="0">
      <alignment horizontal="left" vertical="top" wrapText="1"/>
    </xf>
    <xf numFmtId="0" fontId="3" fillId="0" borderId="0"/>
    <xf numFmtId="0" fontId="60" fillId="0" borderId="0"/>
    <xf numFmtId="0" fontId="1" fillId="0" borderId="0"/>
    <xf numFmtId="0" fontId="3" fillId="0" borderId="0"/>
    <xf numFmtId="184" fontId="66" fillId="23" borderId="0"/>
    <xf numFmtId="0" fontId="3" fillId="0" borderId="0"/>
    <xf numFmtId="0" fontId="32" fillId="0" borderId="0"/>
    <xf numFmtId="3" fontId="86" fillId="0" borderId="0" applyNumberFormat="0" applyFill="0" applyBorder="0" applyAlignment="0" applyProtection="0">
      <alignment vertical="center"/>
    </xf>
    <xf numFmtId="3" fontId="87" fillId="0" borderId="0" applyNumberFormat="0" applyAlignment="0">
      <alignment horizontal="right"/>
    </xf>
    <xf numFmtId="40" fontId="88" fillId="0" borderId="0" applyBorder="0">
      <alignment horizontal="right"/>
    </xf>
    <xf numFmtId="0" fontId="89" fillId="0" borderId="0" applyBorder="0" applyProtection="0">
      <alignment vertical="center"/>
    </xf>
    <xf numFmtId="181" fontId="89" fillId="0" borderId="1" applyBorder="0" applyProtection="0">
      <alignment horizontal="right" vertical="center"/>
    </xf>
    <xf numFmtId="0" fontId="90" fillId="35" borderId="0" applyBorder="0" applyProtection="0">
      <alignment horizontal="centerContinuous" vertical="center"/>
    </xf>
    <xf numFmtId="0" fontId="90" fillId="36" borderId="1" applyBorder="0" applyProtection="0">
      <alignment horizontal="centerContinuous" vertical="center"/>
    </xf>
    <xf numFmtId="3" fontId="42" fillId="0" borderId="0" applyNumberFormat="0"/>
    <xf numFmtId="0" fontId="91" fillId="0" borderId="0" applyFill="0" applyBorder="0" applyProtection="0">
      <alignment horizontal="left"/>
    </xf>
    <xf numFmtId="0" fontId="53" fillId="0" borderId="13" applyFill="0" applyBorder="0" applyProtection="0">
      <alignment horizontal="left"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0" fontId="35" fillId="0" borderId="3" applyProtection="0">
      <alignment horizontal="right" vertical="center"/>
    </xf>
    <xf numFmtId="3" fontId="92" fillId="0" borderId="0"/>
    <xf numFmtId="1" fontId="7" fillId="0" borderId="21" applyNumberFormat="0" applyProtection="0">
      <alignment horizontal="left" vertical="center"/>
    </xf>
    <xf numFmtId="0" fontId="42" fillId="0" borderId="5">
      <alignment horizontal="right" wrapText="1"/>
    </xf>
    <xf numFmtId="0" fontId="93" fillId="23" borderId="0">
      <alignment horizontal="center"/>
    </xf>
    <xf numFmtId="166" fontId="3" fillId="0" borderId="0" applyFont="0" applyFill="0" applyBorder="0" applyAlignment="0" applyProtection="0"/>
    <xf numFmtId="199" fontId="94" fillId="0" borderId="1" applyBorder="0" applyProtection="0">
      <alignment horizontal="right"/>
    </xf>
    <xf numFmtId="4" fontId="30" fillId="25" borderId="22"/>
    <xf numFmtId="0" fontId="3" fillId="0" borderId="0"/>
    <xf numFmtId="0" fontId="105" fillId="40" borderId="0" applyNumberFormat="0" applyBorder="0" applyAlignment="0" applyProtection="0"/>
    <xf numFmtId="0" fontId="106" fillId="41" borderId="40" applyNumberFormat="0" applyAlignment="0" applyProtection="0"/>
    <xf numFmtId="0" fontId="107" fillId="42" borderId="41" applyNumberFormat="0" applyAlignment="0" applyProtection="0"/>
    <xf numFmtId="167" fontId="3" fillId="0" borderId="0" applyFont="0" applyFill="0" applyBorder="0" applyAlignment="0" applyProtection="0"/>
    <xf numFmtId="0" fontId="108" fillId="0" borderId="0" applyNumberFormat="0" applyFill="0" applyBorder="0" applyAlignment="0" applyProtection="0"/>
    <xf numFmtId="0" fontId="109" fillId="43" borderId="0" applyNumberFormat="0" applyBorder="0" applyAlignment="0" applyProtection="0"/>
    <xf numFmtId="0" fontId="110" fillId="0" borderId="42" applyNumberFormat="0" applyFill="0" applyAlignment="0" applyProtection="0"/>
    <xf numFmtId="0" fontId="111" fillId="0" borderId="0" applyProtection="0">
      <alignment horizontal="left"/>
    </xf>
    <xf numFmtId="0" fontId="112" fillId="0" borderId="0" applyProtection="0">
      <alignment horizontal="left"/>
    </xf>
    <xf numFmtId="0" fontId="113" fillId="0" borderId="0" applyNumberFormat="0" applyFill="0" applyBorder="0" applyAlignment="0" applyProtection="0"/>
    <xf numFmtId="3" fontId="57" fillId="0" borderId="0"/>
    <xf numFmtId="0" fontId="114" fillId="0" borderId="43" applyNumberFormat="0" applyFill="0" applyAlignment="0" applyProtection="0"/>
    <xf numFmtId="0" fontId="115" fillId="32" borderId="0" applyNumberFormat="0" applyBorder="0" applyAlignment="0" applyProtection="0"/>
    <xf numFmtId="0" fontId="3" fillId="44" borderId="8" applyNumberFormat="0" applyFont="0" applyAlignment="0" applyProtection="0"/>
    <xf numFmtId="0" fontId="116" fillId="41" borderId="44" applyNumberFormat="0" applyAlignment="0" applyProtection="0"/>
    <xf numFmtId="3" fontId="7" fillId="0" borderId="0" applyNumberFormat="0" applyFill="0" applyBorder="0" applyAlignment="0" applyProtection="0">
      <alignment vertical="center"/>
    </xf>
    <xf numFmtId="204" fontId="118" fillId="0" borderId="1" applyFill="0" applyAlignment="0" applyProtection="0"/>
    <xf numFmtId="0" fontId="119" fillId="0" borderId="45" applyNumberFormat="0" applyFill="0" applyAlignment="0" applyProtection="0"/>
    <xf numFmtId="0" fontId="120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131" fillId="0" borderId="0"/>
    <xf numFmtId="212" fontId="12" fillId="0" borderId="0" applyFont="0" applyFill="0" applyBorder="0" applyAlignment="0" applyProtection="0"/>
    <xf numFmtId="214" fontId="117" fillId="0" borderId="0" applyFont="0" applyFill="0" applyBorder="0" applyAlignment="0" applyProtection="0"/>
    <xf numFmtId="0" fontId="117" fillId="0" borderId="0"/>
    <xf numFmtId="0" fontId="3" fillId="0" borderId="0"/>
    <xf numFmtId="166" fontId="3" fillId="0" borderId="0" applyFont="0" applyFill="0" applyBorder="0" applyAlignment="0" applyProtection="0"/>
    <xf numFmtId="0" fontId="3" fillId="0" borderId="0"/>
    <xf numFmtId="0" fontId="10" fillId="0" borderId="0"/>
    <xf numFmtId="0" fontId="10" fillId="0" borderId="0"/>
    <xf numFmtId="0" fontId="1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29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3" fillId="0" borderId="0"/>
    <xf numFmtId="0" fontId="3" fillId="0" borderId="0" applyBorder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29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2" fillId="0" borderId="0"/>
    <xf numFmtId="0" fontId="3" fillId="0" borderId="0" applyNumberForma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2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0" fillId="0" borderId="0"/>
    <xf numFmtId="0" fontId="10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0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2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29" fillId="0" borderId="0"/>
    <xf numFmtId="0" fontId="29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0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10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6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29" fillId="0" borderId="0"/>
    <xf numFmtId="3" fontId="3" fillId="0" borderId="0"/>
    <xf numFmtId="3" fontId="3" fillId="0" borderId="0"/>
    <xf numFmtId="0" fontId="31" fillId="0" borderId="0" applyNumberFormat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4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8" fillId="0" borderId="0" applyNumberFormat="0" applyFill="0" applyBorder="0" applyAlignment="0" applyProtection="0"/>
    <xf numFmtId="0" fontId="10" fillId="0" borderId="0"/>
    <xf numFmtId="0" fontId="29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2" fillId="0" borderId="0"/>
    <xf numFmtId="0" fontId="32" fillId="0" borderId="0"/>
    <xf numFmtId="0" fontId="32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2" fillId="0" borderId="0"/>
    <xf numFmtId="0" fontId="29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29" fillId="0" borderId="0"/>
    <xf numFmtId="0" fontId="32" fillId="0" borderId="0"/>
    <xf numFmtId="0" fontId="10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29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10" fillId="0" borderId="0"/>
    <xf numFmtId="0" fontId="3" fillId="0" borderId="0"/>
    <xf numFmtId="0" fontId="3" fillId="0" borderId="0"/>
    <xf numFmtId="0" fontId="3" fillId="0" borderId="0"/>
    <xf numFmtId="0" fontId="163" fillId="0" borderId="0"/>
    <xf numFmtId="0" fontId="3" fillId="0" borderId="0"/>
    <xf numFmtId="0" fontId="3" fillId="0" borderId="0" applyNumberForma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2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65" fillId="0" borderId="0"/>
    <xf numFmtId="0" fontId="165" fillId="0" borderId="0"/>
    <xf numFmtId="0" fontId="165" fillId="0" borderId="0"/>
    <xf numFmtId="0" fontId="165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0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2" fillId="0" borderId="0"/>
    <xf numFmtId="0" fontId="10" fillId="0" borderId="0"/>
    <xf numFmtId="0" fontId="10" fillId="0" borderId="0"/>
    <xf numFmtId="0" fontId="32" fillId="0" borderId="0"/>
    <xf numFmtId="0" fontId="166" fillId="0" borderId="0"/>
    <xf numFmtId="0" fontId="16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98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2" fillId="0" borderId="0"/>
    <xf numFmtId="0" fontId="29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1" fillId="0" borderId="0"/>
    <xf numFmtId="0" fontId="16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38" fontId="34" fillId="0" borderId="0" applyFont="0" applyFill="0" applyBorder="0" applyAlignment="0" applyProtection="0"/>
    <xf numFmtId="38" fontId="34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2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29" fillId="0" borderId="0"/>
    <xf numFmtId="0" fontId="29" fillId="0" borderId="0"/>
    <xf numFmtId="0" fontId="10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3" fillId="0" borderId="0"/>
    <xf numFmtId="0" fontId="16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6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3" fontId="59" fillId="0" borderId="0"/>
    <xf numFmtId="0" fontId="32" fillId="0" borderId="0"/>
    <xf numFmtId="0" fontId="31" fillId="0" borderId="0" applyNumberFormat="0" applyFont="0" applyFill="0" applyBorder="0" applyAlignment="0" applyProtection="0"/>
    <xf numFmtId="0" fontId="31" fillId="0" borderId="0" applyNumberFormat="0" applyFont="0" applyFill="0" applyBorder="0" applyAlignment="0" applyProtection="0"/>
    <xf numFmtId="0" fontId="3" fillId="20" borderId="0"/>
    <xf numFmtId="0" fontId="3" fillId="2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 applyNumberFormat="0" applyFill="0" applyBorder="0" applyAlignment="0" applyProtection="0"/>
    <xf numFmtId="0" fontId="10" fillId="0" borderId="0"/>
    <xf numFmtId="0" fontId="98" fillId="0" borderId="0" applyNumberFormat="0" applyFill="0" applyBorder="0" applyAlignment="0" applyProtection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3" fontId="3" fillId="0" borderId="0"/>
    <xf numFmtId="3" fontId="3" fillId="0" borderId="0"/>
    <xf numFmtId="0" fontId="10" fillId="0" borderId="0"/>
    <xf numFmtId="0" fontId="32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0" fillId="0" borderId="0"/>
    <xf numFmtId="0" fontId="10" fillId="0" borderId="0"/>
    <xf numFmtId="0" fontId="10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2" fillId="0" borderId="0"/>
    <xf numFmtId="0" fontId="10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2" fillId="0" borderId="0"/>
    <xf numFmtId="0" fontId="3" fillId="0" borderId="0"/>
    <xf numFmtId="0" fontId="32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22" fontId="5" fillId="0" borderId="0" applyFont="0" applyFill="0" applyBorder="0" applyAlignment="0">
      <protection hidden="1"/>
    </xf>
    <xf numFmtId="0" fontId="3" fillId="0" borderId="0"/>
    <xf numFmtId="0" fontId="3" fillId="0" borderId="0"/>
    <xf numFmtId="223" fontId="167" fillId="0" borderId="0">
      <alignment horizontal="left"/>
    </xf>
    <xf numFmtId="224" fontId="168" fillId="0" borderId="0">
      <alignment horizontal="left"/>
    </xf>
    <xf numFmtId="0" fontId="1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2" borderId="0" applyNumberFormat="0" applyBorder="0" applyAlignment="0" applyProtection="0"/>
    <xf numFmtId="0" fontId="1" fillId="54" borderId="0" applyNumberFormat="0" applyBorder="0" applyAlignment="0" applyProtection="0"/>
    <xf numFmtId="0" fontId="1" fillId="55" borderId="0" applyNumberFormat="0" applyBorder="0" applyAlignment="0" applyProtection="0"/>
    <xf numFmtId="0" fontId="1" fillId="5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1" borderId="0" applyNumberFormat="0" applyBorder="0" applyAlignment="0" applyProtection="0"/>
    <xf numFmtId="0" fontId="1" fillId="5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69" fillId="59" borderId="0" applyNumberFormat="0" applyBorder="0" applyAlignment="0" applyProtection="0"/>
    <xf numFmtId="0" fontId="1" fillId="56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59" fillId="60" borderId="0" applyNumberFormat="0" applyBorder="0" applyAlignment="0" applyProtection="0"/>
    <xf numFmtId="0" fontId="60" fillId="61" borderId="0" applyNumberFormat="0" applyBorder="0" applyAlignment="0" applyProtection="0"/>
    <xf numFmtId="0" fontId="60" fillId="62" borderId="0" applyNumberFormat="0" applyBorder="0" applyAlignment="0" applyProtection="0"/>
    <xf numFmtId="0" fontId="60" fillId="62" borderId="0" applyNumberFormat="0" applyBorder="0" applyAlignment="0" applyProtection="0"/>
    <xf numFmtId="0" fontId="60" fillId="63" borderId="0" applyNumberFormat="0" applyBorder="0" applyAlignment="0" applyProtection="0"/>
    <xf numFmtId="0" fontId="60" fillId="64" borderId="0" applyNumberFormat="0" applyBorder="0" applyAlignment="0" applyProtection="0"/>
    <xf numFmtId="0" fontId="60" fillId="64" borderId="0" applyNumberFormat="0" applyBorder="0" applyAlignment="0" applyProtection="0"/>
    <xf numFmtId="0" fontId="170" fillId="65" borderId="0" applyNumberFormat="0" applyBorder="0" applyAlignment="0" applyProtection="0"/>
    <xf numFmtId="0" fontId="170" fillId="66" borderId="0" applyNumberFormat="0" applyBorder="0" applyAlignment="0" applyProtection="0"/>
    <xf numFmtId="0" fontId="170" fillId="66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59" fillId="60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170" fillId="67" borderId="0" applyNumberFormat="0" applyBorder="0" applyAlignment="0" applyProtection="0"/>
    <xf numFmtId="0" fontId="60" fillId="68" borderId="0" applyNumberFormat="0" applyBorder="0" applyAlignment="0" applyProtection="0"/>
    <xf numFmtId="0" fontId="60" fillId="69" borderId="0" applyNumberFormat="0" applyBorder="0" applyAlignment="0" applyProtection="0"/>
    <xf numFmtId="0" fontId="60" fillId="69" borderId="0" applyNumberFormat="0" applyBorder="0" applyAlignment="0" applyProtection="0"/>
    <xf numFmtId="0" fontId="60" fillId="70" borderId="0" applyNumberFormat="0" applyBorder="0" applyAlignment="0" applyProtection="0"/>
    <xf numFmtId="0" fontId="60" fillId="71" borderId="0" applyNumberFormat="0" applyBorder="0" applyAlignment="0" applyProtection="0"/>
    <xf numFmtId="0" fontId="60" fillId="71" borderId="0" applyNumberFormat="0" applyBorder="0" applyAlignment="0" applyProtection="0"/>
    <xf numFmtId="0" fontId="170" fillId="71" borderId="0" applyNumberFormat="0" applyBorder="0" applyAlignment="0" applyProtection="0"/>
    <xf numFmtId="0" fontId="170" fillId="72" borderId="0" applyNumberFormat="0" applyBorder="0" applyAlignment="0" applyProtection="0"/>
    <xf numFmtId="0" fontId="170" fillId="72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170" fillId="73" borderId="0" applyNumberFormat="0" applyBorder="0" applyAlignment="0" applyProtection="0"/>
    <xf numFmtId="0" fontId="60" fillId="74" borderId="0" applyNumberFormat="0" applyBorder="0" applyAlignment="0" applyProtection="0"/>
    <xf numFmtId="0" fontId="60" fillId="75" borderId="0" applyNumberFormat="0" applyBorder="0" applyAlignment="0" applyProtection="0"/>
    <xf numFmtId="0" fontId="60" fillId="75" borderId="0" applyNumberFormat="0" applyBorder="0" applyAlignment="0" applyProtection="0"/>
    <xf numFmtId="0" fontId="60" fillId="76" borderId="0" applyNumberFormat="0" applyBorder="0" applyAlignment="0" applyProtection="0"/>
    <xf numFmtId="0" fontId="60" fillId="70" borderId="0" applyNumberFormat="0" applyBorder="0" applyAlignment="0" applyProtection="0"/>
    <xf numFmtId="0" fontId="60" fillId="70" borderId="0" applyNumberFormat="0" applyBorder="0" applyAlignment="0" applyProtection="0"/>
    <xf numFmtId="0" fontId="170" fillId="77" borderId="0" applyNumberFormat="0" applyBorder="0" applyAlignment="0" applyProtection="0"/>
    <xf numFmtId="0" fontId="170" fillId="63" borderId="0" applyNumberFormat="0" applyBorder="0" applyAlignment="0" applyProtection="0"/>
    <xf numFmtId="0" fontId="170" fillId="63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170" fillId="78" borderId="0" applyNumberFormat="0" applyBorder="0" applyAlignment="0" applyProtection="0"/>
    <xf numFmtId="0" fontId="60" fillId="68" borderId="0" applyNumberFormat="0" applyBorder="0" applyAlignment="0" applyProtection="0"/>
    <xf numFmtId="0" fontId="60" fillId="70" borderId="0" applyNumberFormat="0" applyBorder="0" applyAlignment="0" applyProtection="0"/>
    <xf numFmtId="0" fontId="60" fillId="70" borderId="0" applyNumberFormat="0" applyBorder="0" applyAlignment="0" applyProtection="0"/>
    <xf numFmtId="0" fontId="60" fillId="72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70" fillId="70" borderId="0" applyNumberFormat="0" applyBorder="0" applyAlignment="0" applyProtection="0"/>
    <xf numFmtId="0" fontId="170" fillId="63" borderId="0" applyNumberFormat="0" applyBorder="0" applyAlignment="0" applyProtection="0"/>
    <xf numFmtId="0" fontId="170" fillId="63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59" fillId="80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170" fillId="79" borderId="0" applyNumberFormat="0" applyBorder="0" applyAlignment="0" applyProtection="0"/>
    <xf numFmtId="0" fontId="60" fillId="75" borderId="0" applyNumberFormat="0" applyBorder="0" applyAlignment="0" applyProtection="0"/>
    <xf numFmtId="0" fontId="60" fillId="62" borderId="0" applyNumberFormat="0" applyBorder="0" applyAlignment="0" applyProtection="0"/>
    <xf numFmtId="0" fontId="60" fillId="62" borderId="0" applyNumberFormat="0" applyBorder="0" applyAlignment="0" applyProtection="0"/>
    <xf numFmtId="0" fontId="60" fillId="64" borderId="0" applyNumberFormat="0" applyBorder="0" applyAlignment="0" applyProtection="0"/>
    <xf numFmtId="0" fontId="170" fillId="65" borderId="0" applyNumberFormat="0" applyBorder="0" applyAlignment="0" applyProtection="0"/>
    <xf numFmtId="0" fontId="170" fillId="64" borderId="0" applyNumberFormat="0" applyBorder="0" applyAlignment="0" applyProtection="0"/>
    <xf numFmtId="0" fontId="170" fillId="64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170" fillId="65" borderId="0" applyNumberFormat="0" applyBorder="0" applyAlignment="0" applyProtection="0"/>
    <xf numFmtId="0" fontId="60" fillId="81" borderId="0" applyNumberFormat="0" applyBorder="0" applyAlignment="0" applyProtection="0"/>
    <xf numFmtId="0" fontId="60" fillId="82" borderId="0" applyNumberFormat="0" applyBorder="0" applyAlignment="0" applyProtection="0"/>
    <xf numFmtId="0" fontId="60" fillId="71" borderId="0" applyNumberFormat="0" applyBorder="0" applyAlignment="0" applyProtection="0"/>
    <xf numFmtId="0" fontId="60" fillId="71" borderId="0" applyNumberFormat="0" applyBorder="0" applyAlignment="0" applyProtection="0"/>
    <xf numFmtId="0" fontId="170" fillId="83" borderId="0" applyNumberFormat="0" applyBorder="0" applyAlignment="0" applyProtection="0"/>
    <xf numFmtId="0" fontId="170" fillId="82" borderId="0" applyNumberFormat="0" applyBorder="0" applyAlignment="0" applyProtection="0"/>
    <xf numFmtId="0" fontId="170" fillId="82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170" fillId="84" borderId="0" applyNumberFormat="0" applyBorder="0" applyAlignment="0" applyProtection="0"/>
    <xf numFmtId="0" fontId="30" fillId="0" borderId="0" applyNumberFormat="0" applyAlignment="0"/>
    <xf numFmtId="0" fontId="30" fillId="0" borderId="0"/>
    <xf numFmtId="225" fontId="3" fillId="0" borderId="0" applyNumberFormat="0" applyFont="0" applyFill="0" applyBorder="0">
      <alignment vertical="top"/>
      <protection hidden="1"/>
    </xf>
    <xf numFmtId="225" fontId="3" fillId="0" borderId="0" applyNumberFormat="0" applyFont="0" applyFill="0" applyBorder="0">
      <alignment vertical="top"/>
      <protection hidden="1"/>
    </xf>
    <xf numFmtId="0" fontId="171" fillId="0" borderId="0"/>
    <xf numFmtId="0" fontId="172" fillId="81" borderId="0" applyNumberFormat="0" applyBorder="0" applyAlignment="0" applyProtection="0"/>
    <xf numFmtId="0" fontId="173" fillId="40" borderId="0" applyNumberFormat="0" applyBorder="0" applyAlignment="0" applyProtection="0"/>
    <xf numFmtId="225" fontId="79" fillId="0" borderId="0" applyNumberFormat="0" applyFill="0" applyBorder="0">
      <protection hidden="1"/>
    </xf>
    <xf numFmtId="225" fontId="79" fillId="0" borderId="85" applyNumberFormat="0" applyFill="0">
      <protection hidden="1"/>
    </xf>
    <xf numFmtId="225" fontId="79" fillId="0" borderId="85" applyNumberFormat="0" applyFill="0">
      <protection hidden="1"/>
    </xf>
    <xf numFmtId="225" fontId="79" fillId="0" borderId="0" applyNumberFormat="0" applyFill="0" applyBorder="0">
      <protection hidden="1"/>
    </xf>
    <xf numFmtId="225" fontId="79" fillId="0" borderId="0" applyNumberFormat="0" applyFill="0" applyBorder="0">
      <protection hidden="1"/>
    </xf>
    <xf numFmtId="226" fontId="174" fillId="0" borderId="0">
      <alignment vertical="center"/>
      <protection locked="0"/>
    </xf>
    <xf numFmtId="0" fontId="168" fillId="0" borderId="0" applyFont="0" applyFill="0" applyBorder="0" applyAlignment="0" applyProtection="0">
      <alignment horizontal="right"/>
    </xf>
    <xf numFmtId="227" fontId="3" fillId="0" borderId="0" applyFill="0" applyBorder="0">
      <protection hidden="1"/>
    </xf>
    <xf numFmtId="227" fontId="3" fillId="0" borderId="0" applyFill="0" applyBorder="0">
      <protection hidden="1"/>
    </xf>
    <xf numFmtId="0" fontId="59" fillId="0" borderId="39" applyNumberFormat="0" applyFont="0" applyAlignment="0"/>
    <xf numFmtId="0" fontId="3" fillId="0" borderId="0"/>
    <xf numFmtId="186" fontId="17" fillId="34" borderId="86" applyNumberFormat="0">
      <alignment vertical="center"/>
    </xf>
    <xf numFmtId="228" fontId="17" fillId="85" borderId="86" applyNumberFormat="0">
      <alignment vertical="center"/>
    </xf>
    <xf numFmtId="1" fontId="3" fillId="86" borderId="86" applyNumberFormat="0">
      <alignment vertical="center"/>
    </xf>
    <xf numFmtId="186" fontId="17" fillId="87" borderId="86" applyNumberFormat="0">
      <alignment vertical="center"/>
    </xf>
    <xf numFmtId="186" fontId="17" fillId="19" borderId="86" applyNumberFormat="0">
      <alignment vertical="center"/>
    </xf>
    <xf numFmtId="3" fontId="17" fillId="0" borderId="86" applyNumberFormat="0">
      <alignment vertical="center"/>
    </xf>
    <xf numFmtId="229" fontId="169" fillId="0" borderId="0" applyFill="0" applyBorder="0" applyAlignment="0"/>
    <xf numFmtId="230" fontId="169" fillId="0" borderId="0" applyFill="0" applyBorder="0" applyAlignment="0"/>
    <xf numFmtId="231" fontId="169" fillId="0" borderId="0" applyFill="0" applyBorder="0" applyAlignment="0"/>
    <xf numFmtId="232" fontId="169" fillId="0" borderId="0" applyFill="0" applyBorder="0" applyAlignment="0"/>
    <xf numFmtId="233" fontId="169" fillId="0" borderId="0" applyFill="0" applyBorder="0" applyAlignment="0"/>
    <xf numFmtId="234" fontId="169" fillId="0" borderId="0" applyFill="0" applyBorder="0" applyAlignment="0"/>
    <xf numFmtId="229" fontId="169" fillId="0" borderId="0" applyFill="0" applyBorder="0" applyAlignment="0"/>
    <xf numFmtId="186" fontId="17" fillId="34" borderId="86" applyNumberFormat="0">
      <alignment vertical="center"/>
    </xf>
    <xf numFmtId="0" fontId="175" fillId="88" borderId="87" applyNumberFormat="0" applyAlignment="0" applyProtection="0"/>
    <xf numFmtId="0" fontId="106" fillId="41" borderId="40" applyNumberFormat="0" applyAlignment="0" applyProtection="0"/>
    <xf numFmtId="0" fontId="176" fillId="0" borderId="0"/>
    <xf numFmtId="0" fontId="177" fillId="89" borderId="12" applyBorder="0">
      <alignment vertical="center"/>
    </xf>
    <xf numFmtId="2" fontId="40" fillId="21" borderId="13">
      <alignment horizontal="left" vertical="center"/>
    </xf>
    <xf numFmtId="2" fontId="40" fillId="21" borderId="13">
      <alignment horizontal="left" vertical="center"/>
    </xf>
    <xf numFmtId="2" fontId="40" fillId="21" borderId="13">
      <alignment horizontal="left" vertical="center"/>
    </xf>
    <xf numFmtId="2" fontId="40" fillId="21" borderId="13">
      <alignment horizontal="left" vertical="center"/>
    </xf>
    <xf numFmtId="2" fontId="40" fillId="21" borderId="13">
      <alignment horizontal="left" vertical="center"/>
    </xf>
    <xf numFmtId="0" fontId="107" fillId="79" borderId="41" applyNumberFormat="0" applyAlignment="0" applyProtection="0"/>
    <xf numFmtId="235" fontId="3" fillId="0" borderId="0" applyFont="0" applyFill="0" applyBorder="0" applyAlignment="0">
      <protection hidden="1"/>
    </xf>
    <xf numFmtId="235" fontId="3" fillId="0" borderId="0" applyFont="0" applyFill="0" applyBorder="0" applyAlignment="0">
      <protection hidden="1"/>
    </xf>
    <xf numFmtId="236" fontId="3" fillId="0" borderId="0" applyFont="0" applyFill="0" applyBorder="0" applyAlignment="0">
      <protection hidden="1"/>
    </xf>
    <xf numFmtId="236" fontId="3" fillId="0" borderId="0" applyFont="0" applyFill="0" applyBorder="0" applyAlignment="0">
      <protection hidden="1"/>
    </xf>
    <xf numFmtId="237" fontId="3" fillId="0" borderId="0" applyFont="0" applyFill="0" applyBorder="0">
      <protection hidden="1"/>
    </xf>
    <xf numFmtId="237" fontId="3" fillId="0" borderId="0" applyFont="0" applyFill="0" applyBorder="0">
      <protection hidden="1"/>
    </xf>
    <xf numFmtId="0" fontId="178" fillId="0" borderId="0" applyNumberFormat="0" applyFill="0" applyBorder="0" applyAlignment="0" applyProtection="0"/>
    <xf numFmtId="225" fontId="3" fillId="0" borderId="0" applyNumberFormat="0" applyFont="0" applyBorder="0" applyAlignment="0" applyProtection="0">
      <protection hidden="1"/>
    </xf>
    <xf numFmtId="225" fontId="3" fillId="0" borderId="0" applyNumberFormat="0" applyFont="0" applyBorder="0" applyAlignment="0" applyProtection="0">
      <protection hidden="1"/>
    </xf>
    <xf numFmtId="225" fontId="3" fillId="90" borderId="0" applyNumberFormat="0" applyFont="0" applyBorder="0" applyAlignment="0" applyProtection="0">
      <protection hidden="1"/>
    </xf>
    <xf numFmtId="225" fontId="3" fillId="90" borderId="0" applyNumberFormat="0" applyFont="0" applyBorder="0" applyAlignment="0" applyProtection="0">
      <protection hidden="1"/>
    </xf>
    <xf numFmtId="225" fontId="3" fillId="91" borderId="0" applyNumberFormat="0" applyFont="0" applyBorder="0" applyAlignment="0" applyProtection="0">
      <protection hidden="1"/>
    </xf>
    <xf numFmtId="225" fontId="3" fillId="91" borderId="0" applyNumberFormat="0" applyFont="0" applyBorder="0" applyAlignment="0" applyProtection="0">
      <protection hidden="1"/>
    </xf>
    <xf numFmtId="225" fontId="3" fillId="25" borderId="0" applyNumberFormat="0" applyFont="0" applyBorder="0" applyAlignment="0" applyProtection="0">
      <protection hidden="1"/>
    </xf>
    <xf numFmtId="225" fontId="3" fillId="25" borderId="0" applyNumberFormat="0" applyFont="0" applyBorder="0" applyAlignment="0" applyProtection="0">
      <protection hidden="1"/>
    </xf>
    <xf numFmtId="238" fontId="25" fillId="92" borderId="88" applyNumberFormat="0" applyProtection="0">
      <alignment horizontal="center"/>
      <protection hidden="1"/>
    </xf>
    <xf numFmtId="225" fontId="3" fillId="86" borderId="0" applyNumberFormat="0" applyFont="0" applyBorder="0" applyAlignment="0" applyProtection="0">
      <protection hidden="1"/>
    </xf>
    <xf numFmtId="225" fontId="3" fillId="86" borderId="0" applyNumberFormat="0" applyFont="0" applyBorder="0" applyAlignment="0" applyProtection="0">
      <protection hidden="1"/>
    </xf>
    <xf numFmtId="225" fontId="3" fillId="93" borderId="0" applyNumberFormat="0" applyFont="0" applyBorder="0" applyAlignment="0" applyProtection="0">
      <protection hidden="1"/>
    </xf>
    <xf numFmtId="225" fontId="3" fillId="93" borderId="0" applyNumberFormat="0" applyFont="0" applyBorder="0" applyAlignment="0" applyProtection="0">
      <protection hidden="1"/>
    </xf>
    <xf numFmtId="225" fontId="3" fillId="94" borderId="0" applyNumberFormat="0" applyFont="0" applyBorder="0" applyAlignment="0" applyProtection="0">
      <protection hidden="1"/>
    </xf>
    <xf numFmtId="225" fontId="3" fillId="94" borderId="0" applyNumberFormat="0" applyFont="0" applyBorder="0" applyAlignment="0" applyProtection="0">
      <protection hidden="1"/>
    </xf>
    <xf numFmtId="225" fontId="3" fillId="34" borderId="0" applyNumberFormat="0" applyFont="0" applyBorder="0" applyAlignment="0" applyProtection="0">
      <protection hidden="1"/>
    </xf>
    <xf numFmtId="225" fontId="3" fillId="34" borderId="0" applyNumberFormat="0" applyFont="0" applyBorder="0" applyAlignment="0" applyProtection="0">
      <protection hidden="1"/>
    </xf>
    <xf numFmtId="0" fontId="179" fillId="95" borderId="17" applyNumberFormat="0" applyProtection="0">
      <alignment horizontal="center" vertical="center" wrapText="1"/>
    </xf>
    <xf numFmtId="0" fontId="3" fillId="0" borderId="0" applyFill="0" applyBorder="0">
      <alignment horizontal="justify" vertical="top"/>
    </xf>
    <xf numFmtId="0" fontId="3" fillId="0" borderId="0" applyFill="0" applyBorder="0">
      <alignment horizontal="justify" vertical="top"/>
    </xf>
    <xf numFmtId="0" fontId="7" fillId="0" borderId="3">
      <alignment horizontal="left" wrapText="1"/>
    </xf>
    <xf numFmtId="239" fontId="180" fillId="0" borderId="0"/>
    <xf numFmtId="239" fontId="180" fillId="0" borderId="0"/>
    <xf numFmtId="239" fontId="180" fillId="0" borderId="0"/>
    <xf numFmtId="239" fontId="180" fillId="0" borderId="0"/>
    <xf numFmtId="239" fontId="180" fillId="0" borderId="0"/>
    <xf numFmtId="239" fontId="180" fillId="0" borderId="0"/>
    <xf numFmtId="239" fontId="180" fillId="0" borderId="0"/>
    <xf numFmtId="239" fontId="180" fillId="0" borderId="0"/>
    <xf numFmtId="23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60" fillId="0" borderId="0" applyFont="0" applyFill="0" applyBorder="0" applyAlignment="0" applyProtection="0"/>
    <xf numFmtId="175" fontId="38" fillId="0" borderId="0" applyFont="0" applyFill="0" applyBorder="0" applyAlignment="0" applyProtection="0">
      <alignment horizontal="right"/>
    </xf>
    <xf numFmtId="167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75" fontId="38" fillId="0" borderId="0" applyFont="0" applyFill="0" applyBorder="0" applyAlignment="0" applyProtection="0">
      <alignment horizontal="right"/>
    </xf>
    <xf numFmtId="43" fontId="3" fillId="0" borderId="0" applyFont="0" applyFill="0" applyBorder="0" applyAlignment="0" applyProtection="0"/>
    <xf numFmtId="4" fontId="34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0" fontId="3" fillId="0" borderId="0"/>
    <xf numFmtId="0" fontId="3" fillId="0" borderId="0"/>
    <xf numFmtId="240" fontId="3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0" fontId="3" fillId="0" borderId="0"/>
    <xf numFmtId="0" fontId="3" fillId="0" borderId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60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7" fontId="60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60" fillId="0" borderId="0" applyFont="0" applyFill="0" applyBorder="0" applyAlignment="0" applyProtection="0"/>
    <xf numFmtId="43" fontId="60" fillId="0" borderId="0" applyFont="0" applyFill="0" applyBorder="0" applyAlignment="0" applyProtection="0"/>
    <xf numFmtId="241" fontId="1" fillId="0" borderId="0" applyFont="0" applyFill="0" applyBorder="0" applyAlignment="0" applyProtection="0"/>
    <xf numFmtId="167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3" fontId="60" fillId="0" borderId="0" applyFont="0" applyFill="0" applyBorder="0" applyAlignment="0" applyProtection="0"/>
    <xf numFmtId="167" fontId="3" fillId="0" borderId="0" applyFont="0" applyFill="0" applyBorder="0" applyAlignment="0" applyProtection="0"/>
    <xf numFmtId="242" fontId="181" fillId="0" borderId="0">
      <protection locked="0"/>
    </xf>
    <xf numFmtId="243" fontId="182" fillId="0" borderId="0" applyFont="0" applyFill="0" applyBorder="0" applyAlignment="0">
      <protection hidden="1"/>
    </xf>
    <xf numFmtId="229" fontId="3" fillId="0" borderId="0" applyFont="0" applyFill="0" applyBorder="0" applyAlignment="0" applyProtection="0"/>
    <xf numFmtId="44" fontId="60" fillId="0" borderId="0" applyFont="0" applyFill="0" applyBorder="0" applyAlignment="0" applyProtection="0"/>
    <xf numFmtId="177" fontId="38" fillId="0" borderId="0" applyFont="0" applyFill="0" applyBorder="0" applyAlignment="0" applyProtection="0">
      <alignment horizontal="right"/>
    </xf>
    <xf numFmtId="166" fontId="10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244" fontId="1" fillId="0" borderId="0" applyFont="0" applyFill="0" applyBorder="0" applyAlignment="0" applyProtection="0"/>
    <xf numFmtId="214" fontId="3" fillId="0" borderId="0" applyFont="0" applyFill="0" applyBorder="0" applyAlignment="0" applyProtection="0"/>
    <xf numFmtId="242" fontId="181" fillId="0" borderId="0">
      <protection locked="0"/>
    </xf>
    <xf numFmtId="0" fontId="183" fillId="0" borderId="31" applyNumberFormat="0" applyBorder="0">
      <alignment horizontal="centerContinuous"/>
    </xf>
    <xf numFmtId="178" fontId="30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242" fontId="181" fillId="0" borderId="0">
      <protection locked="0"/>
    </xf>
    <xf numFmtId="245" fontId="169" fillId="0" borderId="0" applyFill="0" applyBorder="0">
      <protection hidden="1"/>
    </xf>
    <xf numFmtId="245" fontId="169" fillId="0" borderId="0" applyFill="0" applyBorder="0">
      <protection hidden="1"/>
    </xf>
    <xf numFmtId="246" fontId="169" fillId="0" borderId="0" applyFill="0" applyBorder="0">
      <protection hidden="1"/>
    </xf>
    <xf numFmtId="246" fontId="169" fillId="0" borderId="0" applyFill="0" applyBorder="0">
      <protection hidden="1"/>
    </xf>
    <xf numFmtId="180" fontId="169" fillId="0" borderId="0" applyFill="0" applyBorder="0">
      <protection hidden="1"/>
    </xf>
    <xf numFmtId="180" fontId="169" fillId="0" borderId="0" applyFill="0" applyBorder="0">
      <protection hidden="1"/>
    </xf>
    <xf numFmtId="247" fontId="169" fillId="0" borderId="0" applyFill="0" applyBorder="0">
      <protection hidden="1"/>
    </xf>
    <xf numFmtId="247" fontId="169" fillId="0" borderId="0" applyFill="0" applyBorder="0">
      <protection hidden="1"/>
    </xf>
    <xf numFmtId="248" fontId="169" fillId="0" borderId="0" applyFill="0" applyBorder="0">
      <protection hidden="1"/>
    </xf>
    <xf numFmtId="248" fontId="169" fillId="0" borderId="0" applyFill="0" applyBorder="0">
      <protection hidden="1"/>
    </xf>
    <xf numFmtId="14" fontId="169" fillId="0" borderId="0" applyFill="0" applyBorder="0" applyAlignment="0"/>
    <xf numFmtId="242" fontId="181" fillId="0" borderId="0">
      <protection locked="0"/>
    </xf>
    <xf numFmtId="38" fontId="34" fillId="0" borderId="0" applyFont="0" applyFill="0" applyBorder="0" applyAlignment="0" applyProtection="0"/>
    <xf numFmtId="249" fontId="184" fillId="0" borderId="11">
      <alignment vertical="center"/>
    </xf>
    <xf numFmtId="250" fontId="184" fillId="0" borderId="11">
      <alignment vertical="center"/>
    </xf>
    <xf numFmtId="251" fontId="184" fillId="0" borderId="11">
      <alignment vertical="center"/>
    </xf>
    <xf numFmtId="40" fontId="34" fillId="0" borderId="0" applyFont="0" applyFill="0" applyBorder="0" applyAlignment="0" applyProtection="0"/>
    <xf numFmtId="0" fontId="10" fillId="0" borderId="0" applyNumberFormat="0" applyFill="0" applyBorder="0" applyAlignment="0" applyProtection="0"/>
    <xf numFmtId="184" fontId="185" fillId="96" borderId="0"/>
    <xf numFmtId="252" fontId="186" fillId="0" borderId="89" applyNumberFormat="0" applyFont="0" applyAlignment="0"/>
    <xf numFmtId="253" fontId="185" fillId="0" borderId="0" applyBorder="0" applyProtection="0"/>
    <xf numFmtId="254" fontId="3" fillId="0" borderId="0" applyFill="0" applyBorder="0" applyProtection="0">
      <alignment horizontal="right"/>
    </xf>
    <xf numFmtId="255" fontId="3" fillId="0" borderId="0"/>
    <xf numFmtId="255" fontId="30" fillId="0" borderId="0" applyFill="0" applyBorder="0" applyProtection="0">
      <alignment vertical="center"/>
    </xf>
    <xf numFmtId="256" fontId="185" fillId="10" borderId="0">
      <alignment horizontal="right" indent="1"/>
    </xf>
    <xf numFmtId="255" fontId="187" fillId="19" borderId="0">
      <alignment horizontal="right"/>
    </xf>
    <xf numFmtId="256" fontId="185" fillId="96" borderId="0"/>
    <xf numFmtId="257" fontId="3" fillId="0" borderId="0" applyFill="0" applyBorder="0" applyAlignment="0" applyProtection="0"/>
    <xf numFmtId="258" fontId="3" fillId="0" borderId="0" applyFill="0" applyBorder="0" applyProtection="0"/>
    <xf numFmtId="0" fontId="119" fillId="97" borderId="0" applyNumberFormat="0" applyBorder="0" applyAlignment="0" applyProtection="0"/>
    <xf numFmtId="0" fontId="119" fillId="98" borderId="0" applyNumberFormat="0" applyBorder="0" applyAlignment="0" applyProtection="0"/>
    <xf numFmtId="0" fontId="119" fillId="99" borderId="0" applyNumberFormat="0" applyBorder="0" applyAlignment="0" applyProtection="0"/>
    <xf numFmtId="233" fontId="25" fillId="0" borderId="0" applyFill="0" applyBorder="0" applyAlignment="0"/>
    <xf numFmtId="229" fontId="25" fillId="0" borderId="0" applyFill="0" applyBorder="0" applyAlignment="0"/>
    <xf numFmtId="233" fontId="25" fillId="0" borderId="0" applyFill="0" applyBorder="0" applyAlignment="0"/>
    <xf numFmtId="234" fontId="25" fillId="0" borderId="0" applyFill="0" applyBorder="0" applyAlignment="0"/>
    <xf numFmtId="229" fontId="25" fillId="0" borderId="0" applyFill="0" applyBorder="0" applyAlignment="0"/>
    <xf numFmtId="37" fontId="188" fillId="0" borderId="26" applyFill="0" applyBorder="0">
      <alignment vertical="center"/>
      <protection locked="0"/>
    </xf>
    <xf numFmtId="0" fontId="188" fillId="0" borderId="0" applyFill="0" applyBorder="0">
      <alignment vertical="center"/>
    </xf>
    <xf numFmtId="0" fontId="188" fillId="0" borderId="26" applyFill="0" applyBorder="0">
      <alignment horizontal="left" wrapText="1"/>
      <protection locked="0"/>
    </xf>
    <xf numFmtId="37" fontId="188" fillId="0" borderId="26" applyFill="0" applyBorder="0">
      <alignment vertical="center"/>
      <protection locked="0"/>
    </xf>
    <xf numFmtId="259" fontId="182" fillId="0" borderId="0" applyFont="0" applyFill="0" applyBorder="0" applyAlignment="0">
      <protection hidden="1"/>
    </xf>
    <xf numFmtId="260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261" fontId="3" fillId="0" borderId="0" applyFont="0" applyFill="0" applyBorder="0" applyAlignment="0" applyProtection="0"/>
    <xf numFmtId="261" fontId="3" fillId="0" borderId="0" applyFont="0" applyFill="0" applyBorder="0" applyAlignment="0" applyProtection="0"/>
    <xf numFmtId="262" fontId="34" fillId="0" borderId="0" applyFont="0" applyFill="0" applyBorder="0" applyAlignment="0" applyProtection="0"/>
    <xf numFmtId="263" fontId="66" fillId="0" borderId="0" applyFont="0" applyFill="0" applyBorder="0" applyAlignment="0" applyProtection="0"/>
    <xf numFmtId="262" fontId="34" fillId="0" borderId="0" applyFont="0" applyFill="0" applyBorder="0" applyAlignment="0" applyProtection="0"/>
    <xf numFmtId="262" fontId="34" fillId="0" borderId="0" applyFont="0" applyFill="0" applyBorder="0" applyAlignment="0" applyProtection="0"/>
    <xf numFmtId="262" fontId="34" fillId="0" borderId="0" applyFont="0" applyFill="0" applyBorder="0" applyAlignment="0" applyProtection="0"/>
    <xf numFmtId="264" fontId="3" fillId="0" borderId="0" applyFont="0" applyFill="0" applyBorder="0" applyAlignment="0">
      <protection hidden="1"/>
    </xf>
    <xf numFmtId="264" fontId="3" fillId="0" borderId="0" applyFont="0" applyFill="0" applyBorder="0" applyAlignment="0">
      <protection hidden="1"/>
    </xf>
    <xf numFmtId="265" fontId="182" fillId="0" borderId="0" applyFont="0" applyFill="0" applyBorder="0" applyAlignment="0">
      <protection hidden="1"/>
    </xf>
    <xf numFmtId="266" fontId="3" fillId="0" borderId="0" applyFont="0" applyFill="0" applyBorder="0" applyAlignment="0" applyProtection="0"/>
    <xf numFmtId="0" fontId="17" fillId="100" borderId="90" applyNumberFormat="0">
      <alignment vertical="center"/>
    </xf>
    <xf numFmtId="0" fontId="189" fillId="0" borderId="13" applyFill="0" applyBorder="0">
      <alignment horizontal="left" vertical="top"/>
    </xf>
    <xf numFmtId="225" fontId="7" fillId="0" borderId="91">
      <protection hidden="1"/>
    </xf>
    <xf numFmtId="267" fontId="182" fillId="0" borderId="0" applyFont="0" applyFill="0" applyBorder="0">
      <protection hidden="1"/>
    </xf>
    <xf numFmtId="225" fontId="7" fillId="0" borderId="91">
      <protection hidden="1"/>
    </xf>
    <xf numFmtId="225" fontId="7" fillId="0" borderId="91">
      <protection hidden="1"/>
    </xf>
    <xf numFmtId="0" fontId="17" fillId="19" borderId="44" applyNumberFormat="0">
      <alignment vertical="center"/>
    </xf>
    <xf numFmtId="0" fontId="17" fillId="19" borderId="44" applyNumberFormat="0">
      <alignment vertical="center"/>
    </xf>
    <xf numFmtId="0" fontId="17" fillId="19" borderId="44" applyNumberFormat="0">
      <alignment vertical="center"/>
    </xf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242" fontId="181" fillId="0" borderId="0">
      <protection locked="0"/>
    </xf>
    <xf numFmtId="37" fontId="3" fillId="0" borderId="26" applyFill="0" applyBorder="0">
      <alignment vertical="center"/>
    </xf>
    <xf numFmtId="268" fontId="3" fillId="0" borderId="0" applyFont="0" applyFill="0" applyBorder="0" applyAlignment="0">
      <protection hidden="1"/>
    </xf>
    <xf numFmtId="268" fontId="3" fillId="0" borderId="0" applyFont="0" applyFill="0" applyBorder="0" applyAlignment="0">
      <protection hidden="1"/>
    </xf>
    <xf numFmtId="269" fontId="3" fillId="0" borderId="0" applyFont="0" applyFill="0" applyBorder="0" applyAlignment="0">
      <protection hidden="1"/>
    </xf>
    <xf numFmtId="269" fontId="3" fillId="0" borderId="0" applyFont="0" applyFill="0" applyBorder="0" applyAlignment="0">
      <protection hidden="1"/>
    </xf>
    <xf numFmtId="0" fontId="60" fillId="76" borderId="0" applyNumberFormat="0" applyBorder="0" applyAlignment="0" applyProtection="0"/>
    <xf numFmtId="38" fontId="30" fillId="19" borderId="0" applyNumberFormat="0" applyBorder="0" applyAlignment="0" applyProtection="0"/>
    <xf numFmtId="0" fontId="190" fillId="19" borderId="92" applyNumberFormat="0">
      <alignment vertical="center"/>
    </xf>
    <xf numFmtId="270" fontId="3" fillId="0" borderId="0" applyFont="0" applyFill="0" applyBorder="0" applyAlignment="0">
      <protection hidden="1"/>
    </xf>
    <xf numFmtId="270" fontId="3" fillId="0" borderId="0" applyFont="0" applyFill="0" applyBorder="0" applyAlignment="0">
      <protection hidden="1"/>
    </xf>
    <xf numFmtId="271" fontId="182" fillId="0" borderId="0" applyFont="0" applyFill="0" applyBorder="0" applyAlignment="0">
      <protection hidden="1"/>
    </xf>
    <xf numFmtId="0" fontId="6" fillId="0" borderId="16" applyNumberFormat="0" applyAlignment="0" applyProtection="0">
      <alignment horizontal="left" vertical="center"/>
    </xf>
    <xf numFmtId="0" fontId="191" fillId="0" borderId="93" applyNumberFormat="0" applyFill="0" applyAlignment="0" applyProtection="0"/>
    <xf numFmtId="0" fontId="111" fillId="0" borderId="0" applyProtection="0">
      <alignment horizontal="left"/>
    </xf>
    <xf numFmtId="0" fontId="112" fillId="0" borderId="0" applyProtection="0">
      <alignment horizontal="left"/>
    </xf>
    <xf numFmtId="0" fontId="192" fillId="0" borderId="0" applyNumberFormat="0" applyFill="0" applyBorder="0" applyAlignment="0" applyProtection="0"/>
    <xf numFmtId="225" fontId="193" fillId="90" borderId="94" applyNumberFormat="0" applyAlignment="0">
      <protection hidden="1"/>
    </xf>
    <xf numFmtId="272" fontId="194" fillId="0" borderId="19">
      <alignment horizontal="left" vertical="center"/>
    </xf>
    <xf numFmtId="0" fontId="195" fillId="0" borderId="0" applyNumberFormat="0" applyFill="0" applyBorder="0" applyAlignment="0" applyProtection="0">
      <alignment vertical="top"/>
      <protection locked="0"/>
    </xf>
    <xf numFmtId="0" fontId="196" fillId="0" borderId="0" applyNumberFormat="0" applyFill="0" applyBorder="0" applyAlignment="0" applyProtection="0">
      <alignment vertical="top"/>
      <protection locked="0"/>
    </xf>
    <xf numFmtId="263" fontId="196" fillId="0" borderId="0" applyNumberFormat="0" applyFill="0" applyBorder="0" applyAlignment="0" applyProtection="0">
      <alignment vertical="top"/>
      <protection locked="0"/>
    </xf>
    <xf numFmtId="0" fontId="197" fillId="0" borderId="0" applyNumberFormat="0" applyFill="0" applyBorder="0" applyAlignment="0" applyProtection="0">
      <alignment vertical="top"/>
      <protection locked="0"/>
    </xf>
    <xf numFmtId="0" fontId="196" fillId="0" borderId="0" applyNumberFormat="0" applyFill="0" applyBorder="0" applyAlignment="0" applyProtection="0">
      <alignment vertical="top"/>
      <protection locked="0"/>
    </xf>
    <xf numFmtId="273" fontId="198" fillId="0" borderId="95">
      <alignment vertical="center"/>
    </xf>
    <xf numFmtId="274" fontId="199" fillId="0" borderId="0"/>
    <xf numFmtId="225" fontId="3" fillId="10" borderId="0" applyNumberFormat="0" applyFont="0" applyBorder="0" applyAlignment="0">
      <protection locked="0"/>
    </xf>
    <xf numFmtId="225" fontId="3" fillId="10" borderId="0" applyNumberFormat="0" applyFont="0" applyBorder="0" applyAlignment="0">
      <protection locked="0"/>
    </xf>
    <xf numFmtId="225" fontId="3" fillId="86" borderId="0" applyNumberFormat="0" applyFont="0" applyBorder="0" applyAlignment="0">
      <protection locked="0"/>
    </xf>
    <xf numFmtId="225" fontId="3" fillId="86" borderId="0" applyNumberFormat="0" applyFont="0" applyBorder="0" applyAlignment="0">
      <protection locked="0"/>
    </xf>
    <xf numFmtId="225" fontId="200" fillId="0" borderId="0" applyNumberFormat="0" applyFill="0" applyBorder="0" applyAlignment="0"/>
    <xf numFmtId="225" fontId="201" fillId="0" borderId="0" applyNumberFormat="0" applyFill="0" applyBorder="0" applyAlignment="0"/>
    <xf numFmtId="0" fontId="25" fillId="0" borderId="0" applyFill="0" applyBorder="0" applyAlignment="0"/>
    <xf numFmtId="0" fontId="25" fillId="0" borderId="0" applyFill="0" applyBorder="0" applyAlignment="0"/>
    <xf numFmtId="275" fontId="199" fillId="0" borderId="0"/>
    <xf numFmtId="10" fontId="30" fillId="25" borderId="96" applyNumberFormat="0" applyBorder="0" applyAlignment="0" applyProtection="0"/>
    <xf numFmtId="249" fontId="202" fillId="0" borderId="95">
      <alignment vertical="center"/>
    </xf>
    <xf numFmtId="276" fontId="198" fillId="0" borderId="95">
      <alignment vertical="center"/>
    </xf>
    <xf numFmtId="277" fontId="202" fillId="0" borderId="95">
      <alignment vertical="center"/>
    </xf>
    <xf numFmtId="186" fontId="17" fillId="28" borderId="97" applyNumberFormat="0">
      <alignment vertical="center"/>
      <protection locked="0"/>
    </xf>
    <xf numFmtId="3" fontId="57" fillId="0" borderId="0"/>
    <xf numFmtId="0" fontId="17" fillId="92" borderId="97" applyNumberFormat="0">
      <alignment vertical="center"/>
      <protection locked="0"/>
    </xf>
    <xf numFmtId="0" fontId="17" fillId="92" borderId="97" applyNumberFormat="0">
      <alignment vertical="center"/>
      <protection locked="0"/>
    </xf>
    <xf numFmtId="3" fontId="57" fillId="0" borderId="0"/>
    <xf numFmtId="185" fontId="59" fillId="27" borderId="18" applyNumberFormat="0" applyAlignment="0">
      <alignment vertical="center"/>
      <protection locked="0"/>
    </xf>
    <xf numFmtId="225" fontId="203" fillId="0" borderId="0" applyNumberFormat="0" applyFill="0" applyBorder="0" applyAlignment="0"/>
    <xf numFmtId="225" fontId="204" fillId="0" borderId="0" applyNumberFormat="0" applyFill="0" applyBorder="0" applyAlignment="0"/>
    <xf numFmtId="225" fontId="102" fillId="0" borderId="0" applyNumberFormat="0" applyFill="0" applyBorder="0" applyAlignment="0"/>
    <xf numFmtId="225" fontId="102" fillId="0" borderId="0" applyNumberFormat="0" applyFill="0" applyBorder="0" applyAlignment="0"/>
    <xf numFmtId="278" fontId="82" fillId="10" borderId="0"/>
    <xf numFmtId="0" fontId="3" fillId="0" borderId="0"/>
    <xf numFmtId="0" fontId="165" fillId="0" borderId="0"/>
    <xf numFmtId="0" fontId="29" fillId="0" borderId="0"/>
    <xf numFmtId="0" fontId="32" fillId="0" borderId="0"/>
    <xf numFmtId="225" fontId="5" fillId="101" borderId="0" applyNumberFormat="0" applyFont="0" applyBorder="0" applyAlignment="0">
      <protection hidden="1"/>
    </xf>
    <xf numFmtId="279" fontId="3" fillId="0" borderId="0" applyFont="0" applyFill="0" applyBorder="0">
      <protection hidden="1"/>
    </xf>
    <xf numFmtId="279" fontId="3" fillId="0" borderId="0" applyFont="0" applyFill="0" applyBorder="0">
      <protection hidden="1"/>
    </xf>
    <xf numFmtId="167" fontId="3" fillId="0" borderId="0" applyFont="0" applyFill="0" applyBorder="0" applyAlignment="0" applyProtection="0"/>
    <xf numFmtId="167" fontId="30" fillId="0" borderId="0" applyFont="0" applyFill="0" applyBorder="0" applyAlignment="0" applyProtection="0"/>
    <xf numFmtId="2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38" fontId="205" fillId="0" borderId="0"/>
    <xf numFmtId="38" fontId="206" fillId="0" borderId="0"/>
    <xf numFmtId="38" fontId="207" fillId="0" borderId="0"/>
    <xf numFmtId="38" fontId="208" fillId="0" borderId="0"/>
    <xf numFmtId="0" fontId="209" fillId="0" borderId="0"/>
    <xf numFmtId="0" fontId="209" fillId="0" borderId="0"/>
    <xf numFmtId="280" fontId="3" fillId="0" borderId="0" applyFont="0" applyFill="0" applyBorder="0" applyAlignment="0">
      <protection hidden="1"/>
    </xf>
    <xf numFmtId="280" fontId="3" fillId="0" borderId="0" applyFont="0" applyFill="0" applyBorder="0" applyAlignment="0">
      <protection hidden="1"/>
    </xf>
    <xf numFmtId="281" fontId="182" fillId="0" borderId="0" applyFont="0" applyFill="0" applyBorder="0" applyAlignment="0">
      <protection hidden="1"/>
    </xf>
    <xf numFmtId="0" fontId="66" fillId="0" borderId="0" applyNumberFormat="0" applyFont="0" applyFill="0" applyBorder="0" applyProtection="0">
      <alignment horizontal="left" vertical="center"/>
    </xf>
    <xf numFmtId="0" fontId="169" fillId="0" borderId="0"/>
    <xf numFmtId="0" fontId="32" fillId="0" borderId="0"/>
    <xf numFmtId="225" fontId="5" fillId="14" borderId="0" applyNumberFormat="0" applyFont="0" applyBorder="0" applyAlignment="0">
      <protection hidden="1"/>
    </xf>
    <xf numFmtId="0" fontId="30" fillId="0" borderId="0" applyNumberFormat="0" applyFill="0" applyBorder="0"/>
    <xf numFmtId="0" fontId="30" fillId="0" borderId="0" applyNumberFormat="0" applyFill="0" applyBorder="0"/>
    <xf numFmtId="233" fontId="210" fillId="0" borderId="0" applyFill="0" applyBorder="0" applyAlignment="0"/>
    <xf numFmtId="229" fontId="210" fillId="0" borderId="0" applyFill="0" applyBorder="0" applyAlignment="0"/>
    <xf numFmtId="233" fontId="210" fillId="0" borderId="0" applyFill="0" applyBorder="0" applyAlignment="0"/>
    <xf numFmtId="234" fontId="210" fillId="0" borderId="0" applyFill="0" applyBorder="0" applyAlignment="0"/>
    <xf numFmtId="229" fontId="210" fillId="0" borderId="0" applyFill="0" applyBorder="0" applyAlignment="0"/>
    <xf numFmtId="225" fontId="211" fillId="0" borderId="0" applyNumberFormat="0" applyFill="0" applyBorder="0" applyAlignment="0"/>
    <xf numFmtId="225" fontId="212" fillId="0" borderId="0" applyNumberFormat="0" applyFill="0" applyBorder="0" applyAlignment="0"/>
    <xf numFmtId="225" fontId="18" fillId="0" borderId="0" applyNumberFormat="0" applyFill="0" applyBorder="0" applyAlignment="0"/>
    <xf numFmtId="225" fontId="18" fillId="0" borderId="0" applyNumberFormat="0" applyFill="0" applyBorder="0" applyAlignment="0"/>
    <xf numFmtId="3" fontId="62" fillId="0" borderId="0"/>
    <xf numFmtId="3" fontId="62" fillId="0" borderId="0"/>
    <xf numFmtId="0" fontId="109" fillId="0" borderId="98" applyNumberFormat="0" applyFill="0" applyAlignment="0" applyProtection="0"/>
    <xf numFmtId="186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0" fontId="3" fillId="102" borderId="0" applyNumberFormat="0" applyFont="0" applyBorder="0" applyAlignment="0"/>
    <xf numFmtId="282" fontId="3" fillId="103" borderId="99" applyNumberFormat="0" applyFont="0" applyBorder="0" applyAlignment="0"/>
    <xf numFmtId="283" fontId="169" fillId="0" borderId="85" applyFont="0" applyFill="0" applyBorder="0">
      <protection hidden="1"/>
    </xf>
    <xf numFmtId="283" fontId="169" fillId="0" borderId="85" applyFont="0" applyFill="0" applyBorder="0">
      <protection hidden="1"/>
    </xf>
    <xf numFmtId="284" fontId="182" fillId="0" borderId="0" applyFont="0" applyFill="0" applyBorder="0">
      <protection hidden="1"/>
    </xf>
    <xf numFmtId="285" fontId="182" fillId="0" borderId="85" applyFont="0" applyFill="0" applyBorder="0">
      <protection hidden="1"/>
    </xf>
    <xf numFmtId="286" fontId="7" fillId="10" borderId="96" applyFont="0" applyFill="0" applyBorder="0" applyAlignment="0">
      <alignment horizontal="centerContinuous"/>
    </xf>
    <xf numFmtId="43" fontId="3" fillId="0" borderId="0" applyFont="0" applyFill="0" applyBorder="0" applyAlignment="0" applyProtection="0"/>
    <xf numFmtId="0" fontId="213" fillId="0" borderId="17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287" fontId="3" fillId="0" borderId="0" applyFont="0" applyFill="0" applyBorder="0" applyAlignment="0">
      <protection hidden="1"/>
    </xf>
    <xf numFmtId="287" fontId="3" fillId="0" borderId="0" applyFont="0" applyFill="0" applyBorder="0" applyAlignment="0">
      <protection hidden="1"/>
    </xf>
    <xf numFmtId="288" fontId="182" fillId="0" borderId="0" applyFont="0" applyFill="0" applyBorder="0" applyAlignment="0">
      <protection hidden="1"/>
    </xf>
    <xf numFmtId="0" fontId="214" fillId="92" borderId="100" applyNumberFormat="0" applyFill="0" applyAlignment="0" applyProtection="0">
      <alignment vertical="center"/>
      <protection locked="0"/>
    </xf>
    <xf numFmtId="0" fontId="215" fillId="0" borderId="0" applyNumberFormat="0" applyBorder="0">
      <alignment horizontal="left" vertical="top"/>
    </xf>
    <xf numFmtId="0" fontId="214" fillId="92" borderId="100" applyNumberFormat="0" applyFill="0" applyAlignment="0" applyProtection="0">
      <alignment vertical="center"/>
      <protection locked="0"/>
    </xf>
    <xf numFmtId="0" fontId="109" fillId="82" borderId="0" applyNumberFormat="0" applyBorder="0" applyAlignment="0" applyProtection="0"/>
    <xf numFmtId="0" fontId="31" fillId="0" borderId="0"/>
    <xf numFmtId="196" fontId="3" fillId="0" borderId="0"/>
    <xf numFmtId="274" fontId="216" fillId="0" borderId="0"/>
    <xf numFmtId="289" fontId="3" fillId="0" borderId="0">
      <protection hidden="1"/>
    </xf>
    <xf numFmtId="289" fontId="3" fillId="0" borderId="0">
      <protection hidden="1"/>
    </xf>
    <xf numFmtId="253" fontId="216" fillId="0" borderId="0"/>
    <xf numFmtId="290" fontId="169" fillId="0" borderId="0">
      <protection hidden="1"/>
    </xf>
    <xf numFmtId="290" fontId="169" fillId="0" borderId="0">
      <protection hidden="1"/>
    </xf>
    <xf numFmtId="3" fontId="3" fillId="0" borderId="0"/>
    <xf numFmtId="37" fontId="66" fillId="0" borderId="0" applyAlignment="0"/>
    <xf numFmtId="0" fontId="60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217" fillId="0" borderId="0"/>
    <xf numFmtId="0" fontId="3" fillId="0" borderId="0"/>
    <xf numFmtId="0" fontId="3" fillId="0" borderId="0"/>
    <xf numFmtId="0" fontId="217" fillId="0" borderId="0"/>
    <xf numFmtId="0" fontId="3" fillId="0" borderId="0"/>
    <xf numFmtId="0" fontId="3" fillId="0" borderId="0"/>
    <xf numFmtId="0" fontId="218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1" fillId="0" borderId="0"/>
    <xf numFmtId="0" fontId="1" fillId="0" borderId="0"/>
    <xf numFmtId="0" fontId="60" fillId="0" borderId="0"/>
    <xf numFmtId="0" fontId="3" fillId="0" borderId="0"/>
    <xf numFmtId="0" fontId="60" fillId="0" borderId="0"/>
    <xf numFmtId="0" fontId="1" fillId="0" borderId="0"/>
    <xf numFmtId="0" fontId="60" fillId="0" borderId="0"/>
    <xf numFmtId="0" fontId="60" fillId="0" borderId="0"/>
    <xf numFmtId="0" fontId="3" fillId="0" borderId="0"/>
    <xf numFmtId="0" fontId="6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0" borderId="0"/>
    <xf numFmtId="0" fontId="60" fillId="0" borderId="0"/>
    <xf numFmtId="0" fontId="60" fillId="0" borderId="0"/>
    <xf numFmtId="0" fontId="60" fillId="0" borderId="0"/>
    <xf numFmtId="0" fontId="3" fillId="0" borderId="0"/>
    <xf numFmtId="263" fontId="34" fillId="0" borderId="0"/>
    <xf numFmtId="0" fontId="3" fillId="0" borderId="0"/>
    <xf numFmtId="0" fontId="3" fillId="0" borderId="0"/>
    <xf numFmtId="0" fontId="3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3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3" fillId="0" borderId="0"/>
    <xf numFmtId="0" fontId="164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217" fillId="0" borderId="0"/>
    <xf numFmtId="0" fontId="3" fillId="0" borderId="0"/>
    <xf numFmtId="0" fontId="3" fillId="0" borderId="0"/>
    <xf numFmtId="0" fontId="60" fillId="0" borderId="0"/>
    <xf numFmtId="3" fontId="3" fillId="0" borderId="0"/>
    <xf numFmtId="0" fontId="60" fillId="0" borderId="0"/>
    <xf numFmtId="0" fontId="217" fillId="0" borderId="0"/>
    <xf numFmtId="0" fontId="3" fillId="0" borderId="0"/>
    <xf numFmtId="0" fontId="3" fillId="0" borderId="0"/>
    <xf numFmtId="0" fontId="60" fillId="0" borderId="0"/>
    <xf numFmtId="0" fontId="1" fillId="0" borderId="0"/>
    <xf numFmtId="0" fontId="60" fillId="0" borderId="0"/>
    <xf numFmtId="0" fontId="60" fillId="0" borderId="0"/>
    <xf numFmtId="0" fontId="217" fillId="0" borderId="0"/>
    <xf numFmtId="0" fontId="3" fillId="0" borderId="0"/>
    <xf numFmtId="0" fontId="60" fillId="0" borderId="0"/>
    <xf numFmtId="0" fontId="3" fillId="0" borderId="0"/>
    <xf numFmtId="0" fontId="30" fillId="0" borderId="0"/>
    <xf numFmtId="0" fontId="60" fillId="0" borderId="0"/>
    <xf numFmtId="0" fontId="60" fillId="0" borderId="0"/>
    <xf numFmtId="0" fontId="217" fillId="0" borderId="0"/>
    <xf numFmtId="0" fontId="60" fillId="0" borderId="0"/>
    <xf numFmtId="0" fontId="60" fillId="0" borderId="0"/>
    <xf numFmtId="0" fontId="60" fillId="0" borderId="0"/>
    <xf numFmtId="0" fontId="10" fillId="0" borderId="0"/>
    <xf numFmtId="0" fontId="60" fillId="0" borderId="0"/>
    <xf numFmtId="0" fontId="60" fillId="0" borderId="0"/>
    <xf numFmtId="0" fontId="3" fillId="0" borderId="0"/>
    <xf numFmtId="37" fontId="36" fillId="0" borderId="0" applyNumberFormat="0" applyFill="0" applyAlignment="0"/>
    <xf numFmtId="37" fontId="36" fillId="0" borderId="0" applyNumberFormat="0" applyFill="0" applyAlignment="0"/>
    <xf numFmtId="0" fontId="60" fillId="0" borderId="0"/>
    <xf numFmtId="0" fontId="3" fillId="0" borderId="0"/>
    <xf numFmtId="0" fontId="219" fillId="0" borderId="0"/>
    <xf numFmtId="0" fontId="60" fillId="16" borderId="9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220" fillId="0" borderId="95"/>
    <xf numFmtId="0" fontId="221" fillId="0" borderId="0" applyProtection="0">
      <alignment horizontal="left"/>
      <protection hidden="1"/>
    </xf>
    <xf numFmtId="0" fontId="221" fillId="0" borderId="101" applyProtection="0">
      <alignment horizontal="left"/>
    </xf>
    <xf numFmtId="0" fontId="169" fillId="44" borderId="8" applyNumberFormat="0" applyFont="0" applyAlignment="0" applyProtection="0"/>
    <xf numFmtId="0" fontId="169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0" fontId="3" fillId="44" borderId="8" applyNumberFormat="0" applyFont="0" applyAlignment="0" applyProtection="0"/>
    <xf numFmtId="3" fontId="59" fillId="0" borderId="0" applyBorder="0"/>
    <xf numFmtId="4" fontId="68" fillId="0" borderId="95" applyNumberFormat="0" applyFont="0" applyFill="0" applyBorder="0" applyAlignment="0"/>
    <xf numFmtId="172" fontId="3" fillId="0" borderId="0" applyFont="0" applyFill="0" applyBorder="0" applyAlignment="0" applyProtection="0"/>
    <xf numFmtId="291" fontId="3" fillId="0" borderId="0" applyFont="0" applyFill="0" applyBorder="0" applyAlignment="0" applyProtection="0"/>
    <xf numFmtId="0" fontId="222" fillId="0" borderId="0"/>
    <xf numFmtId="225" fontId="7" fillId="104" borderId="0" applyNumberFormat="0" applyBorder="0" applyAlignment="0"/>
    <xf numFmtId="225" fontId="7" fillId="104" borderId="0" applyNumberFormat="0" applyBorder="0" applyAlignment="0"/>
    <xf numFmtId="0" fontId="116" fillId="88" borderId="44" applyNumberFormat="0" applyAlignment="0" applyProtection="0"/>
    <xf numFmtId="0" fontId="223" fillId="41" borderId="44" applyNumberFormat="0" applyAlignment="0" applyProtection="0"/>
    <xf numFmtId="0" fontId="223" fillId="41" borderId="44" applyNumberFormat="0" applyAlignment="0" applyProtection="0"/>
    <xf numFmtId="0" fontId="223" fillId="41" borderId="44" applyNumberFormat="0" applyAlignment="0" applyProtection="0"/>
    <xf numFmtId="0" fontId="223" fillId="41" borderId="44" applyNumberFormat="0" applyAlignment="0" applyProtection="0"/>
    <xf numFmtId="0" fontId="116" fillId="41" borderId="44" applyNumberFormat="0" applyAlignment="0" applyProtection="0"/>
    <xf numFmtId="0" fontId="73" fillId="0" borderId="3" applyFill="0" applyProtection="0">
      <alignment vertical="center" wrapText="1"/>
      <protection locked="0"/>
    </xf>
    <xf numFmtId="292" fontId="224" fillId="0" borderId="0" applyFill="0" applyBorder="0" applyAlignment="0">
      <protection hidden="1"/>
    </xf>
    <xf numFmtId="203" fontId="3" fillId="0" borderId="0" applyFont="0" applyFill="0" applyBorder="0" applyAlignment="0" applyProtection="0"/>
    <xf numFmtId="203" fontId="3" fillId="0" borderId="0" applyFont="0" applyFill="0" applyBorder="0" applyAlignment="0" applyProtection="0"/>
    <xf numFmtId="232" fontId="3" fillId="0" borderId="0" applyFont="0" applyFill="0" applyBorder="0" applyAlignment="0" applyProtection="0"/>
    <xf numFmtId="293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6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0" fillId="0" borderId="0" applyFont="0" applyFill="0" applyBorder="0" applyAlignment="0" applyProtection="0"/>
    <xf numFmtId="9" fontId="60" fillId="0" borderId="0" applyFont="0" applyFill="0" applyBorder="0" applyAlignment="0" applyProtection="0"/>
    <xf numFmtId="0" fontId="225" fillId="0" borderId="102"/>
    <xf numFmtId="233" fontId="102" fillId="0" borderId="0" applyFill="0" applyBorder="0" applyAlignment="0"/>
    <xf numFmtId="229" fontId="102" fillId="0" borderId="0" applyFill="0" applyBorder="0" applyAlignment="0"/>
    <xf numFmtId="233" fontId="102" fillId="0" borderId="0" applyFill="0" applyBorder="0" applyAlignment="0"/>
    <xf numFmtId="234" fontId="102" fillId="0" borderId="0" applyFill="0" applyBorder="0" applyAlignment="0"/>
    <xf numFmtId="229" fontId="102" fillId="0" borderId="0" applyFill="0" applyBorder="0" applyAlignment="0"/>
    <xf numFmtId="9" fontId="1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7" fontId="3" fillId="0" borderId="0" applyFont="0" applyFill="0" applyBorder="0" applyAlignment="0" applyProtection="0"/>
    <xf numFmtId="225" fontId="3" fillId="0" borderId="0" applyNumberFormat="0" applyFont="0" applyFill="0" applyBorder="0" applyAlignment="0">
      <protection locked="0" hidden="1"/>
    </xf>
    <xf numFmtId="225" fontId="3" fillId="0" borderId="0" applyNumberFormat="0" applyFont="0" applyFill="0" applyBorder="0" applyAlignment="0">
      <protection locked="0" hidden="1"/>
    </xf>
    <xf numFmtId="225" fontId="3" fillId="0" borderId="0" applyNumberFormat="0" applyFont="0" applyFill="0" applyBorder="0" applyAlignment="0"/>
    <xf numFmtId="225" fontId="3" fillId="0" borderId="0" applyNumberFormat="0" applyFont="0" applyFill="0" applyBorder="0" applyAlignment="0"/>
    <xf numFmtId="225" fontId="3" fillId="0" borderId="0" applyNumberFormat="0" applyFont="0" applyFill="0" applyBorder="0" applyAlignment="0">
      <protection hidden="1"/>
    </xf>
    <xf numFmtId="225" fontId="3" fillId="0" borderId="0" applyNumberFormat="0" applyFont="0" applyFill="0" applyBorder="0" applyAlignment="0">
      <protection hidden="1"/>
    </xf>
    <xf numFmtId="225" fontId="3" fillId="0" borderId="0" applyNumberFormat="0" applyFont="0" applyFill="0" applyBorder="0" applyAlignment="0">
      <protection locked="0"/>
    </xf>
    <xf numFmtId="225" fontId="3" fillId="0" borderId="0" applyNumberFormat="0" applyFont="0" applyFill="0" applyBorder="0" applyAlignment="0">
      <protection locked="0"/>
    </xf>
    <xf numFmtId="273" fontId="184" fillId="0" borderId="95">
      <alignment vertical="center"/>
    </xf>
    <xf numFmtId="9" fontId="226" fillId="0" borderId="79" applyFont="0" applyFill="0" applyBorder="0" applyAlignment="0" applyProtection="0">
      <alignment vertical="top" wrapText="1"/>
    </xf>
    <xf numFmtId="294" fontId="227" fillId="0" borderId="95" applyFill="0" applyBorder="0" applyAlignment="0" applyProtection="0">
      <alignment vertical="center"/>
    </xf>
    <xf numFmtId="0" fontId="34" fillId="0" borderId="0" applyNumberFormat="0" applyFont="0" applyFill="0" applyBorder="0" applyAlignment="0" applyProtection="0">
      <alignment horizontal="left"/>
    </xf>
    <xf numFmtId="15" fontId="34" fillId="0" borderId="0" applyFont="0" applyFill="0" applyBorder="0" applyAlignment="0" applyProtection="0"/>
    <xf numFmtId="4" fontId="34" fillId="0" borderId="0" applyFont="0" applyFill="0" applyBorder="0" applyAlignment="0" applyProtection="0"/>
    <xf numFmtId="0" fontId="228" fillId="0" borderId="17">
      <alignment horizontal="center"/>
    </xf>
    <xf numFmtId="3" fontId="34" fillId="0" borderId="0" applyFont="0" applyFill="0" applyBorder="0" applyAlignment="0" applyProtection="0"/>
    <xf numFmtId="0" fontId="34" fillId="105" borderId="0" applyNumberFormat="0" applyFont="0" applyBorder="0" applyAlignment="0" applyProtection="0"/>
    <xf numFmtId="295" fontId="5" fillId="0" borderId="0" applyFont="0" applyFill="0" applyBorder="0" applyAlignment="0" applyProtection="0">
      <alignment horizontal="right"/>
    </xf>
    <xf numFmtId="295" fontId="5" fillId="0" borderId="0" applyFont="0" applyFill="0" applyBorder="0" applyAlignment="0" applyProtection="0">
      <alignment horizontal="right"/>
    </xf>
    <xf numFmtId="49" fontId="59" fillId="0" borderId="0">
      <alignment horizontal="right"/>
    </xf>
    <xf numFmtId="0" fontId="229" fillId="104" borderId="0" applyBorder="0" applyAlignment="0" applyProtection="0"/>
    <xf numFmtId="0" fontId="230" fillId="0" borderId="0" applyFill="0" applyBorder="0">
      <alignment horizontal="right"/>
    </xf>
    <xf numFmtId="0" fontId="3" fillId="0" borderId="0" applyNumberFormat="0" applyFill="0" applyBorder="0">
      <alignment horizontal="left" vertical="center" wrapText="1"/>
    </xf>
    <xf numFmtId="0" fontId="3" fillId="0" borderId="0" applyNumberFormat="0" applyFill="0" applyBorder="0">
      <alignment horizontal="left" vertical="center" wrapText="1"/>
    </xf>
    <xf numFmtId="4" fontId="30" fillId="32" borderId="87" applyNumberFormat="0" applyProtection="0">
      <alignment vertical="center"/>
    </xf>
    <xf numFmtId="4" fontId="169" fillId="10" borderId="44" applyNumberFormat="0" applyProtection="0">
      <alignment vertical="center"/>
    </xf>
    <xf numFmtId="4" fontId="169" fillId="10" borderId="44" applyNumberFormat="0" applyProtection="0">
      <alignment vertical="center"/>
    </xf>
    <xf numFmtId="4" fontId="231" fillId="10" borderId="87" applyNumberFormat="0" applyProtection="0">
      <alignment vertical="center"/>
    </xf>
    <xf numFmtId="4" fontId="232" fillId="10" borderId="44" applyNumberFormat="0" applyProtection="0">
      <alignment vertical="center"/>
    </xf>
    <xf numFmtId="4" fontId="232" fillId="10" borderId="44" applyNumberFormat="0" applyProtection="0">
      <alignment vertical="center"/>
    </xf>
    <xf numFmtId="4" fontId="30" fillId="10" borderId="87" applyNumberFormat="0" applyProtection="0">
      <alignment horizontal="left" vertical="center" indent="1"/>
    </xf>
    <xf numFmtId="4" fontId="169" fillId="10" borderId="44" applyNumberFormat="0" applyProtection="0">
      <alignment horizontal="left" vertical="center" indent="1"/>
    </xf>
    <xf numFmtId="4" fontId="169" fillId="10" borderId="44" applyNumberFormat="0" applyProtection="0">
      <alignment horizontal="left" vertical="center" indent="1"/>
    </xf>
    <xf numFmtId="0" fontId="45" fillId="32" borderId="103" applyNumberFormat="0" applyProtection="0">
      <alignment horizontal="left" vertical="top" indent="1"/>
    </xf>
    <xf numFmtId="4" fontId="169" fillId="10" borderId="44" applyNumberFormat="0" applyProtection="0">
      <alignment horizontal="left" vertical="center" indent="1"/>
    </xf>
    <xf numFmtId="4" fontId="169" fillId="10" borderId="44" applyNumberFormat="0" applyProtection="0">
      <alignment horizontal="left" vertical="center" indent="1"/>
    </xf>
    <xf numFmtId="4" fontId="30" fillId="60" borderId="87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4" fontId="30" fillId="40" borderId="87" applyNumberFormat="0" applyProtection="0">
      <alignment horizontal="right" vertical="center"/>
    </xf>
    <xf numFmtId="4" fontId="169" fillId="101" borderId="44" applyNumberFormat="0" applyProtection="0">
      <alignment horizontal="right" vertical="center"/>
    </xf>
    <xf numFmtId="4" fontId="169" fillId="101" borderId="44" applyNumberFormat="0" applyProtection="0">
      <alignment horizontal="right" vertical="center"/>
    </xf>
    <xf numFmtId="4" fontId="30" fillId="22" borderId="87" applyNumberFormat="0" applyProtection="0">
      <alignment horizontal="right" vertical="center"/>
    </xf>
    <xf numFmtId="4" fontId="169" fillId="93" borderId="44" applyNumberFormat="0" applyProtection="0">
      <alignment horizontal="right" vertical="center"/>
    </xf>
    <xf numFmtId="4" fontId="169" fillId="93" borderId="44" applyNumberFormat="0" applyProtection="0">
      <alignment horizontal="right" vertical="center"/>
    </xf>
    <xf numFmtId="4" fontId="30" fillId="106" borderId="104" applyNumberFormat="0" applyProtection="0">
      <alignment horizontal="right" vertical="center"/>
    </xf>
    <xf numFmtId="4" fontId="169" fillId="107" borderId="44" applyNumberFormat="0" applyProtection="0">
      <alignment horizontal="right" vertical="center"/>
    </xf>
    <xf numFmtId="4" fontId="169" fillId="107" borderId="44" applyNumberFormat="0" applyProtection="0">
      <alignment horizontal="right" vertical="center"/>
    </xf>
    <xf numFmtId="4" fontId="30" fillId="108" borderId="87" applyNumberFormat="0" applyProtection="0">
      <alignment horizontal="right" vertical="center"/>
    </xf>
    <xf numFmtId="4" fontId="169" fillId="104" borderId="44" applyNumberFormat="0" applyProtection="0">
      <alignment horizontal="right" vertical="center"/>
    </xf>
    <xf numFmtId="4" fontId="169" fillId="104" borderId="44" applyNumberFormat="0" applyProtection="0">
      <alignment horizontal="right" vertical="center"/>
    </xf>
    <xf numFmtId="4" fontId="30" fillId="109" borderId="87" applyNumberFormat="0" applyProtection="0">
      <alignment horizontal="right" vertical="center"/>
    </xf>
    <xf numFmtId="4" fontId="169" fillId="110" borderId="44" applyNumberFormat="0" applyProtection="0">
      <alignment horizontal="right" vertical="center"/>
    </xf>
    <xf numFmtId="4" fontId="169" fillId="110" borderId="44" applyNumberFormat="0" applyProtection="0">
      <alignment horizontal="right" vertical="center"/>
    </xf>
    <xf numFmtId="4" fontId="30" fillId="111" borderId="87" applyNumberFormat="0" applyProtection="0">
      <alignment horizontal="right" vertical="center"/>
    </xf>
    <xf numFmtId="4" fontId="169" fillId="112" borderId="44" applyNumberFormat="0" applyProtection="0">
      <alignment horizontal="right" vertical="center"/>
    </xf>
    <xf numFmtId="4" fontId="169" fillId="112" borderId="44" applyNumberFormat="0" applyProtection="0">
      <alignment horizontal="right" vertical="center"/>
    </xf>
    <xf numFmtId="4" fontId="30" fillId="113" borderId="87" applyNumberFormat="0" applyProtection="0">
      <alignment horizontal="right" vertical="center"/>
    </xf>
    <xf numFmtId="4" fontId="169" fillId="114" borderId="44" applyNumberFormat="0" applyProtection="0">
      <alignment horizontal="right" vertical="center"/>
    </xf>
    <xf numFmtId="4" fontId="169" fillId="114" borderId="44" applyNumberFormat="0" applyProtection="0">
      <alignment horizontal="right" vertical="center"/>
    </xf>
    <xf numFmtId="4" fontId="30" fillId="115" borderId="87" applyNumberFormat="0" applyProtection="0">
      <alignment horizontal="right" vertical="center"/>
    </xf>
    <xf numFmtId="4" fontId="169" fillId="89" borderId="44" applyNumberFormat="0" applyProtection="0">
      <alignment horizontal="right" vertical="center"/>
    </xf>
    <xf numFmtId="4" fontId="169" fillId="89" borderId="44" applyNumberFormat="0" applyProtection="0">
      <alignment horizontal="right" vertical="center"/>
    </xf>
    <xf numFmtId="4" fontId="30" fillId="116" borderId="87" applyNumberFormat="0" applyProtection="0">
      <alignment horizontal="right" vertical="center"/>
    </xf>
    <xf numFmtId="4" fontId="169" fillId="45" borderId="44" applyNumberFormat="0" applyProtection="0">
      <alignment horizontal="right" vertical="center"/>
    </xf>
    <xf numFmtId="4" fontId="169" fillId="45" borderId="44" applyNumberFormat="0" applyProtection="0">
      <alignment horizontal="right" vertical="center"/>
    </xf>
    <xf numFmtId="4" fontId="30" fillId="117" borderId="104" applyNumberFormat="0" applyProtection="0">
      <alignment horizontal="left" vertical="center" indent="1"/>
    </xf>
    <xf numFmtId="4" fontId="61" fillId="118" borderId="44" applyNumberFormat="0" applyProtection="0">
      <alignment horizontal="left" vertical="center" indent="1"/>
    </xf>
    <xf numFmtId="4" fontId="61" fillId="118" borderId="44" applyNumberFormat="0" applyProtection="0">
      <alignment horizontal="left" vertical="center" indent="1"/>
    </xf>
    <xf numFmtId="4" fontId="3" fillId="80" borderId="104" applyNumberFormat="0" applyProtection="0">
      <alignment horizontal="left" vertical="center" indent="1"/>
    </xf>
    <xf numFmtId="4" fontId="169" fillId="85" borderId="105" applyNumberFormat="0" applyProtection="0">
      <alignment horizontal="left" vertical="center" indent="1"/>
    </xf>
    <xf numFmtId="4" fontId="169" fillId="85" borderId="105" applyNumberFormat="0" applyProtection="0">
      <alignment horizontal="left" vertical="center" indent="1"/>
    </xf>
    <xf numFmtId="4" fontId="3" fillId="80" borderId="104" applyNumberFormat="0" applyProtection="0">
      <alignment horizontal="left" vertical="center" indent="1"/>
    </xf>
    <xf numFmtId="4" fontId="79" fillId="119" borderId="0" applyNumberFormat="0" applyProtection="0">
      <alignment horizontal="left" vertical="center" indent="1"/>
    </xf>
    <xf numFmtId="4" fontId="79" fillId="119" borderId="0" applyNumberFormat="0" applyProtection="0">
      <alignment horizontal="left" vertical="center" indent="1"/>
    </xf>
    <xf numFmtId="4" fontId="30" fillId="120" borderId="87" applyNumberFormat="0" applyProtection="0">
      <alignment horizontal="right" vertical="center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4" fontId="30" fillId="121" borderId="104" applyNumberFormat="0" applyProtection="0">
      <alignment horizontal="left" vertical="center" indent="1"/>
    </xf>
    <xf numFmtId="4" fontId="169" fillId="85" borderId="44" applyNumberFormat="0" applyProtection="0">
      <alignment horizontal="left" vertical="center" indent="1"/>
    </xf>
    <xf numFmtId="4" fontId="169" fillId="85" borderId="44" applyNumberFormat="0" applyProtection="0">
      <alignment horizontal="left" vertical="center" indent="1"/>
    </xf>
    <xf numFmtId="4" fontId="30" fillId="120" borderId="104" applyNumberFormat="0" applyProtection="0">
      <alignment horizontal="left" vertical="center" indent="1"/>
    </xf>
    <xf numFmtId="4" fontId="169" fillId="122" borderId="44" applyNumberFormat="0" applyProtection="0">
      <alignment horizontal="left" vertical="center" indent="1"/>
    </xf>
    <xf numFmtId="4" fontId="169" fillId="122" borderId="44" applyNumberFormat="0" applyProtection="0">
      <alignment horizontal="left" vertical="center" indent="1"/>
    </xf>
    <xf numFmtId="0" fontId="30" fillId="41" borderId="87" applyNumberFormat="0" applyProtection="0">
      <alignment horizontal="left" vertical="center" indent="1"/>
    </xf>
    <xf numFmtId="0" fontId="3" fillId="122" borderId="44" applyNumberFormat="0" applyProtection="0">
      <alignment horizontal="left" vertical="center" indent="1"/>
    </xf>
    <xf numFmtId="0" fontId="3" fillId="122" borderId="44" applyNumberFormat="0" applyProtection="0">
      <alignment horizontal="left" vertical="center" indent="1"/>
    </xf>
    <xf numFmtId="0" fontId="30" fillId="80" borderId="103" applyNumberFormat="0" applyProtection="0">
      <alignment horizontal="left" vertical="top" indent="1"/>
    </xf>
    <xf numFmtId="0" fontId="3" fillId="122" borderId="44" applyNumberFormat="0" applyProtection="0">
      <alignment horizontal="left" vertical="center" indent="1"/>
    </xf>
    <xf numFmtId="0" fontId="3" fillId="122" borderId="44" applyNumberFormat="0" applyProtection="0">
      <alignment horizontal="left" vertical="center" indent="1"/>
    </xf>
    <xf numFmtId="0" fontId="30" fillId="123" borderId="87" applyNumberFormat="0" applyProtection="0">
      <alignment horizontal="left" vertical="center" indent="1"/>
    </xf>
    <xf numFmtId="0" fontId="3" fillId="124" borderId="44" applyNumberFormat="0" applyProtection="0">
      <alignment horizontal="left" vertical="center" indent="1"/>
    </xf>
    <xf numFmtId="0" fontId="3" fillId="124" borderId="44" applyNumberFormat="0" applyProtection="0">
      <alignment horizontal="left" vertical="center" indent="1"/>
    </xf>
    <xf numFmtId="0" fontId="30" fillId="120" borderId="103" applyNumberFormat="0" applyProtection="0">
      <alignment horizontal="left" vertical="top" indent="1"/>
    </xf>
    <xf numFmtId="0" fontId="3" fillId="124" borderId="44" applyNumberFormat="0" applyProtection="0">
      <alignment horizontal="left" vertical="center" indent="1"/>
    </xf>
    <xf numFmtId="0" fontId="3" fillId="124" borderId="44" applyNumberFormat="0" applyProtection="0">
      <alignment horizontal="left" vertical="center" indent="1"/>
    </xf>
    <xf numFmtId="0" fontId="30" fillId="125" borderId="87" applyNumberFormat="0" applyProtection="0">
      <alignment horizontal="left" vertical="center" indent="1"/>
    </xf>
    <xf numFmtId="0" fontId="3" fillId="19" borderId="44" applyNumberFormat="0" applyProtection="0">
      <alignment horizontal="left" vertical="center" indent="1"/>
    </xf>
    <xf numFmtId="0" fontId="3" fillId="19" borderId="44" applyNumberFormat="0" applyProtection="0">
      <alignment horizontal="left" vertical="center" indent="1"/>
    </xf>
    <xf numFmtId="0" fontId="30" fillId="125" borderId="103" applyNumberFormat="0" applyProtection="0">
      <alignment horizontal="left" vertical="top" indent="1"/>
    </xf>
    <xf numFmtId="0" fontId="3" fillId="19" borderId="44" applyNumberFormat="0" applyProtection="0">
      <alignment horizontal="left" vertical="center" indent="1"/>
    </xf>
    <xf numFmtId="0" fontId="3" fillId="19" borderId="44" applyNumberFormat="0" applyProtection="0">
      <alignment horizontal="left" vertical="center" indent="1"/>
    </xf>
    <xf numFmtId="0" fontId="30" fillId="121" borderId="87" applyNumberFormat="0" applyProtection="0">
      <alignment horizontal="left" vertical="center" indent="1"/>
    </xf>
    <xf numFmtId="0" fontId="3" fillId="15" borderId="103" applyNumberFormat="0" applyProtection="0">
      <alignment horizontal="left" vertical="center" indent="1"/>
    </xf>
    <xf numFmtId="0" fontId="3" fillId="15" borderId="103" applyNumberFormat="0" applyProtection="0">
      <alignment horizontal="left" vertical="center" indent="1"/>
    </xf>
    <xf numFmtId="0" fontId="3" fillId="15" borderId="103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3" fillId="15" borderId="103" applyNumberFormat="0" applyProtection="0">
      <alignment horizontal="left" vertical="center" indent="1"/>
    </xf>
    <xf numFmtId="0" fontId="30" fillId="121" borderId="103" applyNumberFormat="0" applyProtection="0">
      <alignment horizontal="left" vertical="top" indent="1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30" fillId="23" borderId="106" applyNumberFormat="0">
      <protection locked="0"/>
    </xf>
    <xf numFmtId="0" fontId="3" fillId="23" borderId="3" applyNumberFormat="0">
      <protection locked="0"/>
    </xf>
    <xf numFmtId="0" fontId="3" fillId="23" borderId="3" applyNumberFormat="0">
      <protection locked="0"/>
    </xf>
    <xf numFmtId="0" fontId="86" fillId="80" borderId="107" applyBorder="0"/>
    <xf numFmtId="4" fontId="81" fillId="44" borderId="103" applyNumberFormat="0" applyProtection="0">
      <alignment vertical="center"/>
    </xf>
    <xf numFmtId="4" fontId="169" fillId="25" borderId="44" applyNumberFormat="0" applyProtection="0">
      <alignment vertical="center"/>
    </xf>
    <xf numFmtId="4" fontId="169" fillId="25" borderId="44" applyNumberFormat="0" applyProtection="0">
      <alignment vertical="center"/>
    </xf>
    <xf numFmtId="4" fontId="231" fillId="25" borderId="3" applyNumberFormat="0" applyProtection="0">
      <alignment vertical="center"/>
    </xf>
    <xf numFmtId="4" fontId="232" fillId="25" borderId="44" applyNumberFormat="0" applyProtection="0">
      <alignment vertical="center"/>
    </xf>
    <xf numFmtId="4" fontId="232" fillId="25" borderId="44" applyNumberFormat="0" applyProtection="0">
      <alignment vertical="center"/>
    </xf>
    <xf numFmtId="4" fontId="81" fillId="41" borderId="103" applyNumberFormat="0" applyProtection="0">
      <alignment horizontal="left" vertical="center" indent="1"/>
    </xf>
    <xf numFmtId="4" fontId="169" fillId="25" borderId="44" applyNumberFormat="0" applyProtection="0">
      <alignment horizontal="left" vertical="center" indent="1"/>
    </xf>
    <xf numFmtId="4" fontId="169" fillId="25" borderId="44" applyNumberFormat="0" applyProtection="0">
      <alignment horizontal="left" vertical="center" indent="1"/>
    </xf>
    <xf numFmtId="0" fontId="81" fillId="44" borderId="103" applyNumberFormat="0" applyProtection="0">
      <alignment horizontal="left" vertical="top" indent="1"/>
    </xf>
    <xf numFmtId="4" fontId="169" fillId="25" borderId="44" applyNumberFormat="0" applyProtection="0">
      <alignment horizontal="left" vertical="center" indent="1"/>
    </xf>
    <xf numFmtId="4" fontId="169" fillId="25" borderId="44" applyNumberFormat="0" applyProtection="0">
      <alignment horizontal="left" vertical="center" indent="1"/>
    </xf>
    <xf numFmtId="4" fontId="30" fillId="0" borderId="87" applyNumberFormat="0" applyProtection="0">
      <alignment horizontal="right" vertical="center"/>
    </xf>
    <xf numFmtId="4" fontId="169" fillId="85" borderId="44" applyNumberFormat="0" applyProtection="0">
      <alignment horizontal="right" vertical="center"/>
    </xf>
    <xf numFmtId="4" fontId="169" fillId="85" borderId="44" applyNumberFormat="0" applyProtection="0">
      <alignment horizontal="right" vertical="center"/>
    </xf>
    <xf numFmtId="4" fontId="231" fillId="20" borderId="87" applyNumberFormat="0" applyProtection="0">
      <alignment horizontal="right" vertical="center"/>
    </xf>
    <xf numFmtId="4" fontId="232" fillId="85" borderId="44" applyNumberFormat="0" applyProtection="0">
      <alignment horizontal="right" vertical="center"/>
    </xf>
    <xf numFmtId="4" fontId="232" fillId="85" borderId="44" applyNumberFormat="0" applyProtection="0">
      <alignment horizontal="right" vertical="center"/>
    </xf>
    <xf numFmtId="4" fontId="30" fillId="60" borderId="87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4" fontId="169" fillId="120" borderId="103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0" fontId="81" fillId="120" borderId="103" applyNumberFormat="0" applyProtection="0">
      <alignment horizontal="left" vertical="top" indent="1"/>
    </xf>
    <xf numFmtId="0" fontId="3" fillId="34" borderId="44" applyNumberFormat="0" applyProtection="0">
      <alignment horizontal="left" vertical="center" indent="1"/>
    </xf>
    <xf numFmtId="0" fontId="3" fillId="34" borderId="44" applyNumberFormat="0" applyProtection="0">
      <alignment horizontal="left" vertical="center" indent="1"/>
    </xf>
    <xf numFmtId="4" fontId="233" fillId="26" borderId="104" applyNumberFormat="0" applyProtection="0">
      <alignment horizontal="left" vertical="center" indent="1"/>
    </xf>
    <xf numFmtId="0" fontId="234" fillId="0" borderId="0"/>
    <xf numFmtId="0" fontId="234" fillId="0" borderId="0"/>
    <xf numFmtId="0" fontId="30" fillId="126" borderId="3"/>
    <xf numFmtId="0" fontId="30" fillId="126" borderId="3"/>
    <xf numFmtId="4" fontId="235" fillId="23" borderId="87" applyNumberFormat="0" applyProtection="0">
      <alignment horizontal="right" vertical="center"/>
    </xf>
    <xf numFmtId="4" fontId="102" fillId="85" borderId="44" applyNumberFormat="0" applyProtection="0">
      <alignment horizontal="right" vertical="center"/>
    </xf>
    <xf numFmtId="4" fontId="102" fillId="85" borderId="44" applyNumberFormat="0" applyProtection="0">
      <alignment horizontal="right" vertical="center"/>
    </xf>
    <xf numFmtId="0" fontId="236" fillId="0" borderId="0" applyNumberFormat="0" applyFill="0" applyBorder="0" applyAlignment="0" applyProtection="0"/>
    <xf numFmtId="3" fontId="30" fillId="0" borderId="0"/>
    <xf numFmtId="1" fontId="66" fillId="0" borderId="0" applyBorder="0">
      <alignment horizontal="left" vertical="top" wrapText="1"/>
    </xf>
    <xf numFmtId="0" fontId="1" fillId="0" borderId="0"/>
    <xf numFmtId="0" fontId="30" fillId="0" borderId="0"/>
    <xf numFmtId="0" fontId="237" fillId="0" borderId="0"/>
    <xf numFmtId="0" fontId="1" fillId="0" borderId="0"/>
    <xf numFmtId="0" fontId="1" fillId="0" borderId="0"/>
    <xf numFmtId="0" fontId="2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4" fillId="0" borderId="0"/>
    <xf numFmtId="184" fontId="66" fillId="23" borderId="0"/>
    <xf numFmtId="184" fontId="66" fillId="23" borderId="0"/>
    <xf numFmtId="184" fontId="66" fillId="23" borderId="0"/>
    <xf numFmtId="184" fontId="66" fillId="23" borderId="0"/>
    <xf numFmtId="0" fontId="3" fillId="0" borderId="0"/>
    <xf numFmtId="0" fontId="3" fillId="0" borderId="0"/>
    <xf numFmtId="0" fontId="3" fillId="0" borderId="0"/>
    <xf numFmtId="263" fontId="3" fillId="0" borderId="0"/>
    <xf numFmtId="0" fontId="32" fillId="0" borderId="0"/>
    <xf numFmtId="0" fontId="213" fillId="0" borderId="0"/>
    <xf numFmtId="225" fontId="7" fillId="0" borderId="0" applyNumberFormat="0" applyFill="0" applyBorder="0" applyAlignment="0">
      <protection hidden="1"/>
    </xf>
    <xf numFmtId="225" fontId="7" fillId="0" borderId="0" applyNumberFormat="0" applyFill="0" applyBorder="0" applyAlignment="0">
      <protection hidden="1"/>
    </xf>
    <xf numFmtId="225" fontId="7" fillId="0" borderId="24" applyNumberFormat="0" applyFill="0" applyAlignment="0">
      <protection hidden="1"/>
    </xf>
    <xf numFmtId="225" fontId="7" fillId="0" borderId="24" applyNumberFormat="0" applyFill="0" applyAlignment="0">
      <protection hidden="1"/>
    </xf>
    <xf numFmtId="225" fontId="7" fillId="0" borderId="5" applyNumberFormat="0" applyFill="0" applyAlignment="0">
      <protection hidden="1"/>
    </xf>
    <xf numFmtId="225" fontId="7" fillId="0" borderId="5" applyNumberFormat="0" applyFill="0" applyAlignment="0">
      <protection hidden="1"/>
    </xf>
    <xf numFmtId="225" fontId="7" fillId="0" borderId="91" applyNumberFormat="0" applyFill="0" applyAlignment="0">
      <protection hidden="1"/>
    </xf>
    <xf numFmtId="225" fontId="7" fillId="0" borderId="91" applyNumberFormat="0" applyFill="0" applyAlignment="0">
      <protection hidden="1"/>
    </xf>
    <xf numFmtId="225" fontId="3" fillId="0" borderId="0">
      <protection hidden="1"/>
    </xf>
    <xf numFmtId="225" fontId="3" fillId="0" borderId="0">
      <protection hidden="1"/>
    </xf>
    <xf numFmtId="181" fontId="89" fillId="0" borderId="1" applyBorder="0" applyProtection="0">
      <alignment horizontal="right" vertical="center"/>
    </xf>
    <xf numFmtId="0" fontId="90" fillId="36" borderId="1" applyBorder="0" applyProtection="0">
      <alignment horizontal="centerContinuous" vertical="center"/>
    </xf>
    <xf numFmtId="0" fontId="53" fillId="0" borderId="108" applyFill="0" applyBorder="0" applyProtection="0">
      <alignment horizontal="left" vertical="top"/>
    </xf>
    <xf numFmtId="0" fontId="53" fillId="0" borderId="108" applyFill="0" applyBorder="0" applyProtection="0">
      <alignment horizontal="left" vertical="top"/>
    </xf>
    <xf numFmtId="0" fontId="53" fillId="0" borderId="108" applyFill="0" applyBorder="0" applyProtection="0">
      <alignment horizontal="left" vertical="top"/>
    </xf>
    <xf numFmtId="0" fontId="53" fillId="0" borderId="108" applyFill="0" applyBorder="0" applyProtection="0">
      <alignment horizontal="left" vertical="top"/>
    </xf>
    <xf numFmtId="0" fontId="53" fillId="0" borderId="108" applyFill="0" applyBorder="0" applyProtection="0">
      <alignment horizontal="left" vertical="top"/>
    </xf>
    <xf numFmtId="0" fontId="3" fillId="0" borderId="0"/>
    <xf numFmtId="0" fontId="3" fillId="0" borderId="0"/>
    <xf numFmtId="225" fontId="5" fillId="0" borderId="0" applyNumberFormat="0" applyFont="0" applyFill="0" applyBorder="0">
      <protection hidden="1"/>
    </xf>
    <xf numFmtId="225" fontId="5" fillId="0" borderId="0" applyNumberFormat="0" applyFont="0" applyFill="0" applyBorder="0">
      <alignment horizontal="left" indent="1"/>
      <protection hidden="1"/>
    </xf>
    <xf numFmtId="225" fontId="5" fillId="0" borderId="0" applyNumberFormat="0" applyFont="0" applyFill="0" applyBorder="0">
      <alignment horizontal="left" indent="2"/>
      <protection hidden="1"/>
    </xf>
    <xf numFmtId="225" fontId="5" fillId="0" borderId="0" applyNumberFormat="0" applyFont="0" applyFill="0" applyBorder="0">
      <alignment horizontal="left" indent="3"/>
      <protection hidden="1"/>
    </xf>
    <xf numFmtId="49" fontId="169" fillId="0" borderId="0" applyFill="0" applyBorder="0" applyAlignment="0"/>
    <xf numFmtId="296" fontId="169" fillId="0" borderId="0" applyFill="0" applyBorder="0" applyAlignment="0"/>
    <xf numFmtId="297" fontId="169" fillId="0" borderId="0" applyFill="0" applyBorder="0" applyAlignment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8" fontId="7" fillId="0" borderId="5" applyFont="0" applyFill="0" applyBorder="0" applyAlignment="0">
      <protection hidden="1"/>
    </xf>
    <xf numFmtId="298" fontId="7" fillId="0" borderId="5" applyFont="0" applyFill="0" applyBorder="0" applyAlignment="0">
      <protection hidden="1"/>
    </xf>
    <xf numFmtId="186" fontId="239" fillId="127" borderId="0" applyNumberFormat="0">
      <alignment vertical="center"/>
    </xf>
    <xf numFmtId="186" fontId="240" fillId="34" borderId="0" applyNumberFormat="0">
      <alignment vertical="center"/>
    </xf>
    <xf numFmtId="186" fontId="241" fillId="0" borderId="0" applyNumberFormat="0">
      <alignment vertical="center"/>
    </xf>
    <xf numFmtId="186" fontId="11" fillId="0" borderId="0" applyNumberFormat="0">
      <alignment vertical="center"/>
    </xf>
    <xf numFmtId="1" fontId="7" fillId="0" borderId="21" applyNumberFormat="0" applyProtection="0">
      <alignment horizontal="left" vertical="center"/>
    </xf>
    <xf numFmtId="1" fontId="7" fillId="0" borderId="21" applyNumberFormat="0" applyProtection="0">
      <alignment horizontal="left" vertical="center"/>
    </xf>
    <xf numFmtId="0" fontId="119" fillId="0" borderId="109" applyNumberFormat="0" applyFill="0" applyAlignment="0" applyProtection="0"/>
    <xf numFmtId="0" fontId="119" fillId="0" borderId="45" applyNumberFormat="0" applyFill="0" applyAlignment="0" applyProtection="0"/>
    <xf numFmtId="3" fontId="42" fillId="0" borderId="1" applyNumberFormat="0"/>
    <xf numFmtId="14" fontId="3" fillId="19" borderId="110" applyFont="0" applyFill="0" applyBorder="0" applyAlignment="0" applyProtection="0">
      <alignment horizontal="center" vertical="top" wrapText="1"/>
    </xf>
    <xf numFmtId="299" fontId="3" fillId="0" borderId="0" applyFont="0" applyFill="0" applyBorder="0" applyAlignment="0">
      <protection hidden="1"/>
    </xf>
    <xf numFmtId="299" fontId="3" fillId="0" borderId="0" applyFont="0" applyFill="0" applyBorder="0" applyAlignment="0">
      <protection hidden="1"/>
    </xf>
    <xf numFmtId="272" fontId="242" fillId="0" borderId="0">
      <alignment horizontal="left" vertical="center"/>
    </xf>
    <xf numFmtId="0" fontId="243" fillId="0" borderId="0">
      <alignment vertical="center"/>
    </xf>
    <xf numFmtId="272" fontId="244" fillId="0" borderId="0">
      <alignment horizontal="left" vertical="center"/>
    </xf>
    <xf numFmtId="191" fontId="245" fillId="0" borderId="0">
      <alignment horizontal="left" vertical="center"/>
    </xf>
    <xf numFmtId="0" fontId="222" fillId="0" borderId="0"/>
    <xf numFmtId="300" fontId="5" fillId="0" borderId="0" applyFont="0" applyFill="0" applyBorder="0" applyAlignment="0">
      <protection hidden="1"/>
    </xf>
    <xf numFmtId="301" fontId="5" fillId="0" borderId="0" applyFont="0" applyFill="0" applyBorder="0" applyAlignment="0">
      <protection hidden="1"/>
    </xf>
    <xf numFmtId="37" fontId="3" fillId="0" borderId="0" applyFont="0" applyFill="0" applyBorder="0" applyAlignment="0" applyProtection="0"/>
    <xf numFmtId="214" fontId="30" fillId="0" borderId="0" applyFont="0" applyFill="0" applyBorder="0" applyAlignment="0" applyProtection="0"/>
    <xf numFmtId="44" fontId="60" fillId="0" borderId="0" applyFont="0" applyFill="0" applyBorder="0" applyAlignment="0" applyProtection="0"/>
    <xf numFmtId="21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302" fontId="34" fillId="0" borderId="0" applyFont="0" applyFill="0" applyBorder="0" applyAlignment="0" applyProtection="0"/>
    <xf numFmtId="303" fontId="34" fillId="0" borderId="0" applyFont="0" applyFill="0" applyBorder="0" applyAlignment="0" applyProtection="0"/>
    <xf numFmtId="0" fontId="246" fillId="0" borderId="0" applyNumberFormat="0" applyFill="0" applyBorder="0" applyAlignment="0" applyProtection="0"/>
    <xf numFmtId="0" fontId="165" fillId="0" borderId="0" applyNumberFormat="0" applyFont="0" applyFill="0" applyBorder="0" applyProtection="0">
      <alignment horizontal="center" vertical="center" wrapText="1"/>
    </xf>
    <xf numFmtId="225" fontId="3" fillId="0" borderId="0" applyNumberFormat="0" applyFont="0" applyFill="0" applyBorder="0">
      <alignment wrapText="1"/>
      <protection hidden="1"/>
    </xf>
    <xf numFmtId="225" fontId="3" fillId="0" borderId="0" applyNumberFormat="0" applyFont="0" applyFill="0" applyBorder="0">
      <alignment wrapText="1"/>
      <protection hidden="1"/>
    </xf>
    <xf numFmtId="304" fontId="7" fillId="0" borderId="17">
      <protection hidden="1"/>
    </xf>
    <xf numFmtId="304" fontId="7" fillId="0" borderId="17">
      <protection hidden="1"/>
    </xf>
    <xf numFmtId="305" fontId="7" fillId="0" borderId="17">
      <protection hidden="1"/>
    </xf>
    <xf numFmtId="305" fontId="7" fillId="0" borderId="17">
      <protection hidden="1"/>
    </xf>
    <xf numFmtId="199" fontId="94" fillId="0" borderId="1" applyBorder="0" applyProtection="0">
      <alignment horizontal="right"/>
    </xf>
    <xf numFmtId="199" fontId="94" fillId="0" borderId="1" applyBorder="0" applyProtection="0">
      <alignment horizontal="right"/>
    </xf>
    <xf numFmtId="199" fontId="94" fillId="0" borderId="1" applyBorder="0" applyProtection="0">
      <alignment horizontal="right"/>
    </xf>
    <xf numFmtId="199" fontId="94" fillId="0" borderId="1" applyBorder="0" applyProtection="0">
      <alignment horizontal="right"/>
    </xf>
    <xf numFmtId="1" fontId="247" fillId="0" borderId="0"/>
    <xf numFmtId="0" fontId="7" fillId="0" borderId="17">
      <protection hidden="1"/>
    </xf>
    <xf numFmtId="306" fontId="3" fillId="0" borderId="0" applyFont="0" applyFill="0" applyBorder="0" applyAlignment="0">
      <protection hidden="1"/>
    </xf>
    <xf numFmtId="306" fontId="3" fillId="0" borderId="0" applyFont="0" applyFill="0" applyBorder="0" applyAlignment="0">
      <protection hidden="1"/>
    </xf>
    <xf numFmtId="307" fontId="3" fillId="0" borderId="0" applyFont="0" applyFill="0" applyBorder="0" applyAlignment="0">
      <protection hidden="1"/>
    </xf>
    <xf numFmtId="307" fontId="3" fillId="0" borderId="0" applyFont="0" applyFill="0" applyBorder="0" applyAlignment="0">
      <protection hidden="1"/>
    </xf>
    <xf numFmtId="4" fontId="30" fillId="25" borderId="22"/>
    <xf numFmtId="4" fontId="30" fillId="25" borderId="22"/>
    <xf numFmtId="41" fontId="3" fillId="0" borderId="0" applyFont="0" applyFill="0" applyBorder="0" applyAlignment="0" applyProtection="0"/>
    <xf numFmtId="0" fontId="248" fillId="0" borderId="0"/>
    <xf numFmtId="0" fontId="3" fillId="0" borderId="0"/>
  </cellStyleXfs>
  <cellXfs count="981">
    <xf numFmtId="0" fontId="0" fillId="0" borderId="0" xfId="0"/>
    <xf numFmtId="0" fontId="3" fillId="2" borderId="0" xfId="0" applyFont="1" applyFill="1" applyBorder="1"/>
    <xf numFmtId="0" fontId="3" fillId="2" borderId="0" xfId="2" applyFont="1" applyFill="1" applyBorder="1"/>
    <xf numFmtId="49" fontId="3" fillId="2" borderId="0" xfId="0" applyNumberFormat="1" applyFont="1" applyFill="1" applyBorder="1"/>
    <xf numFmtId="0" fontId="4" fillId="2" borderId="0" xfId="0" applyFont="1" applyFill="1" applyBorder="1"/>
    <xf numFmtId="0" fontId="5" fillId="0" borderId="0" xfId="0" applyFont="1" applyFill="1" applyBorder="1"/>
    <xf numFmtId="0" fontId="0" fillId="3" borderId="0" xfId="0" applyFill="1"/>
    <xf numFmtId="0" fontId="6" fillId="2" borderId="0" xfId="2" applyFont="1" applyFill="1" applyBorder="1"/>
    <xf numFmtId="0" fontId="7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3" fillId="2" borderId="1" xfId="0" applyFont="1" applyFill="1" applyBorder="1"/>
    <xf numFmtId="0" fontId="3" fillId="2" borderId="1" xfId="2" applyFont="1" applyFill="1" applyBorder="1"/>
    <xf numFmtId="49" fontId="3" fillId="2" borderId="1" xfId="0" applyNumberFormat="1" applyFont="1" applyFill="1" applyBorder="1"/>
    <xf numFmtId="0" fontId="4" fillId="2" borderId="1" xfId="0" applyFont="1" applyFill="1" applyBorder="1"/>
    <xf numFmtId="0" fontId="9" fillId="5" borderId="0" xfId="2" applyFont="1" applyFill="1" applyBorder="1"/>
    <xf numFmtId="0" fontId="9" fillId="5" borderId="0" xfId="3" applyFont="1" applyFill="1" applyBorder="1"/>
    <xf numFmtId="44" fontId="9" fillId="5" borderId="0" xfId="4" applyFont="1" applyFill="1" applyBorder="1"/>
    <xf numFmtId="0" fontId="3" fillId="0" borderId="0" xfId="0" applyFont="1" applyFill="1" applyBorder="1"/>
    <xf numFmtId="0" fontId="3" fillId="5" borderId="0" xfId="2" applyFont="1" applyFill="1" applyBorder="1"/>
    <xf numFmtId="0" fontId="7" fillId="0" borderId="0" xfId="3" applyFont="1" applyFill="1" applyBorder="1"/>
    <xf numFmtId="0" fontId="7" fillId="6" borderId="2" xfId="3" applyFont="1" applyFill="1" applyBorder="1"/>
    <xf numFmtId="0" fontId="3" fillId="0" borderId="3" xfId="0" applyFont="1" applyFill="1" applyBorder="1"/>
    <xf numFmtId="0" fontId="3" fillId="6" borderId="2" xfId="3" applyFont="1" applyFill="1" applyBorder="1"/>
    <xf numFmtId="0" fontId="4" fillId="0" borderId="3" xfId="0" applyFont="1" applyFill="1" applyBorder="1"/>
    <xf numFmtId="0" fontId="10" fillId="0" borderId="0" xfId="0" applyFont="1" applyFill="1" applyBorder="1"/>
    <xf numFmtId="44" fontId="9" fillId="5" borderId="4" xfId="4" applyFont="1" applyFill="1" applyBorder="1"/>
    <xf numFmtId="0" fontId="5" fillId="5" borderId="0" xfId="2" applyFont="1" applyFill="1" applyBorder="1"/>
    <xf numFmtId="0" fontId="3" fillId="0" borderId="2" xfId="3" applyFont="1" applyFill="1" applyBorder="1"/>
    <xf numFmtId="0" fontId="3" fillId="0" borderId="0" xfId="3" applyFont="1" applyFill="1" applyBorder="1"/>
    <xf numFmtId="0" fontId="4" fillId="0" borderId="0" xfId="0" applyFont="1" applyFill="1" applyBorder="1"/>
    <xf numFmtId="0" fontId="11" fillId="0" borderId="0" xfId="0" applyFont="1" applyFill="1" applyBorder="1"/>
    <xf numFmtId="0" fontId="3" fillId="0" borderId="5" xfId="0" applyFont="1" applyFill="1" applyBorder="1"/>
    <xf numFmtId="0" fontId="4" fillId="0" borderId="5" xfId="0" applyFont="1" applyFill="1" applyBorder="1"/>
    <xf numFmtId="0" fontId="3" fillId="0" borderId="4" xfId="0" applyFont="1" applyFill="1" applyBorder="1"/>
    <xf numFmtId="1" fontId="7" fillId="0" borderId="3" xfId="6" applyNumberFormat="1" applyFont="1" applyFill="1" applyBorder="1" applyAlignment="1">
      <alignment horizontal="center" vertical="center"/>
    </xf>
    <xf numFmtId="1" fontId="7" fillId="0" borderId="3" xfId="6" quotePrefix="1" applyNumberFormat="1" applyFont="1" applyFill="1" applyBorder="1" applyAlignment="1">
      <alignment horizontal="center" vertical="center"/>
    </xf>
    <xf numFmtId="0" fontId="4" fillId="6" borderId="2" xfId="3" applyFont="1" applyFill="1" applyBorder="1"/>
    <xf numFmtId="0" fontId="3" fillId="0" borderId="0" xfId="2" applyFont="1" applyFill="1" applyBorder="1"/>
    <xf numFmtId="0" fontId="3" fillId="0" borderId="0" xfId="7" applyFont="1" applyFill="1" applyBorder="1"/>
    <xf numFmtId="0" fontId="13" fillId="0" borderId="3" xfId="7" applyFont="1" applyFill="1" applyBorder="1"/>
    <xf numFmtId="0" fontId="4" fillId="0" borderId="3" xfId="7" applyFont="1" applyFill="1" applyBorder="1"/>
    <xf numFmtId="0" fontId="3" fillId="0" borderId="3" xfId="7" applyFont="1" applyFill="1" applyBorder="1"/>
    <xf numFmtId="0" fontId="14" fillId="0" borderId="3" xfId="7" applyFont="1" applyFill="1" applyBorder="1"/>
    <xf numFmtId="0" fontId="8" fillId="5" borderId="0" xfId="2" applyFont="1" applyFill="1" applyBorder="1"/>
    <xf numFmtId="44" fontId="8" fillId="5" borderId="0" xfId="4" applyFont="1" applyFill="1" applyBorder="1"/>
    <xf numFmtId="0" fontId="7" fillId="0" borderId="0" xfId="0" applyFont="1" applyFill="1" applyBorder="1"/>
    <xf numFmtId="0" fontId="4" fillId="0" borderId="0" xfId="7" applyFont="1" applyFill="1" applyBorder="1"/>
    <xf numFmtId="0" fontId="3" fillId="6" borderId="3" xfId="3" applyFont="1" applyFill="1" applyBorder="1"/>
    <xf numFmtId="0" fontId="3" fillId="0" borderId="2" xfId="0" applyFont="1" applyFill="1" applyBorder="1"/>
    <xf numFmtId="0" fontId="4" fillId="0" borderId="4" xfId="0" applyFont="1" applyFill="1" applyBorder="1"/>
    <xf numFmtId="0" fontId="3" fillId="0" borderId="0" xfId="0" applyFont="1"/>
    <xf numFmtId="0" fontId="3" fillId="0" borderId="0" xfId="2" applyFont="1"/>
    <xf numFmtId="168" fontId="5" fillId="0" borderId="0" xfId="0" applyNumberFormat="1" applyFont="1" applyFill="1" applyBorder="1"/>
    <xf numFmtId="44" fontId="15" fillId="9" borderId="4" xfId="4" applyFont="1" applyFill="1" applyBorder="1"/>
    <xf numFmtId="169" fontId="5" fillId="0" borderId="0" xfId="0" applyNumberFormat="1" applyFont="1" applyFill="1" applyBorder="1"/>
    <xf numFmtId="0" fontId="14" fillId="0" borderId="0" xfId="7" applyFont="1" applyFill="1" applyBorder="1"/>
    <xf numFmtId="0" fontId="16" fillId="0" borderId="0" xfId="2" applyFont="1" applyFill="1" applyBorder="1"/>
    <xf numFmtId="0" fontId="3" fillId="6" borderId="0" xfId="3" applyFont="1" applyFill="1" applyBorder="1"/>
    <xf numFmtId="44" fontId="3" fillId="0" borderId="0" xfId="4" applyFont="1" applyFill="1" applyBorder="1"/>
    <xf numFmtId="0" fontId="4" fillId="0" borderId="0" xfId="2" applyFont="1" applyFill="1" applyBorder="1"/>
    <xf numFmtId="44" fontId="3" fillId="8" borderId="3" xfId="4" applyFont="1" applyFill="1" applyBorder="1"/>
    <xf numFmtId="0" fontId="3" fillId="0" borderId="0" xfId="0" applyFont="1" applyAlignment="1" applyProtection="1">
      <protection locked="0"/>
    </xf>
    <xf numFmtId="0" fontId="3" fillId="0" borderId="0" xfId="0" applyFont="1" applyProtection="1"/>
    <xf numFmtId="0" fontId="18" fillId="0" borderId="0" xfId="0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19" fillId="0" borderId="6" xfId="0" applyFont="1" applyBorder="1" applyProtection="1"/>
    <xf numFmtId="0" fontId="19" fillId="0" borderId="6" xfId="0" applyFont="1" applyBorder="1" applyProtection="1">
      <protection locked="0"/>
    </xf>
    <xf numFmtId="0" fontId="19" fillId="0" borderId="6" xfId="0" applyFont="1" applyFill="1" applyBorder="1" applyAlignment="1" applyProtection="1">
      <alignment horizontal="center"/>
    </xf>
    <xf numFmtId="0" fontId="20" fillId="0" borderId="6" xfId="0" applyFont="1" applyBorder="1" applyAlignment="1" applyProtection="1">
      <alignment horizontal="center"/>
    </xf>
    <xf numFmtId="0" fontId="0" fillId="0" borderId="0" xfId="0" applyFont="1" applyAlignment="1" applyProtection="1"/>
    <xf numFmtId="0" fontId="7" fillId="0" borderId="0" xfId="0" applyFont="1" applyProtection="1"/>
    <xf numFmtId="0" fontId="0" fillId="0" borderId="0" xfId="0" applyFont="1" applyProtection="1"/>
    <xf numFmtId="0" fontId="7" fillId="0" borderId="0" xfId="0" applyFont="1" applyAlignment="1">
      <alignment vertical="center" wrapText="1"/>
    </xf>
    <xf numFmtId="0" fontId="0" fillId="0" borderId="0" xfId="0" applyFont="1" applyFill="1" applyBorder="1" applyAlignment="1" applyProtection="1"/>
    <xf numFmtId="0" fontId="4" fillId="0" borderId="0" xfId="0" applyFont="1" applyProtection="1"/>
    <xf numFmtId="0" fontId="4" fillId="0" borderId="0" xfId="0" applyFont="1" applyBorder="1" applyProtection="1"/>
    <xf numFmtId="20" fontId="4" fillId="0" borderId="0" xfId="0" applyNumberFormat="1" applyFont="1" applyBorder="1" applyProtection="1"/>
    <xf numFmtId="0" fontId="4" fillId="0" borderId="0" xfId="0" applyFont="1" applyFill="1" applyBorder="1" applyProtection="1"/>
    <xf numFmtId="20" fontId="4" fillId="0" borderId="0" xfId="0" quotePrefix="1" applyNumberFormat="1" applyFont="1" applyBorder="1" applyProtection="1"/>
    <xf numFmtId="0" fontId="4" fillId="0" borderId="0" xfId="0" quotePrefix="1" applyFont="1" applyProtection="1"/>
    <xf numFmtId="3" fontId="21" fillId="0" borderId="0" xfId="0" applyNumberFormat="1" applyFont="1" applyBorder="1" applyAlignment="1" applyProtection="1"/>
    <xf numFmtId="0" fontId="7" fillId="0" borderId="0" xfId="0" applyFont="1" applyFill="1" applyAlignment="1" applyProtection="1">
      <alignment horizontal="center"/>
    </xf>
    <xf numFmtId="0" fontId="19" fillId="0" borderId="0" xfId="0" applyFont="1" applyProtection="1"/>
    <xf numFmtId="0" fontId="7" fillId="0" borderId="0" xfId="0" applyFont="1" applyAlignment="1" applyProtection="1"/>
    <xf numFmtId="0" fontId="18" fillId="0" borderId="0" xfId="0" applyFont="1" applyFill="1" applyBorder="1" applyAlignment="1" applyProtection="1"/>
    <xf numFmtId="0" fontId="3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left"/>
    </xf>
    <xf numFmtId="0" fontId="22" fillId="0" borderId="0" xfId="0" applyFont="1" applyProtection="1"/>
    <xf numFmtId="0" fontId="23" fillId="0" borderId="0" xfId="0" applyFont="1" applyProtection="1"/>
    <xf numFmtId="0" fontId="23" fillId="0" borderId="0" xfId="0" applyFont="1" applyAlignment="1" applyProtection="1">
      <alignment horizontal="center"/>
    </xf>
    <xf numFmtId="0" fontId="24" fillId="0" borderId="0" xfId="0" applyFont="1" applyProtection="1"/>
    <xf numFmtId="0" fontId="0" fillId="0" borderId="0" xfId="0" applyFont="1" applyAlignment="1" applyProtection="1">
      <alignment horizontal="center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3" fontId="3" fillId="0" borderId="0" xfId="0" applyNumberFormat="1" applyFont="1" applyAlignment="1" applyProtection="1"/>
    <xf numFmtId="3" fontId="0" fillId="0" borderId="0" xfId="0" applyNumberFormat="1" applyAlignment="1" applyProtection="1"/>
    <xf numFmtId="3" fontId="7" fillId="0" borderId="8" xfId="0" applyNumberFormat="1" applyFont="1" applyBorder="1" applyAlignment="1" applyProtection="1"/>
    <xf numFmtId="4" fontId="0" fillId="0" borderId="0" xfId="0" applyNumberFormat="1" applyAlignment="1" applyProtection="1">
      <alignment horizontal="center"/>
    </xf>
    <xf numFmtId="3" fontId="7" fillId="0" borderId="0" xfId="0" applyNumberFormat="1" applyFont="1" applyAlignment="1" applyProtection="1">
      <alignment horizontal="center"/>
    </xf>
    <xf numFmtId="3" fontId="0" fillId="0" borderId="0" xfId="0" applyNumberFormat="1" applyAlignment="1" applyProtection="1">
      <protection locked="0"/>
    </xf>
    <xf numFmtId="4" fontId="25" fillId="10" borderId="7" xfId="0" applyNumberFormat="1" applyFont="1" applyFill="1" applyBorder="1" applyAlignment="1" applyProtection="1">
      <alignment horizontal="center"/>
    </xf>
    <xf numFmtId="4" fontId="4" fillId="10" borderId="7" xfId="0" applyNumberFormat="1" applyFont="1" applyFill="1" applyBorder="1" applyAlignment="1" applyProtection="1">
      <alignment horizontal="center"/>
    </xf>
    <xf numFmtId="3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center"/>
      <protection locked="0"/>
    </xf>
    <xf numFmtId="0" fontId="7" fillId="0" borderId="0" xfId="0" applyFont="1" applyAlignment="1">
      <alignment horizontal="center" vertical="center" wrapText="1"/>
    </xf>
    <xf numFmtId="0" fontId="2" fillId="0" borderId="0" xfId="0" applyFont="1"/>
    <xf numFmtId="0" fontId="1" fillId="17" borderId="0" xfId="9" applyFont="1" applyFill="1"/>
    <xf numFmtId="0" fontId="1" fillId="0" borderId="10" xfId="9" applyFont="1" applyFill="1" applyBorder="1"/>
    <xf numFmtId="0" fontId="1" fillId="0" borderId="0" xfId="9" applyFont="1"/>
    <xf numFmtId="0" fontId="1" fillId="0" borderId="10" xfId="9" applyFont="1" applyBorder="1"/>
    <xf numFmtId="3" fontId="7" fillId="0" borderId="0" xfId="0" applyNumberFormat="1" applyFont="1" applyAlignment="1" applyProtection="1">
      <alignment horizontal="left"/>
    </xf>
    <xf numFmtId="3" fontId="0" fillId="0" borderId="0" xfId="0" applyNumberFormat="1" applyAlignment="1" applyProtection="1">
      <alignment horizontal="left"/>
    </xf>
    <xf numFmtId="0" fontId="0" fillId="0" borderId="0" xfId="0" applyFont="1" applyAlignment="1" applyProtection="1">
      <alignment horizontal="left"/>
    </xf>
    <xf numFmtId="0" fontId="0" fillId="0" borderId="0" xfId="0" applyFont="1" applyFill="1" applyBorder="1" applyAlignment="1" applyProtection="1">
      <alignment horizontal="left"/>
    </xf>
    <xf numFmtId="3" fontId="0" fillId="0" borderId="0" xfId="0" applyNumberFormat="1" applyAlignment="1" applyProtection="1">
      <alignment horizontal="left"/>
      <protection locked="0"/>
    </xf>
    <xf numFmtId="4" fontId="4" fillId="0" borderId="7" xfId="0" applyNumberFormat="1" applyFont="1" applyFill="1" applyBorder="1" applyAlignment="1" applyProtection="1">
      <alignment horizontal="center"/>
    </xf>
    <xf numFmtId="4" fontId="4" fillId="0" borderId="0" xfId="0" applyNumberFormat="1" applyFont="1" applyFill="1" applyBorder="1" applyAlignment="1" applyProtection="1">
      <alignment horizontal="center"/>
    </xf>
    <xf numFmtId="0" fontId="27" fillId="0" borderId="0" xfId="0" applyFont="1" applyProtection="1"/>
    <xf numFmtId="0" fontId="26" fillId="0" borderId="0" xfId="0" applyFont="1"/>
    <xf numFmtId="4" fontId="27" fillId="0" borderId="7" xfId="0" applyNumberFormat="1" applyFont="1" applyFill="1" applyBorder="1" applyAlignment="1" applyProtection="1">
      <alignment horizontal="center"/>
    </xf>
    <xf numFmtId="20" fontId="4" fillId="0" borderId="0" xfId="0" applyNumberFormat="1" applyFont="1" applyFill="1" applyBorder="1" applyProtection="1"/>
    <xf numFmtId="0" fontId="95" fillId="0" borderId="0" xfId="0" applyFont="1" applyProtection="1"/>
    <xf numFmtId="2" fontId="0" fillId="0" borderId="0" xfId="0" applyNumberFormat="1"/>
    <xf numFmtId="0" fontId="2" fillId="0" borderId="0" xfId="0" applyFont="1" applyAlignment="1">
      <alignment wrapText="1"/>
    </xf>
    <xf numFmtId="0" fontId="2" fillId="0" borderId="23" xfId="0" applyFont="1" applyBorder="1"/>
    <xf numFmtId="0" fontId="2" fillId="0" borderId="24" xfId="0" applyFont="1" applyBorder="1"/>
    <xf numFmtId="0" fontId="2" fillId="0" borderId="13" xfId="0" applyFont="1" applyBorder="1"/>
    <xf numFmtId="0" fontId="2" fillId="11" borderId="0" xfId="0" applyFont="1" applyFill="1" applyBorder="1"/>
    <xf numFmtId="0" fontId="2" fillId="12" borderId="0" xfId="0" applyFont="1" applyFill="1" applyBorder="1"/>
    <xf numFmtId="0" fontId="2" fillId="13" borderId="0" xfId="0" applyFont="1" applyFill="1" applyBorder="1"/>
    <xf numFmtId="0" fontId="2" fillId="13" borderId="19" xfId="0" applyFont="1" applyFill="1" applyBorder="1"/>
    <xf numFmtId="0" fontId="2" fillId="0" borderId="26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11" borderId="1" xfId="0" applyFont="1" applyFill="1" applyBorder="1" applyAlignment="1">
      <alignment wrapText="1"/>
    </xf>
    <xf numFmtId="0" fontId="2" fillId="12" borderId="1" xfId="0" applyFont="1" applyFill="1" applyBorder="1" applyAlignment="1">
      <alignment wrapText="1"/>
    </xf>
    <xf numFmtId="0" fontId="2" fillId="13" borderId="1" xfId="0" applyFont="1" applyFill="1" applyBorder="1" applyAlignment="1">
      <alignment wrapText="1"/>
    </xf>
    <xf numFmtId="0" fontId="2" fillId="13" borderId="27" xfId="0" applyFont="1" applyFill="1" applyBorder="1" applyAlignment="1">
      <alignment wrapText="1"/>
    </xf>
    <xf numFmtId="0" fontId="2" fillId="13" borderId="13" xfId="0" applyFont="1" applyFill="1" applyBorder="1"/>
    <xf numFmtId="0" fontId="2" fillId="13" borderId="26" xfId="0" applyFont="1" applyFill="1" applyBorder="1" applyAlignment="1">
      <alignment wrapText="1"/>
    </xf>
    <xf numFmtId="2" fontId="0" fillId="0" borderId="13" xfId="0" applyNumberFormat="1" applyBorder="1"/>
    <xf numFmtId="9" fontId="0" fillId="0" borderId="0" xfId="1" applyFont="1" applyBorder="1"/>
    <xf numFmtId="0" fontId="0" fillId="0" borderId="19" xfId="0" applyBorder="1"/>
    <xf numFmtId="2" fontId="0" fillId="0" borderId="26" xfId="0" applyNumberFormat="1" applyBorder="1"/>
    <xf numFmtId="9" fontId="0" fillId="0" borderId="1" xfId="1" applyFont="1" applyBorder="1"/>
    <xf numFmtId="0" fontId="0" fillId="0" borderId="27" xfId="0" applyBorder="1"/>
    <xf numFmtId="0" fontId="2" fillId="12" borderId="26" xfId="0" applyFont="1" applyFill="1" applyBorder="1" applyAlignment="1">
      <alignment wrapText="1"/>
    </xf>
    <xf numFmtId="0" fontId="0" fillId="0" borderId="13" xfId="0" applyBorder="1" applyAlignment="1">
      <alignment horizontal="right"/>
    </xf>
    <xf numFmtId="0" fontId="0" fillId="0" borderId="0" xfId="0" applyBorder="1"/>
    <xf numFmtId="200" fontId="0" fillId="0" borderId="0" xfId="1" applyNumberFormat="1" applyFont="1" applyBorder="1"/>
    <xf numFmtId="2" fontId="0" fillId="0" borderId="0" xfId="0" applyNumberFormat="1" applyBorder="1"/>
    <xf numFmtId="2" fontId="0" fillId="0" borderId="19" xfId="0" applyNumberFormat="1" applyBorder="1"/>
    <xf numFmtId="0" fontId="0" fillId="0" borderId="26" xfId="0" applyBorder="1" applyAlignment="1">
      <alignment horizontal="right"/>
    </xf>
    <xf numFmtId="0" fontId="0" fillId="0" borderId="1" xfId="0" applyBorder="1"/>
    <xf numFmtId="200" fontId="0" fillId="0" borderId="1" xfId="1" applyNumberFormat="1" applyFont="1" applyBorder="1"/>
    <xf numFmtId="2" fontId="0" fillId="0" borderId="1" xfId="0" applyNumberFormat="1" applyBorder="1"/>
    <xf numFmtId="2" fontId="0" fillId="0" borderId="27" xfId="0" applyNumberFormat="1" applyBorder="1"/>
    <xf numFmtId="0" fontId="2" fillId="11" borderId="19" xfId="0" applyFont="1" applyFill="1" applyBorder="1"/>
    <xf numFmtId="0" fontId="2" fillId="11" borderId="26" xfId="0" applyFont="1" applyFill="1" applyBorder="1" applyAlignment="1">
      <alignment wrapText="1"/>
    </xf>
    <xf numFmtId="0" fontId="2" fillId="11" borderId="27" xfId="0" applyFont="1" applyFill="1" applyBorder="1" applyAlignment="1">
      <alignment wrapText="1"/>
    </xf>
    <xf numFmtId="0" fontId="0" fillId="0" borderId="13" xfId="0" applyBorder="1"/>
    <xf numFmtId="3" fontId="0" fillId="0" borderId="0" xfId="1" applyNumberFormat="1" applyFont="1" applyBorder="1"/>
    <xf numFmtId="0" fontId="0" fillId="0" borderId="26" xfId="0" applyBorder="1"/>
    <xf numFmtId="3" fontId="0" fillId="0" borderId="1" xfId="1" applyNumberFormat="1" applyFont="1" applyBorder="1"/>
    <xf numFmtId="0" fontId="2" fillId="0" borderId="25" xfId="0" applyFont="1" applyBorder="1"/>
    <xf numFmtId="0" fontId="2" fillId="0" borderId="27" xfId="0" applyFont="1" applyBorder="1" applyAlignment="1">
      <alignment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1" fillId="17" borderId="0" xfId="0" applyFont="1" applyFill="1" applyBorder="1"/>
    <xf numFmtId="0" fontId="3" fillId="0" borderId="10" xfId="0" applyFont="1" applyBorder="1"/>
    <xf numFmtId="4" fontId="0" fillId="0" borderId="0" xfId="0" applyNumberFormat="1" applyBorder="1"/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96" fillId="0" borderId="13" xfId="11" applyFont="1" applyFill="1" applyBorder="1"/>
    <xf numFmtId="0" fontId="96" fillId="0" borderId="19" xfId="1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0" fillId="0" borderId="0" xfId="0" applyFill="1" applyBorder="1"/>
    <xf numFmtId="0" fontId="96" fillId="0" borderId="23" xfId="11" applyFont="1" applyFill="1" applyBorder="1"/>
    <xf numFmtId="0" fontId="96" fillId="0" borderId="25" xfId="11" applyFont="1" applyFill="1" applyBorder="1"/>
    <xf numFmtId="0" fontId="96" fillId="0" borderId="26" xfId="11" applyFont="1" applyFill="1" applyBorder="1" applyAlignment="1">
      <alignment wrapText="1"/>
    </xf>
    <xf numFmtId="0" fontId="96" fillId="0" borderId="27" xfId="11" applyFont="1" applyFill="1" applyBorder="1" applyAlignment="1">
      <alignment wrapText="1"/>
    </xf>
    <xf numFmtId="0" fontId="2" fillId="0" borderId="14" xfId="0" applyFont="1" applyBorder="1"/>
    <xf numFmtId="0" fontId="2" fillId="0" borderId="11" xfId="0" applyFont="1" applyBorder="1"/>
    <xf numFmtId="0" fontId="3" fillId="17" borderId="0" xfId="0" applyFont="1" applyFill="1" applyBorder="1"/>
    <xf numFmtId="0" fontId="99" fillId="0" borderId="0" xfId="0" applyFont="1" applyBorder="1"/>
    <xf numFmtId="0" fontId="100" fillId="0" borderId="13" xfId="0" applyFont="1" applyBorder="1"/>
    <xf numFmtId="0" fontId="100" fillId="0" borderId="19" xfId="0" applyFont="1" applyBorder="1"/>
    <xf numFmtId="0" fontId="100" fillId="0" borderId="27" xfId="0" applyFont="1" applyBorder="1"/>
    <xf numFmtId="0" fontId="99" fillId="0" borderId="0" xfId="0" applyFont="1"/>
    <xf numFmtId="4" fontId="0" fillId="0" borderId="0" xfId="0" applyNumberFormat="1"/>
    <xf numFmtId="3" fontId="18" fillId="14" borderId="7" xfId="0" applyNumberFormat="1" applyFont="1" applyFill="1" applyBorder="1" applyAlignment="1" applyProtection="1">
      <alignment horizontal="center"/>
    </xf>
    <xf numFmtId="3" fontId="18" fillId="14" borderId="7" xfId="0" applyNumberFormat="1" applyFont="1" applyFill="1" applyBorder="1" applyAlignment="1" applyProtection="1">
      <alignment horizontal="left"/>
    </xf>
    <xf numFmtId="4" fontId="3" fillId="0" borderId="7" xfId="0" applyNumberFormat="1" applyFont="1" applyFill="1" applyBorder="1" applyAlignment="1" applyProtection="1">
      <alignment horizontal="center"/>
    </xf>
    <xf numFmtId="9" fontId="101" fillId="0" borderId="10" xfId="1" applyFont="1" applyFill="1" applyBorder="1"/>
    <xf numFmtId="0" fontId="101" fillId="0" borderId="10" xfId="9" applyFont="1" applyFill="1" applyBorder="1"/>
    <xf numFmtId="0" fontId="101" fillId="0" borderId="0" xfId="0" applyFont="1"/>
    <xf numFmtId="0" fontId="101" fillId="0" borderId="0" xfId="0" applyFont="1" applyBorder="1"/>
    <xf numFmtId="0" fontId="2" fillId="0" borderId="19" xfId="0" applyFont="1" applyBorder="1"/>
    <xf numFmtId="0" fontId="101" fillId="0" borderId="0" xfId="0" applyFont="1" applyFill="1" applyBorder="1"/>
    <xf numFmtId="2" fontId="0" fillId="0" borderId="0" xfId="0" applyNumberFormat="1" applyFill="1" applyBorder="1"/>
    <xf numFmtId="0" fontId="0" fillId="0" borderId="0" xfId="0" applyFill="1"/>
    <xf numFmtId="0" fontId="2" fillId="12" borderId="0" xfId="0" applyFont="1" applyFill="1" applyBorder="1" applyAlignment="1"/>
    <xf numFmtId="0" fontId="2" fillId="0" borderId="0" xfId="0" applyFont="1" applyFill="1" applyBorder="1" applyAlignment="1"/>
    <xf numFmtId="0" fontId="2" fillId="0" borderId="1" xfId="0" applyFont="1" applyFill="1" applyBorder="1" applyAlignment="1">
      <alignment wrapText="1"/>
    </xf>
    <xf numFmtId="2" fontId="0" fillId="0" borderId="1" xfId="0" applyNumberFormat="1" applyFill="1" applyBorder="1"/>
    <xf numFmtId="0" fontId="2" fillId="0" borderId="24" xfId="0" applyFont="1" applyFill="1" applyBorder="1" applyAlignment="1">
      <alignment horizontal="center"/>
    </xf>
    <xf numFmtId="2" fontId="0" fillId="0" borderId="0" xfId="0" applyNumberFormat="1" applyFill="1"/>
    <xf numFmtId="0" fontId="2" fillId="0" borderId="24" xfId="0" applyFont="1" applyFill="1" applyBorder="1" applyAlignment="1"/>
    <xf numFmtId="0" fontId="2" fillId="37" borderId="1" xfId="0" applyFont="1" applyFill="1" applyBorder="1" applyAlignment="1">
      <alignment wrapText="1"/>
    </xf>
    <xf numFmtId="0" fontId="2" fillId="39" borderId="25" xfId="0" applyFont="1" applyFill="1" applyBorder="1" applyAlignment="1"/>
    <xf numFmtId="0" fontId="2" fillId="39" borderId="19" xfId="0" applyFont="1" applyFill="1" applyBorder="1" applyAlignment="1"/>
    <xf numFmtId="0" fontId="2" fillId="39" borderId="27" xfId="0" applyFont="1" applyFill="1" applyBorder="1" applyAlignment="1">
      <alignment wrapText="1"/>
    </xf>
    <xf numFmtId="9" fontId="101" fillId="0" borderId="0" xfId="0" applyNumberFormat="1" applyFont="1"/>
    <xf numFmtId="9" fontId="96" fillId="0" borderId="10" xfId="1" applyFont="1" applyFill="1" applyBorder="1"/>
    <xf numFmtId="0" fontId="2" fillId="0" borderId="0" xfId="0" applyFont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0" fontId="2" fillId="12" borderId="24" xfId="0" applyFont="1" applyFill="1" applyBorder="1" applyAlignment="1">
      <alignment horizontal="center"/>
    </xf>
    <xf numFmtId="166" fontId="3" fillId="20" borderId="0" xfId="12" applyFont="1" applyFill="1" applyBorder="1"/>
    <xf numFmtId="166" fontId="3" fillId="20" borderId="12" xfId="12" applyNumberFormat="1" applyFont="1" applyFill="1" applyBorder="1" applyAlignment="1">
      <alignment horizontal="left" indent="3"/>
    </xf>
    <xf numFmtId="166" fontId="102" fillId="20" borderId="0" xfId="12" applyNumberFormat="1" applyFont="1" applyFill="1" applyBorder="1"/>
    <xf numFmtId="166" fontId="102" fillId="20" borderId="30" xfId="12" applyNumberFormat="1" applyFont="1" applyFill="1" applyBorder="1"/>
    <xf numFmtId="202" fontId="103" fillId="20" borderId="0" xfId="12" applyNumberFormat="1" applyFont="1" applyFill="1" applyBorder="1"/>
    <xf numFmtId="202" fontId="3" fillId="20" borderId="30" xfId="12" applyNumberFormat="1" applyFont="1" applyFill="1" applyBorder="1"/>
    <xf numFmtId="202" fontId="103" fillId="20" borderId="0" xfId="12" applyNumberFormat="1" applyFont="1" applyFill="1" applyBorder="1" applyAlignment="1">
      <alignment horizontal="left" indent="3"/>
    </xf>
    <xf numFmtId="202" fontId="3" fillId="20" borderId="0" xfId="12" applyNumberFormat="1" applyFont="1" applyFill="1" applyBorder="1"/>
    <xf numFmtId="166" fontId="3" fillId="0" borderId="0" xfId="760" applyNumberFormat="1" applyFont="1" applyFill="1" applyBorder="1" applyAlignment="1"/>
    <xf numFmtId="166" fontId="3" fillId="0" borderId="0" xfId="12" applyFont="1" applyFill="1" applyBorder="1"/>
    <xf numFmtId="166" fontId="3" fillId="0" borderId="3" xfId="12" applyFont="1" applyFill="1" applyBorder="1"/>
    <xf numFmtId="1" fontId="12" fillId="0" borderId="0" xfId="6" applyNumberFormat="1" applyFont="1" applyFill="1" applyBorder="1" applyAlignment="1">
      <alignment horizontal="center" vertical="top"/>
    </xf>
    <xf numFmtId="166" fontId="7" fillId="0" borderId="0" xfId="760" applyNumberFormat="1" applyFont="1" applyFill="1" applyBorder="1" applyAlignment="1"/>
    <xf numFmtId="1" fontId="12" fillId="10" borderId="3" xfId="6" applyNumberFormat="1" applyFont="1" applyFill="1" applyBorder="1" applyAlignment="1">
      <alignment horizontal="right" vertical="top"/>
    </xf>
    <xf numFmtId="1" fontId="12" fillId="0" borderId="0" xfId="6" applyNumberFormat="1" applyFont="1" applyFill="1" applyBorder="1" applyAlignment="1">
      <alignment horizontal="right" vertical="top"/>
    </xf>
    <xf numFmtId="0" fontId="3" fillId="0" borderId="0" xfId="7"/>
    <xf numFmtId="0" fontId="3" fillId="20" borderId="0" xfId="7" applyFont="1" applyFill="1" applyBorder="1"/>
    <xf numFmtId="0" fontId="3" fillId="0" borderId="0" xfId="7" applyBorder="1"/>
    <xf numFmtId="0" fontId="3" fillId="0" borderId="3" xfId="7" applyBorder="1"/>
    <xf numFmtId="166" fontId="3" fillId="10" borderId="3" xfId="12" applyFont="1" applyFill="1" applyBorder="1"/>
    <xf numFmtId="0" fontId="3" fillId="0" borderId="3" xfId="7" applyFont="1" applyBorder="1"/>
    <xf numFmtId="0" fontId="7" fillId="0" borderId="3" xfId="7" applyFont="1" applyBorder="1"/>
    <xf numFmtId="166" fontId="3" fillId="0" borderId="0" xfId="12" applyNumberFormat="1" applyFont="1" applyFill="1" applyBorder="1"/>
    <xf numFmtId="0" fontId="3" fillId="0" borderId="0" xfId="7" applyFont="1" applyBorder="1"/>
    <xf numFmtId="0" fontId="3" fillId="0" borderId="0" xfId="7" quotePrefix="1" applyFont="1"/>
    <xf numFmtId="0" fontId="7" fillId="0" borderId="0" xfId="7" applyFont="1"/>
    <xf numFmtId="0" fontId="7" fillId="0" borderId="0" xfId="7" applyFont="1" applyAlignment="1"/>
    <xf numFmtId="0" fontId="3" fillId="0" borderId="0" xfId="7" applyFont="1"/>
    <xf numFmtId="203" fontId="121" fillId="20" borderId="0" xfId="684" applyNumberFormat="1" applyFont="1" applyFill="1" applyBorder="1"/>
    <xf numFmtId="203" fontId="102" fillId="20" borderId="0" xfId="684" applyNumberFormat="1" applyFont="1" applyFill="1" applyBorder="1"/>
    <xf numFmtId="0" fontId="15" fillId="9" borderId="0" xfId="2" applyFont="1" applyFill="1"/>
    <xf numFmtId="0" fontId="15" fillId="9" borderId="0" xfId="3" applyFont="1" applyFill="1" applyBorder="1"/>
    <xf numFmtId="0" fontId="3" fillId="9" borderId="0" xfId="2" applyFont="1" applyFill="1"/>
    <xf numFmtId="0" fontId="3" fillId="20" borderId="2" xfId="3" applyFont="1" applyFill="1" applyBorder="1"/>
    <xf numFmtId="0" fontId="3" fillId="0" borderId="0" xfId="2" applyFont="1" applyFill="1"/>
    <xf numFmtId="0" fontId="122" fillId="9" borderId="0" xfId="2" applyFont="1" applyFill="1"/>
    <xf numFmtId="44" fontId="122" fillId="9" borderId="0" xfId="4" applyFont="1" applyFill="1" applyBorder="1"/>
    <xf numFmtId="0" fontId="3" fillId="20" borderId="3" xfId="3" applyFont="1" applyFill="1" applyBorder="1"/>
    <xf numFmtId="0" fontId="117" fillId="0" borderId="3" xfId="764" applyNumberFormat="1" applyFont="1" applyFill="1" applyBorder="1" applyAlignment="1" applyProtection="1">
      <alignment horizontal="left" vertical="center"/>
      <protection locked="0"/>
    </xf>
    <xf numFmtId="166" fontId="3" fillId="20" borderId="0" xfId="12" applyNumberFormat="1" applyFont="1" applyFill="1" applyBorder="1" applyAlignment="1">
      <alignment horizontal="left" indent="3"/>
    </xf>
    <xf numFmtId="2" fontId="18" fillId="0" borderId="7" xfId="0" applyNumberFormat="1" applyFont="1" applyFill="1" applyBorder="1" applyAlignment="1" applyProtection="1">
      <alignment horizontal="center"/>
    </xf>
    <xf numFmtId="3" fontId="123" fillId="0" borderId="0" xfId="0" applyNumberFormat="1" applyFont="1" applyAlignment="1" applyProtection="1">
      <protection locked="0"/>
    </xf>
    <xf numFmtId="4" fontId="0" fillId="0" borderId="0" xfId="0" applyNumberFormat="1" applyFill="1" applyBorder="1"/>
    <xf numFmtId="4" fontId="0" fillId="0" borderId="0" xfId="0" applyNumberFormat="1" applyFill="1"/>
    <xf numFmtId="9" fontId="0" fillId="0" borderId="0" xfId="1" applyFont="1" applyFill="1" applyBorder="1"/>
    <xf numFmtId="0" fontId="96" fillId="0" borderId="0" xfId="0" applyFont="1"/>
    <xf numFmtId="4" fontId="96" fillId="0" borderId="0" xfId="0" applyNumberFormat="1" applyFont="1"/>
    <xf numFmtId="0" fontId="2" fillId="12" borderId="0" xfId="0" applyFont="1" applyFill="1" applyBorder="1" applyAlignment="1">
      <alignment wrapText="1"/>
    </xf>
    <xf numFmtId="4" fontId="101" fillId="0" borderId="0" xfId="0" applyNumberFormat="1" applyFont="1" applyBorder="1"/>
    <xf numFmtId="0" fontId="101" fillId="0" borderId="0" xfId="0" applyFont="1" applyAlignment="1">
      <alignment horizontal="left"/>
    </xf>
    <xf numFmtId="0" fontId="2" fillId="0" borderId="0" xfId="0" applyFont="1" applyFill="1"/>
    <xf numFmtId="0" fontId="96" fillId="0" borderId="0" xfId="0" applyFont="1" applyBorder="1"/>
    <xf numFmtId="0" fontId="0" fillId="0" borderId="10" xfId="9" applyFont="1" applyFill="1" applyBorder="1"/>
    <xf numFmtId="0" fontId="0" fillId="0" borderId="13" xfId="0" applyFill="1" applyBorder="1"/>
    <xf numFmtId="0" fontId="0" fillId="0" borderId="19" xfId="0" applyFill="1" applyBorder="1"/>
    <xf numFmtId="0" fontId="101" fillId="0" borderId="0" xfId="0" applyFont="1" applyFill="1"/>
    <xf numFmtId="3" fontId="0" fillId="0" borderId="0" xfId="1" applyNumberFormat="1" applyFont="1" applyFill="1" applyBorder="1"/>
    <xf numFmtId="200" fontId="0" fillId="0" borderId="0" xfId="1" applyNumberFormat="1" applyFont="1" applyFill="1" applyBorder="1"/>
    <xf numFmtId="2" fontId="0" fillId="0" borderId="19" xfId="0" applyNumberFormat="1" applyFill="1" applyBorder="1"/>
    <xf numFmtId="0" fontId="0" fillId="0" borderId="13" xfId="0" applyFill="1" applyBorder="1" applyAlignment="1">
      <alignment horizontal="right"/>
    </xf>
    <xf numFmtId="2" fontId="0" fillId="0" borderId="13" xfId="0" applyNumberFormat="1" applyFill="1" applyBorder="1"/>
    <xf numFmtId="0" fontId="100" fillId="0" borderId="19" xfId="0" applyFont="1" applyFill="1" applyBorder="1"/>
    <xf numFmtId="4" fontId="101" fillId="0" borderId="0" xfId="0" applyNumberFormat="1" applyFont="1" applyFill="1" applyBorder="1"/>
    <xf numFmtId="0" fontId="96" fillId="0" borderId="0" xfId="0" applyFont="1" applyFill="1" applyBorder="1"/>
    <xf numFmtId="3" fontId="0" fillId="46" borderId="0" xfId="0" applyNumberFormat="1" applyFill="1" applyAlignment="1" applyProtection="1">
      <alignment horizontal="left"/>
    </xf>
    <xf numFmtId="2" fontId="18" fillId="14" borderId="7" xfId="0" applyNumberFormat="1" applyFont="1" applyFill="1" applyBorder="1" applyAlignment="1" applyProtection="1">
      <alignment horizontal="center"/>
    </xf>
    <xf numFmtId="0" fontId="2" fillId="0" borderId="0" xfId="0" applyFont="1" applyFill="1" applyAlignment="1">
      <alignment wrapText="1"/>
    </xf>
    <xf numFmtId="0" fontId="0" fillId="17" borderId="0" xfId="0" applyFill="1"/>
    <xf numFmtId="0" fontId="101" fillId="0" borderId="10" xfId="0" applyFont="1" applyBorder="1"/>
    <xf numFmtId="0" fontId="3" fillId="0" borderId="48" xfId="0" applyFont="1" applyFill="1" applyBorder="1"/>
    <xf numFmtId="3" fontId="0" fillId="0" borderId="0" xfId="0" applyNumberFormat="1" applyFill="1" applyAlignment="1" applyProtection="1">
      <alignment horizontal="left"/>
    </xf>
    <xf numFmtId="0" fontId="1" fillId="0" borderId="0" xfId="9" applyFont="1" applyBorder="1"/>
    <xf numFmtId="0" fontId="1" fillId="0" borderId="0" xfId="9" applyFont="1" applyFill="1" applyBorder="1"/>
    <xf numFmtId="0" fontId="1" fillId="0" borderId="0" xfId="9" applyFont="1" applyBorder="1" applyAlignment="1">
      <alignment horizontal="left"/>
    </xf>
    <xf numFmtId="0" fontId="1" fillId="0" borderId="32" xfId="9" applyFont="1" applyBorder="1"/>
    <xf numFmtId="0" fontId="1" fillId="0" borderId="16" xfId="9" applyFont="1" applyBorder="1"/>
    <xf numFmtId="0" fontId="1" fillId="0" borderId="33" xfId="9" applyFont="1" applyBorder="1" applyAlignment="1">
      <alignment wrapText="1"/>
    </xf>
    <xf numFmtId="0" fontId="1" fillId="0" borderId="32" xfId="9" applyFont="1" applyBorder="1" applyAlignment="1">
      <alignment wrapText="1"/>
    </xf>
    <xf numFmtId="0" fontId="96" fillId="0" borderId="16" xfId="11" applyFont="1" applyFill="1" applyBorder="1" applyAlignment="1">
      <alignment horizontal="center" wrapText="1"/>
    </xf>
    <xf numFmtId="0" fontId="96" fillId="0" borderId="33" xfId="11" applyFont="1" applyFill="1" applyBorder="1" applyAlignment="1">
      <alignment horizontal="center" wrapText="1"/>
    </xf>
    <xf numFmtId="0" fontId="1" fillId="0" borderId="49" xfId="9" applyFont="1" applyBorder="1"/>
    <xf numFmtId="166" fontId="1" fillId="0" borderId="50" xfId="12" applyFont="1" applyBorder="1" applyAlignment="1">
      <alignment horizontal="left"/>
    </xf>
    <xf numFmtId="166" fontId="1" fillId="0" borderId="50" xfId="12" applyFont="1" applyBorder="1"/>
    <xf numFmtId="0" fontId="1" fillId="0" borderId="51" xfId="9" applyFont="1" applyBorder="1"/>
    <xf numFmtId="0" fontId="1" fillId="0" borderId="52" xfId="9" applyFont="1" applyBorder="1"/>
    <xf numFmtId="0" fontId="1" fillId="0" borderId="53" xfId="9" applyFont="1" applyBorder="1"/>
    <xf numFmtId="166" fontId="1" fillId="0" borderId="53" xfId="12" applyFont="1" applyBorder="1" applyAlignment="1">
      <alignment horizontal="left"/>
    </xf>
    <xf numFmtId="0" fontId="1" fillId="0" borderId="54" xfId="9" applyFont="1" applyBorder="1" applyAlignment="1">
      <alignment horizontal="left"/>
    </xf>
    <xf numFmtId="166" fontId="1" fillId="0" borderId="53" xfId="12" applyFont="1" applyFill="1" applyBorder="1" applyAlignment="1">
      <alignment horizontal="left"/>
    </xf>
    <xf numFmtId="166" fontId="1" fillId="0" borderId="54" xfId="12" applyFont="1" applyFill="1" applyBorder="1" applyAlignment="1">
      <alignment horizontal="left"/>
    </xf>
    <xf numFmtId="166" fontId="1" fillId="0" borderId="55" xfId="12" applyFont="1" applyBorder="1"/>
    <xf numFmtId="166" fontId="1" fillId="17" borderId="55" xfId="12" applyFont="1" applyFill="1" applyBorder="1"/>
    <xf numFmtId="0" fontId="1" fillId="0" borderId="56" xfId="9" applyFont="1" applyBorder="1"/>
    <xf numFmtId="0" fontId="1" fillId="0" borderId="55" xfId="9" applyFont="1" applyBorder="1"/>
    <xf numFmtId="166" fontId="1" fillId="0" borderId="55" xfId="12" applyFont="1" applyBorder="1" applyAlignment="1">
      <alignment horizontal="left"/>
    </xf>
    <xf numFmtId="0" fontId="1" fillId="0" borderId="56" xfId="9" applyFont="1" applyBorder="1" applyAlignment="1">
      <alignment horizontal="left"/>
    </xf>
    <xf numFmtId="166" fontId="1" fillId="0" borderId="55" xfId="12" applyFont="1" applyFill="1" applyBorder="1" applyAlignment="1">
      <alignment horizontal="left"/>
    </xf>
    <xf numFmtId="0" fontId="1" fillId="0" borderId="49" xfId="9" applyFont="1" applyFill="1" applyBorder="1"/>
    <xf numFmtId="0" fontId="1" fillId="0" borderId="55" xfId="9" applyFont="1" applyBorder="1" applyAlignment="1">
      <alignment horizontal="center"/>
    </xf>
    <xf numFmtId="0" fontId="1" fillId="0" borderId="55" xfId="9" applyFont="1" applyFill="1" applyBorder="1" applyAlignment="1">
      <alignment horizontal="left"/>
    </xf>
    <xf numFmtId="0" fontId="1" fillId="0" borderId="56" xfId="9" applyFont="1" applyFill="1" applyBorder="1" applyAlignment="1">
      <alignment horizontal="left"/>
    </xf>
    <xf numFmtId="166" fontId="1" fillId="0" borderId="55" xfId="12" applyFont="1" applyFill="1" applyBorder="1"/>
    <xf numFmtId="0" fontId="1" fillId="0" borderId="56" xfId="9" applyFont="1" applyFill="1" applyBorder="1"/>
    <xf numFmtId="0" fontId="1" fillId="0" borderId="55" xfId="9" applyFont="1" applyFill="1" applyBorder="1"/>
    <xf numFmtId="0" fontId="1" fillId="0" borderId="0" xfId="9" applyFont="1" applyFill="1" applyBorder="1" applyAlignment="1">
      <alignment horizontal="left"/>
    </xf>
    <xf numFmtId="166" fontId="1" fillId="0" borderId="56" xfId="12" applyFont="1" applyFill="1" applyBorder="1" applyAlignment="1">
      <alignment horizontal="left"/>
    </xf>
    <xf numFmtId="0" fontId="1" fillId="0" borderId="57" xfId="9" applyFont="1" applyBorder="1"/>
    <xf numFmtId="0" fontId="1" fillId="0" borderId="53" xfId="9" applyFont="1" applyFill="1" applyBorder="1" applyAlignment="1">
      <alignment horizontal="left"/>
    </xf>
    <xf numFmtId="0" fontId="1" fillId="0" borderId="54" xfId="9" applyFont="1" applyFill="1" applyBorder="1" applyAlignment="1">
      <alignment horizontal="left"/>
    </xf>
    <xf numFmtId="9" fontId="1" fillId="0" borderId="55" xfId="9" applyNumberFormat="1" applyFont="1" applyBorder="1"/>
    <xf numFmtId="9" fontId="1" fillId="0" borderId="56" xfId="684" applyFont="1" applyBorder="1" applyAlignment="1">
      <alignment horizontal="left"/>
    </xf>
    <xf numFmtId="9" fontId="1" fillId="0" borderId="55" xfId="684" applyFont="1" applyBorder="1" applyAlignment="1">
      <alignment horizontal="left"/>
    </xf>
    <xf numFmtId="9" fontId="1" fillId="0" borderId="55" xfId="684" applyFont="1" applyFill="1" applyBorder="1" applyAlignment="1">
      <alignment horizontal="left"/>
    </xf>
    <xf numFmtId="9" fontId="1" fillId="0" borderId="56" xfId="684" applyFont="1" applyFill="1" applyBorder="1" applyAlignment="1">
      <alignment horizontal="left"/>
    </xf>
    <xf numFmtId="166" fontId="1" fillId="0" borderId="55" xfId="9" applyNumberFormat="1" applyFont="1" applyBorder="1"/>
    <xf numFmtId="0" fontId="1" fillId="0" borderId="58" xfId="9" applyFont="1" applyFill="1" applyBorder="1"/>
    <xf numFmtId="166" fontId="1" fillId="0" borderId="59" xfId="9" applyNumberFormat="1" applyFont="1" applyBorder="1"/>
    <xf numFmtId="0" fontId="1" fillId="0" borderId="60" xfId="9" applyFont="1" applyBorder="1"/>
    <xf numFmtId="0" fontId="1" fillId="0" borderId="58" xfId="9" applyFont="1" applyBorder="1"/>
    <xf numFmtId="0" fontId="1" fillId="0" borderId="59" xfId="9" applyFont="1" applyBorder="1"/>
    <xf numFmtId="166" fontId="1" fillId="0" borderId="59" xfId="12" applyFont="1" applyBorder="1" applyAlignment="1">
      <alignment horizontal="left"/>
    </xf>
    <xf numFmtId="0" fontId="1" fillId="0" borderId="60" xfId="9" applyFont="1" applyBorder="1" applyAlignment="1">
      <alignment horizontal="left"/>
    </xf>
    <xf numFmtId="166" fontId="1" fillId="0" borderId="59" xfId="12" applyFont="1" applyFill="1" applyBorder="1" applyAlignment="1">
      <alignment horizontal="left"/>
    </xf>
    <xf numFmtId="166" fontId="1" fillId="0" borderId="60" xfId="12" applyFont="1" applyFill="1" applyBorder="1" applyAlignment="1">
      <alignment horizontal="left"/>
    </xf>
    <xf numFmtId="0" fontId="1" fillId="0" borderId="0" xfId="659" applyFont="1" applyBorder="1"/>
    <xf numFmtId="0" fontId="0" fillId="0" borderId="0" xfId="659" applyFont="1" applyBorder="1"/>
    <xf numFmtId="0" fontId="2" fillId="0" borderId="28" xfId="659" applyFont="1" applyBorder="1"/>
    <xf numFmtId="0" fontId="2" fillId="0" borderId="31" xfId="659" applyFont="1" applyBorder="1"/>
    <xf numFmtId="0" fontId="2" fillId="0" borderId="31" xfId="659" applyFont="1" applyBorder="1" applyAlignment="1">
      <alignment wrapText="1"/>
    </xf>
    <xf numFmtId="0" fontId="2" fillId="0" borderId="28" xfId="659" applyFont="1" applyBorder="1" applyAlignment="1">
      <alignment wrapText="1"/>
    </xf>
    <xf numFmtId="0" fontId="2" fillId="0" borderId="31" xfId="659" applyFont="1" applyFill="1" applyBorder="1"/>
    <xf numFmtId="0" fontId="2" fillId="0" borderId="28" xfId="659" applyFont="1" applyFill="1" applyBorder="1" applyAlignment="1">
      <alignment wrapText="1"/>
    </xf>
    <xf numFmtId="0" fontId="126" fillId="0" borderId="0" xfId="11" applyFont="1" applyFill="1" applyBorder="1" applyAlignment="1">
      <alignment horizontal="center" wrapText="1"/>
    </xf>
    <xf numFmtId="0" fontId="1" fillId="0" borderId="55" xfId="9" applyFill="1" applyBorder="1"/>
    <xf numFmtId="166" fontId="1" fillId="0" borderId="55" xfId="506" applyFont="1" applyFill="1" applyBorder="1"/>
    <xf numFmtId="166" fontId="1" fillId="0" borderId="55" xfId="506" applyFont="1" applyBorder="1" applyAlignment="1">
      <alignment horizontal="right"/>
    </xf>
    <xf numFmtId="166" fontId="1" fillId="0" borderId="55" xfId="506" applyFont="1" applyBorder="1"/>
    <xf numFmtId="166" fontId="1" fillId="0" borderId="49" xfId="506" applyFont="1" applyBorder="1" applyAlignment="1">
      <alignment horizontal="right"/>
    </xf>
    <xf numFmtId="0" fontId="1" fillId="0" borderId="56" xfId="659" applyFont="1" applyBorder="1"/>
    <xf numFmtId="0" fontId="1" fillId="0" borderId="49" xfId="659" applyFont="1" applyBorder="1" applyAlignment="1">
      <alignment horizontal="left"/>
    </xf>
    <xf numFmtId="0" fontId="1" fillId="0" borderId="55" xfId="659" applyFont="1" applyBorder="1" applyAlignment="1">
      <alignment horizontal="left"/>
    </xf>
    <xf numFmtId="0" fontId="1" fillId="0" borderId="55" xfId="9" applyBorder="1"/>
    <xf numFmtId="0" fontId="1" fillId="46" borderId="55" xfId="9" applyFill="1" applyBorder="1"/>
    <xf numFmtId="166" fontId="1" fillId="46" borderId="55" xfId="506" applyFont="1" applyFill="1" applyBorder="1"/>
    <xf numFmtId="166" fontId="1" fillId="46" borderId="55" xfId="506" applyFont="1" applyFill="1" applyBorder="1" applyAlignment="1">
      <alignment horizontal="right"/>
    </xf>
    <xf numFmtId="166" fontId="1" fillId="46" borderId="49" xfId="506" applyFont="1" applyFill="1" applyBorder="1" applyAlignment="1">
      <alignment horizontal="right"/>
    </xf>
    <xf numFmtId="0" fontId="1" fillId="46" borderId="56" xfId="659" applyFont="1" applyFill="1" applyBorder="1"/>
    <xf numFmtId="0" fontId="1" fillId="46" borderId="49" xfId="659" applyFont="1" applyFill="1" applyBorder="1" applyAlignment="1">
      <alignment horizontal="left"/>
    </xf>
    <xf numFmtId="0" fontId="1" fillId="46" borderId="55" xfId="659" applyFont="1" applyFill="1" applyBorder="1" applyAlignment="1">
      <alignment horizontal="left"/>
    </xf>
    <xf numFmtId="166" fontId="1" fillId="0" borderId="55" xfId="506" applyFont="1" applyFill="1" applyBorder="1" applyAlignment="1">
      <alignment horizontal="right"/>
    </xf>
    <xf numFmtId="166" fontId="1" fillId="0" borderId="49" xfId="506" applyFont="1" applyFill="1" applyBorder="1" applyAlignment="1">
      <alignment horizontal="right"/>
    </xf>
    <xf numFmtId="0" fontId="1" fillId="0" borderId="56" xfId="659" applyFont="1" applyFill="1" applyBorder="1"/>
    <xf numFmtId="0" fontId="1" fillId="0" borderId="49" xfId="659" applyFont="1" applyFill="1" applyBorder="1" applyAlignment="1">
      <alignment horizontal="left"/>
    </xf>
    <xf numFmtId="0" fontId="1" fillId="0" borderId="55" xfId="659" applyFont="1" applyFill="1" applyBorder="1" applyAlignment="1">
      <alignment horizontal="left"/>
    </xf>
    <xf numFmtId="0" fontId="1" fillId="0" borderId="47" xfId="9" applyFont="1" applyFill="1" applyBorder="1"/>
    <xf numFmtId="0" fontId="1" fillId="0" borderId="49" xfId="659" applyFont="1" applyFill="1" applyBorder="1"/>
    <xf numFmtId="166" fontId="1" fillId="0" borderId="49" xfId="506" applyFont="1" applyFill="1" applyBorder="1"/>
    <xf numFmtId="0" fontId="1" fillId="3" borderId="49" xfId="659" applyFont="1" applyFill="1" applyBorder="1"/>
    <xf numFmtId="0" fontId="1" fillId="0" borderId="49" xfId="659" applyFont="1" applyBorder="1"/>
    <xf numFmtId="0" fontId="1" fillId="0" borderId="55" xfId="506" applyNumberFormat="1" applyFont="1" applyFill="1" applyBorder="1"/>
    <xf numFmtId="0" fontId="1" fillId="0" borderId="55" xfId="659" applyFont="1" applyFill="1" applyBorder="1"/>
    <xf numFmtId="166" fontId="1" fillId="0" borderId="55" xfId="506" applyNumberFormat="1" applyFont="1" applyFill="1" applyBorder="1"/>
    <xf numFmtId="166" fontId="1" fillId="0" borderId="49" xfId="506" applyNumberFormat="1" applyFont="1" applyFill="1" applyBorder="1"/>
    <xf numFmtId="166" fontId="1" fillId="0" borderId="55" xfId="506" applyNumberFormat="1" applyFont="1" applyBorder="1"/>
    <xf numFmtId="0" fontId="2" fillId="0" borderId="55" xfId="659" applyFont="1" applyBorder="1" applyAlignment="1">
      <alignment horizontal="left"/>
    </xf>
    <xf numFmtId="166" fontId="1" fillId="0" borderId="55" xfId="659" applyNumberFormat="1" applyFont="1" applyBorder="1"/>
    <xf numFmtId="166" fontId="1" fillId="0" borderId="55" xfId="659" applyNumberFormat="1" applyFont="1" applyFill="1" applyBorder="1"/>
    <xf numFmtId="166" fontId="1" fillId="0" borderId="49" xfId="506" applyNumberFormat="1" applyFont="1" applyBorder="1"/>
    <xf numFmtId="0" fontId="1" fillId="0" borderId="61" xfId="9" applyFont="1" applyFill="1" applyBorder="1"/>
    <xf numFmtId="0" fontId="1" fillId="0" borderId="61" xfId="9" applyFont="1" applyBorder="1"/>
    <xf numFmtId="166" fontId="1" fillId="0" borderId="55" xfId="659" applyNumberFormat="1" applyFont="1" applyBorder="1" applyAlignment="1">
      <alignment horizontal="right"/>
    </xf>
    <xf numFmtId="166" fontId="1" fillId="3" borderId="55" xfId="506" applyFont="1" applyFill="1" applyBorder="1"/>
    <xf numFmtId="166" fontId="1" fillId="3" borderId="55" xfId="659" applyNumberFormat="1" applyFont="1" applyFill="1" applyBorder="1"/>
    <xf numFmtId="166" fontId="1" fillId="3" borderId="49" xfId="506" applyNumberFormat="1" applyFont="1" applyFill="1" applyBorder="1"/>
    <xf numFmtId="166" fontId="1" fillId="3" borderId="55" xfId="506" applyFont="1" applyFill="1" applyBorder="1" applyAlignment="1">
      <alignment horizontal="right"/>
    </xf>
    <xf numFmtId="0" fontId="1" fillId="3" borderId="56" xfId="659" applyFont="1" applyFill="1" applyBorder="1"/>
    <xf numFmtId="0" fontId="1" fillId="3" borderId="61" xfId="9" applyFont="1" applyFill="1" applyBorder="1"/>
    <xf numFmtId="0" fontId="0" fillId="0" borderId="55" xfId="0" applyBorder="1"/>
    <xf numFmtId="0" fontId="1" fillId="0" borderId="55" xfId="659" applyFont="1" applyBorder="1"/>
    <xf numFmtId="166" fontId="1" fillId="0" borderId="0" xfId="659" applyNumberFormat="1" applyFont="1" applyBorder="1"/>
    <xf numFmtId="0" fontId="1" fillId="0" borderId="0" xfId="659" applyFont="1" applyBorder="1" applyAlignment="1">
      <alignment horizontal="left"/>
    </xf>
    <xf numFmtId="0" fontId="2" fillId="0" borderId="62" xfId="659" applyFont="1" applyBorder="1"/>
    <xf numFmtId="0" fontId="2" fillId="0" borderId="16" xfId="659" applyFont="1" applyBorder="1"/>
    <xf numFmtId="0" fontId="2" fillId="0" borderId="16" xfId="659" applyFont="1" applyBorder="1" applyAlignment="1">
      <alignment wrapText="1"/>
    </xf>
    <xf numFmtId="0" fontId="2" fillId="0" borderId="32" xfId="659" applyFont="1" applyBorder="1" applyAlignment="1">
      <alignment wrapText="1"/>
    </xf>
    <xf numFmtId="0" fontId="2" fillId="0" borderId="16" xfId="659" applyFont="1" applyFill="1" applyBorder="1"/>
    <xf numFmtId="0" fontId="2" fillId="0" borderId="32" xfId="659" applyFont="1" applyFill="1" applyBorder="1" applyAlignment="1">
      <alignment wrapText="1"/>
    </xf>
    <xf numFmtId="0" fontId="2" fillId="0" borderId="33" xfId="659" applyFont="1" applyFill="1" applyBorder="1"/>
    <xf numFmtId="0" fontId="1" fillId="0" borderId="63" xfId="9" applyFill="1" applyBorder="1"/>
    <xf numFmtId="0" fontId="1" fillId="0" borderId="0" xfId="9" applyFill="1" applyBorder="1"/>
    <xf numFmtId="166" fontId="1" fillId="0" borderId="53" xfId="506" applyFont="1" applyFill="1" applyBorder="1"/>
    <xf numFmtId="166" fontId="1" fillId="0" borderId="53" xfId="506" applyFont="1" applyFill="1" applyBorder="1" applyAlignment="1">
      <alignment horizontal="right"/>
    </xf>
    <xf numFmtId="166" fontId="1" fillId="0" borderId="57" xfId="506" applyFont="1" applyFill="1" applyBorder="1" applyAlignment="1">
      <alignment horizontal="right"/>
    </xf>
    <xf numFmtId="166" fontId="1" fillId="0" borderId="53" xfId="506" applyFont="1" applyBorder="1" applyAlignment="1">
      <alignment horizontal="right"/>
    </xf>
    <xf numFmtId="0" fontId="1" fillId="0" borderId="12" xfId="659" applyFont="1" applyBorder="1" applyAlignment="1">
      <alignment horizontal="left"/>
    </xf>
    <xf numFmtId="0" fontId="1" fillId="0" borderId="30" xfId="659" applyFont="1" applyBorder="1" applyAlignment="1">
      <alignment horizontal="left"/>
    </xf>
    <xf numFmtId="0" fontId="96" fillId="0" borderId="63" xfId="0" applyFont="1" applyBorder="1"/>
    <xf numFmtId="166" fontId="1" fillId="0" borderId="53" xfId="506" applyFont="1" applyBorder="1"/>
    <xf numFmtId="166" fontId="1" fillId="0" borderId="52" xfId="506" applyFont="1" applyBorder="1" applyAlignment="1">
      <alignment horizontal="right"/>
    </xf>
    <xf numFmtId="0" fontId="96" fillId="0" borderId="64" xfId="659" applyFont="1" applyFill="1" applyBorder="1"/>
    <xf numFmtId="0" fontId="96" fillId="0" borderId="0" xfId="659" applyFont="1" applyFill="1" applyBorder="1" applyAlignment="1">
      <alignment horizontal="left"/>
    </xf>
    <xf numFmtId="166" fontId="96" fillId="0" borderId="53" xfId="506" applyFont="1" applyFill="1" applyBorder="1"/>
    <xf numFmtId="166" fontId="96" fillId="0" borderId="55" xfId="506" applyFont="1" applyFill="1" applyBorder="1"/>
    <xf numFmtId="166" fontId="96" fillId="0" borderId="49" xfId="506" applyFont="1" applyFill="1" applyBorder="1"/>
    <xf numFmtId="0" fontId="96" fillId="0" borderId="55" xfId="659" applyFont="1" applyFill="1" applyBorder="1"/>
    <xf numFmtId="0" fontId="10" fillId="0" borderId="12" xfId="0" applyFont="1" applyFill="1" applyBorder="1"/>
    <xf numFmtId="0" fontId="10" fillId="0" borderId="30" xfId="0" applyFont="1" applyFill="1" applyBorder="1"/>
    <xf numFmtId="166" fontId="96" fillId="3" borderId="53" xfId="506" applyFont="1" applyFill="1" applyBorder="1"/>
    <xf numFmtId="0" fontId="1" fillId="0" borderId="64" xfId="659" applyFont="1" applyFill="1" applyBorder="1"/>
    <xf numFmtId="0" fontId="1" fillId="0" borderId="12" xfId="659" applyFont="1" applyFill="1" applyBorder="1" applyAlignment="1">
      <alignment horizontal="left"/>
    </xf>
    <xf numFmtId="0" fontId="1" fillId="0" borderId="30" xfId="659" applyFont="1" applyFill="1" applyBorder="1" applyAlignment="1">
      <alignment horizontal="left"/>
    </xf>
    <xf numFmtId="0" fontId="1" fillId="0" borderId="65" xfId="9" applyFont="1" applyBorder="1"/>
    <xf numFmtId="0" fontId="1" fillId="0" borderId="0" xfId="659" applyFont="1" applyFill="1" applyBorder="1"/>
    <xf numFmtId="166" fontId="1" fillId="0" borderId="0" xfId="506" applyFont="1" applyFill="1" applyBorder="1"/>
    <xf numFmtId="0" fontId="1" fillId="0" borderId="63" xfId="9" applyFont="1" applyBorder="1"/>
    <xf numFmtId="0" fontId="0" fillId="0" borderId="49" xfId="9" applyFont="1" applyFill="1" applyBorder="1"/>
    <xf numFmtId="0" fontId="0" fillId="0" borderId="64" xfId="659" applyFont="1" applyFill="1" applyBorder="1"/>
    <xf numFmtId="0" fontId="1" fillId="0" borderId="0" xfId="9" applyFont="1" applyFill="1"/>
    <xf numFmtId="0" fontId="4" fillId="0" borderId="0" xfId="0" applyFont="1" applyFill="1" applyProtection="1"/>
    <xf numFmtId="0" fontId="0" fillId="0" borderId="27" xfId="0" applyFill="1" applyBorder="1"/>
    <xf numFmtId="20" fontId="4" fillId="0" borderId="0" xfId="0" quotePrefix="1" applyNumberFormat="1" applyFont="1" applyFill="1" applyBorder="1" applyProtection="1"/>
    <xf numFmtId="0" fontId="2" fillId="0" borderId="24" xfId="0" applyFont="1" applyFill="1" applyBorder="1"/>
    <xf numFmtId="2" fontId="124" fillId="0" borderId="0" xfId="0" applyNumberFormat="1" applyFont="1" applyFill="1" applyBorder="1"/>
    <xf numFmtId="0" fontId="100" fillId="0" borderId="13" xfId="0" applyFont="1" applyFill="1" applyBorder="1"/>
    <xf numFmtId="2" fontId="18" fillId="14" borderId="0" xfId="0" applyNumberFormat="1" applyFont="1" applyFill="1" applyBorder="1" applyAlignment="1" applyProtection="1">
      <alignment horizontal="center"/>
    </xf>
    <xf numFmtId="4" fontId="4" fillId="0" borderId="0" xfId="0" applyNumberFormat="1" applyFont="1" applyProtection="1"/>
    <xf numFmtId="3" fontId="3" fillId="0" borderId="0" xfId="0" applyNumberFormat="1" applyFont="1" applyFill="1" applyAlignment="1" applyProtection="1"/>
    <xf numFmtId="3" fontId="0" fillId="0" borderId="0" xfId="0" applyNumberFormat="1" applyFill="1" applyAlignment="1" applyProtection="1"/>
    <xf numFmtId="4" fontId="25" fillId="0" borderId="7" xfId="0" applyNumberFormat="1" applyFont="1" applyFill="1" applyBorder="1" applyAlignment="1" applyProtection="1">
      <alignment horizontal="center"/>
    </xf>
    <xf numFmtId="10" fontId="0" fillId="0" borderId="0" xfId="1" applyNumberFormat="1" applyFont="1"/>
    <xf numFmtId="3" fontId="0" fillId="0" borderId="0" xfId="0" applyNumberFormat="1"/>
    <xf numFmtId="0" fontId="127" fillId="0" borderId="0" xfId="0" applyFont="1"/>
    <xf numFmtId="4" fontId="25" fillId="18" borderId="7" xfId="0" applyNumberFormat="1" applyFont="1" applyFill="1" applyBorder="1" applyAlignment="1" applyProtection="1">
      <alignment horizontal="center"/>
    </xf>
    <xf numFmtId="3" fontId="123" fillId="0" borderId="0" xfId="0" applyNumberFormat="1" applyFont="1" applyAlignment="1" applyProtection="1">
      <alignment horizontal="left"/>
    </xf>
    <xf numFmtId="0" fontId="14" fillId="0" borderId="0" xfId="0" applyFont="1" applyBorder="1" applyProtection="1"/>
    <xf numFmtId="4" fontId="98" fillId="0" borderId="7" xfId="0" applyNumberFormat="1" applyFont="1" applyFill="1" applyBorder="1" applyAlignment="1" applyProtection="1">
      <alignment horizontal="center"/>
    </xf>
    <xf numFmtId="0" fontId="0" fillId="0" borderId="3" xfId="0" applyBorder="1"/>
    <xf numFmtId="0" fontId="0" fillId="0" borderId="1" xfId="0" applyFill="1" applyBorder="1"/>
    <xf numFmtId="0" fontId="7" fillId="0" borderId="0" xfId="0" applyFont="1" applyFill="1" applyAlignment="1">
      <alignment vertical="center" wrapText="1"/>
    </xf>
    <xf numFmtId="0" fontId="7" fillId="0" borderId="0" xfId="0" applyFont="1" applyFill="1" applyProtection="1"/>
    <xf numFmtId="0" fontId="7" fillId="0" borderId="0" xfId="0" applyFont="1" applyFill="1" applyAlignment="1" applyProtection="1"/>
    <xf numFmtId="3" fontId="7" fillId="0" borderId="0" xfId="0" applyNumberFormat="1" applyFont="1" applyFill="1" applyAlignment="1" applyProtection="1">
      <alignment horizontal="left"/>
    </xf>
    <xf numFmtId="3" fontId="7" fillId="0" borderId="0" xfId="0" applyNumberFormat="1" applyFont="1" applyFill="1" applyAlignment="1" applyProtection="1">
      <alignment horizontal="center"/>
    </xf>
    <xf numFmtId="4" fontId="0" fillId="0" borderId="0" xfId="1" applyNumberFormat="1" applyFont="1" applyFill="1" applyBorder="1"/>
    <xf numFmtId="0" fontId="28" fillId="0" borderId="0" xfId="0" applyFont="1"/>
    <xf numFmtId="1" fontId="12" fillId="0" borderId="3" xfId="6" applyNumberFormat="1" applyFont="1" applyFill="1" applyBorder="1" applyAlignment="1">
      <alignment horizontal="center" vertical="top"/>
    </xf>
    <xf numFmtId="166" fontId="3" fillId="0" borderId="3" xfId="760" applyNumberFormat="1" applyFont="1" applyFill="1" applyBorder="1" applyAlignment="1"/>
    <xf numFmtId="167" fontId="12" fillId="0" borderId="3" xfId="536" applyFont="1" applyFill="1" applyBorder="1" applyAlignment="1">
      <alignment horizontal="center" vertical="top"/>
    </xf>
    <xf numFmtId="206" fontId="17" fillId="0" borderId="3" xfId="536" applyNumberFormat="1" applyFont="1" applyFill="1" applyBorder="1" applyAlignment="1">
      <alignment horizontal="right" vertical="top"/>
    </xf>
    <xf numFmtId="167" fontId="17" fillId="0" borderId="2" xfId="536" applyFont="1" applyFill="1" applyBorder="1"/>
    <xf numFmtId="1" fontId="17" fillId="0" borderId="3" xfId="536" applyNumberFormat="1" applyFont="1" applyFill="1" applyBorder="1" applyAlignment="1">
      <alignment horizontal="center"/>
    </xf>
    <xf numFmtId="167" fontId="17" fillId="0" borderId="23" xfId="536" applyFont="1" applyFill="1" applyBorder="1"/>
    <xf numFmtId="167" fontId="17" fillId="0" borderId="0" xfId="536" applyFont="1" applyFill="1"/>
    <xf numFmtId="0" fontId="3" fillId="21" borderId="0" xfId="781" applyFont="1" applyFill="1"/>
    <xf numFmtId="49" fontId="3" fillId="21" borderId="0" xfId="781" applyNumberFormat="1" applyFont="1" applyFill="1"/>
    <xf numFmtId="0" fontId="7" fillId="21" borderId="0" xfId="781" applyFont="1" applyFill="1"/>
    <xf numFmtId="0" fontId="3" fillId="21" borderId="1" xfId="781" applyFont="1" applyFill="1" applyBorder="1"/>
    <xf numFmtId="49" fontId="3" fillId="21" borderId="1" xfId="781" applyNumberFormat="1" applyFont="1" applyFill="1" applyBorder="1"/>
    <xf numFmtId="49" fontId="7" fillId="45" borderId="5" xfId="781" applyNumberFormat="1" applyFont="1" applyFill="1" applyBorder="1"/>
    <xf numFmtId="0" fontId="7" fillId="45" borderId="5" xfId="781" applyFont="1" applyFill="1" applyBorder="1"/>
    <xf numFmtId="0" fontId="3" fillId="45" borderId="5" xfId="781" applyFont="1" applyFill="1" applyBorder="1"/>
    <xf numFmtId="0" fontId="3" fillId="20" borderId="0" xfId="781" applyFont="1" applyFill="1" applyBorder="1"/>
    <xf numFmtId="49" fontId="7" fillId="20" borderId="0" xfId="781" applyNumberFormat="1" applyFont="1" applyFill="1" applyBorder="1"/>
    <xf numFmtId="0" fontId="7" fillId="20" borderId="0" xfId="781" applyFont="1" applyFill="1" applyBorder="1"/>
    <xf numFmtId="0" fontId="121" fillId="20" borderId="0" xfId="781" applyFont="1" applyFill="1" applyBorder="1"/>
    <xf numFmtId="0" fontId="7" fillId="0" borderId="3" xfId="781" applyFont="1" applyBorder="1"/>
    <xf numFmtId="0" fontId="3" fillId="0" borderId="3" xfId="781" applyFont="1" applyBorder="1"/>
    <xf numFmtId="166" fontId="3" fillId="20" borderId="0" xfId="781" applyNumberFormat="1" applyFont="1" applyFill="1" applyBorder="1"/>
    <xf numFmtId="0" fontId="102" fillId="20" borderId="0" xfId="781" applyFont="1" applyFill="1" applyBorder="1"/>
    <xf numFmtId="0" fontId="7" fillId="0" borderId="0" xfId="781" applyFont="1"/>
    <xf numFmtId="0" fontId="3" fillId="0" borderId="0" xfId="781" applyFont="1"/>
    <xf numFmtId="0" fontId="3" fillId="0" borderId="0" xfId="781" applyFont="1" applyBorder="1"/>
    <xf numFmtId="0" fontId="12" fillId="0" borderId="0" xfId="6" applyFont="1" applyAlignment="1">
      <alignment vertical="top"/>
    </xf>
    <xf numFmtId="0" fontId="12" fillId="0" borderId="0" xfId="6" applyFont="1" applyFill="1" applyAlignment="1">
      <alignment vertical="top"/>
    </xf>
    <xf numFmtId="0" fontId="132" fillId="0" borderId="0" xfId="6" applyFont="1" applyFill="1" applyAlignment="1">
      <alignment horizontal="center" vertical="top"/>
    </xf>
    <xf numFmtId="0" fontId="131" fillId="0" borderId="0" xfId="781" applyAlignment="1">
      <alignment horizontal="center" vertical="top"/>
    </xf>
    <xf numFmtId="211" fontId="132" fillId="0" borderId="0" xfId="6" applyNumberFormat="1" applyFont="1" applyFill="1" applyAlignment="1">
      <alignment horizontal="left" vertical="top"/>
    </xf>
    <xf numFmtId="0" fontId="133" fillId="0" borderId="0" xfId="6" applyFont="1" applyAlignment="1">
      <alignment horizontal="left" vertical="top"/>
    </xf>
    <xf numFmtId="1" fontId="134" fillId="38" borderId="0" xfId="6" applyNumberFormat="1" applyFont="1" applyFill="1" applyBorder="1" applyAlignment="1">
      <alignment horizontal="left" vertical="top"/>
    </xf>
    <xf numFmtId="1" fontId="135" fillId="38" borderId="0" xfId="6" applyNumberFormat="1" applyFont="1" applyFill="1" applyBorder="1" applyAlignment="1">
      <alignment horizontal="center" vertical="top"/>
    </xf>
    <xf numFmtId="213" fontId="136" fillId="38" borderId="0" xfId="782" quotePrefix="1" applyNumberFormat="1" applyFont="1" applyFill="1" applyBorder="1" applyAlignment="1">
      <alignment horizontal="center" vertical="top"/>
    </xf>
    <xf numFmtId="0" fontId="136" fillId="38" borderId="0" xfId="6" applyFont="1" applyFill="1" applyBorder="1" applyAlignment="1">
      <alignment horizontal="right" vertical="top"/>
    </xf>
    <xf numFmtId="0" fontId="12" fillId="38" borderId="0" xfId="6" applyFont="1" applyFill="1" applyAlignment="1">
      <alignment vertical="top"/>
    </xf>
    <xf numFmtId="0" fontId="137" fillId="0" borderId="0" xfId="6" applyFont="1" applyFill="1" applyAlignment="1">
      <alignment vertical="top"/>
    </xf>
    <xf numFmtId="0" fontId="133" fillId="0" borderId="0" xfId="6" applyFont="1" applyFill="1" applyAlignment="1">
      <alignment vertical="top"/>
    </xf>
    <xf numFmtId="213" fontId="136" fillId="0" borderId="0" xfId="782" quotePrefix="1" applyNumberFormat="1" applyFont="1" applyFill="1" applyBorder="1" applyAlignment="1">
      <alignment horizontal="center" vertical="top"/>
    </xf>
    <xf numFmtId="0" fontId="136" fillId="0" borderId="0" xfId="6" applyFont="1" applyFill="1" applyBorder="1" applyAlignment="1">
      <alignment horizontal="right" vertical="top"/>
    </xf>
    <xf numFmtId="215" fontId="133" fillId="0" borderId="0" xfId="783" applyNumberFormat="1" applyFont="1" applyFill="1" applyBorder="1" applyAlignment="1">
      <alignment vertical="top"/>
    </xf>
    <xf numFmtId="0" fontId="133" fillId="0" borderId="0" xfId="6" applyFont="1" applyFill="1" applyBorder="1" applyAlignment="1">
      <alignment horizontal="left" vertical="top"/>
    </xf>
    <xf numFmtId="0" fontId="134" fillId="0" borderId="0" xfId="6" applyFont="1" applyAlignment="1">
      <alignment vertical="top"/>
    </xf>
    <xf numFmtId="0" fontId="133" fillId="0" borderId="0" xfId="6" applyFont="1" applyAlignment="1">
      <alignment vertical="top"/>
    </xf>
    <xf numFmtId="0" fontId="12" fillId="0" borderId="0" xfId="6" applyFont="1" applyFill="1" applyBorder="1" applyAlignment="1">
      <alignment vertical="top"/>
    </xf>
    <xf numFmtId="1" fontId="138" fillId="0" borderId="0" xfId="6" applyNumberFormat="1" applyFont="1" applyFill="1" applyBorder="1" applyAlignment="1">
      <alignment horizontal="left" vertical="top"/>
    </xf>
    <xf numFmtId="1" fontId="134" fillId="0" borderId="0" xfId="6" applyNumberFormat="1" applyFont="1" applyFill="1" applyBorder="1" applyAlignment="1">
      <alignment horizontal="left" vertical="top"/>
    </xf>
    <xf numFmtId="216" fontId="133" fillId="0" borderId="0" xfId="783" applyNumberFormat="1" applyFont="1" applyFill="1" applyBorder="1" applyAlignment="1">
      <alignment vertical="top"/>
    </xf>
    <xf numFmtId="3" fontId="12" fillId="0" borderId="0" xfId="781" applyNumberFormat="1" applyFont="1" applyFill="1" applyBorder="1" applyAlignment="1">
      <alignment horizontal="center"/>
    </xf>
    <xf numFmtId="0" fontId="136" fillId="0" borderId="0" xfId="6" applyFont="1" applyFill="1" applyBorder="1" applyAlignment="1">
      <alignment horizontal="left" vertical="top"/>
    </xf>
    <xf numFmtId="166" fontId="133" fillId="0" borderId="0" xfId="783" applyNumberFormat="1" applyFont="1" applyFill="1" applyBorder="1" applyAlignment="1">
      <alignment vertical="top"/>
    </xf>
    <xf numFmtId="0" fontId="134" fillId="0" borderId="0" xfId="6" applyFont="1" applyFill="1" applyBorder="1" applyAlignment="1">
      <alignment vertical="top"/>
    </xf>
    <xf numFmtId="0" fontId="134" fillId="0" borderId="0" xfId="6" applyFont="1" applyFill="1" applyAlignment="1">
      <alignment horizontal="left" vertical="top"/>
    </xf>
    <xf numFmtId="0" fontId="133" fillId="0" borderId="0" xfId="6" quotePrefix="1" applyFont="1" applyFill="1" applyAlignment="1">
      <alignment vertical="top" wrapText="1"/>
    </xf>
    <xf numFmtId="0" fontId="117" fillId="0" borderId="0" xfId="784" applyFill="1" applyAlignment="1">
      <alignment vertical="top" wrapText="1"/>
    </xf>
    <xf numFmtId="217" fontId="133" fillId="0" borderId="0" xfId="6" applyNumberFormat="1" applyFont="1" applyFill="1" applyBorder="1" applyAlignment="1">
      <alignment horizontal="right" vertical="top"/>
    </xf>
    <xf numFmtId="0" fontId="12" fillId="0" borderId="0" xfId="6" applyFont="1" applyAlignment="1">
      <alignment horizontal="right" vertical="top"/>
    </xf>
    <xf numFmtId="0" fontId="140" fillId="0" borderId="0" xfId="6" applyFont="1" applyAlignment="1">
      <alignment vertical="top"/>
    </xf>
    <xf numFmtId="1" fontId="135" fillId="0" borderId="0" xfId="6" applyNumberFormat="1" applyFont="1" applyFill="1" applyBorder="1" applyAlignment="1">
      <alignment horizontal="center" vertical="top"/>
    </xf>
    <xf numFmtId="213" fontId="135" fillId="0" borderId="0" xfId="782" quotePrefix="1" applyNumberFormat="1" applyFont="1" applyFill="1" applyBorder="1" applyAlignment="1">
      <alignment horizontal="left" vertical="top"/>
    </xf>
    <xf numFmtId="0" fontId="12" fillId="0" borderId="0" xfId="6" applyFont="1" applyBorder="1" applyAlignment="1">
      <alignment vertical="top"/>
    </xf>
    <xf numFmtId="213" fontId="142" fillId="38" borderId="14" xfId="785" applyNumberFormat="1" applyFont="1" applyFill="1" applyBorder="1" applyAlignment="1">
      <alignment horizontal="center" vertical="top"/>
    </xf>
    <xf numFmtId="0" fontId="3" fillId="0" borderId="0" xfId="719" applyFill="1" applyBorder="1" applyAlignment="1">
      <alignment horizontal="center" vertical="top"/>
    </xf>
    <xf numFmtId="213" fontId="136" fillId="0" borderId="0" xfId="782" applyNumberFormat="1" applyFont="1" applyFill="1" applyBorder="1" applyAlignment="1">
      <alignment horizontal="center" vertical="top"/>
    </xf>
    <xf numFmtId="1" fontId="141" fillId="38" borderId="26" xfId="6" applyNumberFormat="1" applyFont="1" applyFill="1" applyBorder="1" applyAlignment="1">
      <alignment horizontal="left" vertical="top"/>
    </xf>
    <xf numFmtId="1" fontId="141" fillId="38" borderId="1" xfId="6" applyNumberFormat="1" applyFont="1" applyFill="1" applyBorder="1" applyAlignment="1">
      <alignment horizontal="left" vertical="top"/>
    </xf>
    <xf numFmtId="213" fontId="142" fillId="38" borderId="66" xfId="785" applyNumberFormat="1" applyFont="1" applyFill="1" applyBorder="1" applyAlignment="1">
      <alignment horizontal="center" vertical="top"/>
    </xf>
    <xf numFmtId="1" fontId="143" fillId="47" borderId="3" xfId="6" applyNumberFormat="1" applyFont="1" applyFill="1" applyBorder="1" applyAlignment="1">
      <alignment horizontal="left" vertical="top"/>
    </xf>
    <xf numFmtId="213" fontId="144" fillId="0" borderId="3" xfId="785" applyNumberFormat="1" applyFont="1" applyFill="1" applyBorder="1" applyAlignment="1">
      <alignment vertical="top"/>
    </xf>
    <xf numFmtId="213" fontId="144" fillId="0" borderId="0" xfId="785" applyNumberFormat="1" applyFont="1" applyFill="1" applyBorder="1" applyAlignment="1">
      <alignment vertical="top"/>
    </xf>
    <xf numFmtId="1" fontId="139" fillId="0" borderId="0" xfId="6" applyNumberFormat="1" applyFont="1" applyFill="1" applyBorder="1" applyAlignment="1">
      <alignment horizontal="left" vertical="top"/>
    </xf>
    <xf numFmtId="213" fontId="145" fillId="0" borderId="0" xfId="785" applyNumberFormat="1" applyFont="1" applyFill="1" applyBorder="1" applyAlignment="1">
      <alignment vertical="top"/>
    </xf>
    <xf numFmtId="0" fontId="140" fillId="0" borderId="0" xfId="6" applyFont="1" applyFill="1" applyAlignment="1">
      <alignment vertical="top"/>
    </xf>
    <xf numFmtId="1" fontId="146" fillId="47" borderId="3" xfId="6" applyNumberFormat="1" applyFont="1" applyFill="1" applyBorder="1" applyAlignment="1">
      <alignment horizontal="left" vertical="top"/>
    </xf>
    <xf numFmtId="1" fontId="146" fillId="47" borderId="3" xfId="6" applyNumberFormat="1" applyFont="1" applyFill="1" applyBorder="1" applyAlignment="1">
      <alignment horizontal="right" vertical="top"/>
    </xf>
    <xf numFmtId="218" fontId="147" fillId="0" borderId="3" xfId="719" applyNumberFormat="1" applyFont="1" applyFill="1" applyBorder="1" applyAlignment="1">
      <alignment horizontal="right"/>
    </xf>
    <xf numFmtId="1" fontId="134" fillId="19" borderId="0" xfId="6" applyNumberFormat="1" applyFont="1" applyFill="1" applyBorder="1" applyAlignment="1">
      <alignment horizontal="left" vertical="top"/>
    </xf>
    <xf numFmtId="1" fontId="135" fillId="19" borderId="0" xfId="6" applyNumberFormat="1" applyFont="1" applyFill="1" applyBorder="1" applyAlignment="1">
      <alignment horizontal="center" vertical="top"/>
    </xf>
    <xf numFmtId="213" fontId="136" fillId="19" borderId="0" xfId="782" quotePrefix="1" applyNumberFormat="1" applyFont="1" applyFill="1" applyBorder="1" applyAlignment="1">
      <alignment horizontal="center" vertical="top"/>
    </xf>
    <xf numFmtId="0" fontId="136" fillId="19" borderId="0" xfId="6" applyFont="1" applyFill="1" applyBorder="1" applyAlignment="1">
      <alignment horizontal="right" vertical="top"/>
    </xf>
    <xf numFmtId="0" fontId="12" fillId="19" borderId="0" xfId="6" applyFont="1" applyFill="1" applyBorder="1" applyAlignment="1">
      <alignment vertical="top"/>
    </xf>
    <xf numFmtId="167" fontId="12" fillId="19" borderId="0" xfId="6" applyNumberFormat="1" applyFont="1" applyFill="1" applyBorder="1" applyAlignment="1">
      <alignment vertical="top"/>
    </xf>
    <xf numFmtId="0" fontId="12" fillId="19" borderId="0" xfId="6" applyFont="1" applyFill="1" applyAlignment="1">
      <alignment vertical="top"/>
    </xf>
    <xf numFmtId="167" fontId="12" fillId="0" borderId="0" xfId="6" applyNumberFormat="1" applyFont="1" applyBorder="1" applyAlignment="1">
      <alignment vertical="top"/>
    </xf>
    <xf numFmtId="0" fontId="134" fillId="0" borderId="0" xfId="6" applyFont="1" applyFill="1" applyAlignment="1">
      <alignment vertical="top"/>
    </xf>
    <xf numFmtId="0" fontId="117" fillId="0" borderId="0" xfId="784" applyFill="1" applyAlignment="1">
      <alignment vertical="top"/>
    </xf>
    <xf numFmtId="0" fontId="12" fillId="0" borderId="0" xfId="6" applyFont="1" applyFill="1" applyAlignment="1">
      <alignment horizontal="right" vertical="top"/>
    </xf>
    <xf numFmtId="0" fontId="139" fillId="0" borderId="0" xfId="6" applyFont="1" applyFill="1" applyAlignment="1">
      <alignment vertical="top"/>
    </xf>
    <xf numFmtId="0" fontId="139" fillId="0" borderId="0" xfId="6" applyFont="1" applyFill="1" applyBorder="1" applyAlignment="1">
      <alignment horizontal="left" vertical="top"/>
    </xf>
    <xf numFmtId="2" fontId="12" fillId="0" borderId="0" xfId="6" applyNumberFormat="1" applyFont="1" applyAlignment="1">
      <alignment vertical="top"/>
    </xf>
    <xf numFmtId="2" fontId="139" fillId="0" borderId="0" xfId="6" applyNumberFormat="1" applyFont="1" applyFill="1" applyAlignment="1">
      <alignment vertical="top"/>
    </xf>
    <xf numFmtId="0" fontId="139" fillId="0" borderId="0" xfId="6" applyFont="1" applyAlignment="1">
      <alignment vertical="top"/>
    </xf>
    <xf numFmtId="0" fontId="133" fillId="0" borderId="0" xfId="6" applyFont="1" applyFill="1" applyBorder="1" applyAlignment="1">
      <alignment vertical="top"/>
    </xf>
    <xf numFmtId="166" fontId="135" fillId="0" borderId="0" xfId="786" applyNumberFormat="1" applyFont="1" applyFill="1" applyBorder="1"/>
    <xf numFmtId="201" fontId="135" fillId="0" borderId="0" xfId="786" applyNumberFormat="1" applyFont="1" applyFill="1" applyBorder="1"/>
    <xf numFmtId="3" fontId="12" fillId="0" borderId="0" xfId="719" applyNumberFormat="1" applyFont="1" applyFill="1" applyBorder="1" applyAlignment="1">
      <alignment horizontal="left"/>
    </xf>
    <xf numFmtId="166" fontId="3" fillId="0" borderId="0" xfId="719" applyNumberFormat="1" applyFill="1" applyBorder="1"/>
    <xf numFmtId="0" fontId="133" fillId="0" borderId="0" xfId="6" applyFont="1" applyFill="1" applyBorder="1" applyAlignment="1">
      <alignment horizontal="left" vertical="top" wrapText="1"/>
    </xf>
    <xf numFmtId="0" fontId="136" fillId="0" borderId="0" xfId="6" applyFont="1" applyFill="1" applyBorder="1" applyAlignment="1">
      <alignment horizontal="center" vertical="top"/>
    </xf>
    <xf numFmtId="213" fontId="148" fillId="0" borderId="0" xfId="785" applyNumberFormat="1" applyFont="1" applyFill="1" applyBorder="1" applyAlignment="1">
      <alignment horizontal="center" vertical="top"/>
    </xf>
    <xf numFmtId="0" fontId="12" fillId="0" borderId="0" xfId="6" applyFont="1" applyFill="1" applyAlignment="1">
      <alignment horizontal="center" vertical="top"/>
    </xf>
    <xf numFmtId="0" fontId="12" fillId="0" borderId="0" xfId="6" applyFont="1" applyAlignment="1">
      <alignment horizontal="left" vertical="top"/>
    </xf>
    <xf numFmtId="219" fontId="133" fillId="0" borderId="0" xfId="6" applyNumberFormat="1" applyFont="1" applyFill="1" applyBorder="1" applyAlignment="1">
      <alignment horizontal="right" vertical="top"/>
    </xf>
    <xf numFmtId="1" fontId="133" fillId="0" borderId="0" xfId="6" applyNumberFormat="1" applyFont="1" applyFill="1" applyBorder="1" applyAlignment="1">
      <alignment horizontal="left" vertical="top"/>
    </xf>
    <xf numFmtId="0" fontId="136" fillId="0" borderId="0" xfId="6" applyFont="1" applyAlignment="1">
      <alignment horizontal="left" vertical="top" wrapText="1"/>
    </xf>
    <xf numFmtId="220" fontId="133" fillId="0" borderId="0" xfId="6" applyNumberFormat="1" applyFont="1" applyFill="1" applyBorder="1" applyAlignment="1">
      <alignment horizontal="right" vertical="top"/>
    </xf>
    <xf numFmtId="0" fontId="146" fillId="0" borderId="0" xfId="6" applyFont="1" applyFill="1" applyAlignment="1">
      <alignment vertical="top"/>
    </xf>
    <xf numFmtId="0" fontId="146" fillId="0" borderId="0" xfId="6" applyFont="1" applyAlignment="1">
      <alignment vertical="top"/>
    </xf>
    <xf numFmtId="0" fontId="146" fillId="0" borderId="3" xfId="6" applyFont="1" applyBorder="1" applyAlignment="1">
      <alignment vertical="top"/>
    </xf>
    <xf numFmtId="0" fontId="146" fillId="0" borderId="0" xfId="6" applyFont="1" applyAlignment="1">
      <alignment horizontal="right" vertical="top"/>
    </xf>
    <xf numFmtId="0" fontId="149" fillId="0" borderId="0" xfId="6" applyFont="1" applyAlignment="1">
      <alignment vertical="top"/>
    </xf>
    <xf numFmtId="218" fontId="147" fillId="0" borderId="0" xfId="719" applyNumberFormat="1" applyFont="1" applyFill="1" applyBorder="1" applyAlignment="1">
      <alignment horizontal="right"/>
    </xf>
    <xf numFmtId="0" fontId="7" fillId="20" borderId="0" xfId="781" applyFont="1" applyFill="1" applyBorder="1" applyAlignment="1">
      <alignment horizontal="right"/>
    </xf>
    <xf numFmtId="9" fontId="7" fillId="20" borderId="0" xfId="781" applyNumberFormat="1" applyFont="1" applyFill="1" applyBorder="1"/>
    <xf numFmtId="0" fontId="3" fillId="20" borderId="0" xfId="781" applyFont="1" applyFill="1"/>
    <xf numFmtId="0" fontId="7" fillId="20" borderId="3" xfId="781" applyFont="1" applyFill="1" applyBorder="1" applyAlignment="1">
      <alignment horizontal="center"/>
    </xf>
    <xf numFmtId="0" fontId="3" fillId="20" borderId="28" xfId="781" applyFont="1" applyFill="1" applyBorder="1" applyAlignment="1">
      <alignment horizontal="center"/>
    </xf>
    <xf numFmtId="0" fontId="3" fillId="20" borderId="31" xfId="781" applyFont="1" applyFill="1" applyBorder="1" applyAlignment="1">
      <alignment horizontal="center"/>
    </xf>
    <xf numFmtId="0" fontId="3" fillId="20" borderId="29" xfId="781" applyFont="1" applyFill="1" applyBorder="1" applyAlignment="1">
      <alignment horizontal="center"/>
    </xf>
    <xf numFmtId="0" fontId="3" fillId="20" borderId="65" xfId="781" applyFont="1" applyFill="1" applyBorder="1" applyAlignment="1">
      <alignment horizontal="center"/>
    </xf>
    <xf numFmtId="0" fontId="3" fillId="20" borderId="12" xfId="781" applyFont="1" applyFill="1" applyBorder="1" applyAlignment="1">
      <alignment horizontal="center"/>
    </xf>
    <xf numFmtId="0" fontId="3" fillId="20" borderId="0" xfId="781" applyFont="1" applyFill="1" applyBorder="1" applyAlignment="1">
      <alignment horizontal="center"/>
    </xf>
    <xf numFmtId="0" fontId="3" fillId="20" borderId="30" xfId="781" applyFont="1" applyFill="1" applyBorder="1" applyAlignment="1">
      <alignment horizontal="center"/>
    </xf>
    <xf numFmtId="0" fontId="3" fillId="20" borderId="63" xfId="781" applyFont="1" applyFill="1" applyBorder="1" applyAlignment="1">
      <alignment horizontal="center"/>
    </xf>
    <xf numFmtId="0" fontId="7" fillId="20" borderId="0" xfId="781" applyFont="1" applyFill="1" applyBorder="1" applyAlignment="1">
      <alignment horizontal="center" wrapText="1"/>
    </xf>
    <xf numFmtId="0" fontId="7" fillId="20" borderId="34" xfId="781" applyFont="1" applyFill="1" applyBorder="1" applyAlignment="1">
      <alignment horizontal="left" wrapText="1"/>
    </xf>
    <xf numFmtId="0" fontId="7" fillId="20" borderId="12" xfId="781" applyFont="1" applyFill="1" applyBorder="1" applyAlignment="1">
      <alignment horizontal="center" wrapText="1"/>
    </xf>
    <xf numFmtId="0" fontId="7" fillId="20" borderId="30" xfId="781" applyFont="1" applyFill="1" applyBorder="1" applyAlignment="1">
      <alignment horizontal="center" wrapText="1"/>
    </xf>
    <xf numFmtId="0" fontId="7" fillId="20" borderId="63" xfId="781" applyFont="1" applyFill="1" applyBorder="1" applyAlignment="1">
      <alignment horizontal="center" wrapText="1"/>
    </xf>
    <xf numFmtId="0" fontId="7" fillId="20" borderId="35" xfId="781" applyFont="1" applyFill="1" applyBorder="1" applyAlignment="1">
      <alignment horizontal="left" wrapText="1"/>
    </xf>
    <xf numFmtId="0" fontId="7" fillId="20" borderId="36" xfId="781" applyFont="1" applyFill="1" applyBorder="1" applyAlignment="1">
      <alignment horizontal="center" wrapText="1"/>
    </xf>
    <xf numFmtId="0" fontId="7" fillId="20" borderId="35" xfId="781" applyFont="1" applyFill="1" applyBorder="1" applyAlignment="1">
      <alignment horizontal="center" wrapText="1"/>
    </xf>
    <xf numFmtId="0" fontId="7" fillId="20" borderId="39" xfId="781" applyFont="1" applyFill="1" applyBorder="1" applyAlignment="1">
      <alignment horizontal="center" wrapText="1"/>
    </xf>
    <xf numFmtId="0" fontId="7" fillId="20" borderId="37" xfId="781" applyFont="1" applyFill="1" applyBorder="1" applyAlignment="1">
      <alignment horizontal="center" wrapText="1"/>
    </xf>
    <xf numFmtId="0" fontId="7" fillId="20" borderId="38" xfId="781" applyFont="1" applyFill="1" applyBorder="1" applyAlignment="1">
      <alignment horizontal="center" wrapText="1"/>
    </xf>
    <xf numFmtId="0" fontId="7" fillId="20" borderId="46" xfId="781" applyFont="1" applyFill="1" applyBorder="1" applyAlignment="1">
      <alignment horizontal="center" wrapText="1"/>
    </xf>
    <xf numFmtId="0" fontId="7" fillId="20" borderId="67" xfId="781" applyFont="1" applyFill="1" applyBorder="1" applyAlignment="1">
      <alignment horizontal="center" wrapText="1"/>
    </xf>
    <xf numFmtId="0" fontId="3" fillId="20" borderId="0" xfId="781" applyFont="1" applyFill="1" applyAlignment="1">
      <alignment wrapText="1"/>
    </xf>
    <xf numFmtId="166" fontId="3" fillId="20" borderId="12" xfId="12" applyFont="1" applyFill="1" applyBorder="1"/>
    <xf numFmtId="201" fontId="3" fillId="20" borderId="30" xfId="12" applyNumberFormat="1" applyFont="1" applyFill="1" applyBorder="1"/>
    <xf numFmtId="166" fontId="3" fillId="20" borderId="0" xfId="12" applyNumberFormat="1" applyFont="1" applyFill="1" applyBorder="1"/>
    <xf numFmtId="166" fontId="3" fillId="20" borderId="30" xfId="12" applyNumberFormat="1" applyFont="1" applyFill="1" applyBorder="1" applyAlignment="1">
      <alignment horizontal="left" indent="3"/>
    </xf>
    <xf numFmtId="166" fontId="3" fillId="20" borderId="63" xfId="12" applyNumberFormat="1" applyFont="1" applyFill="1" applyBorder="1" applyAlignment="1">
      <alignment horizontal="left" indent="3"/>
    </xf>
    <xf numFmtId="0" fontId="6" fillId="20" borderId="0" xfId="781" applyFont="1" applyFill="1" applyBorder="1"/>
    <xf numFmtId="0" fontId="3" fillId="10" borderId="35" xfId="781" applyFont="1" applyFill="1" applyBorder="1"/>
    <xf numFmtId="0" fontId="103" fillId="0" borderId="35" xfId="781" applyFont="1" applyFill="1" applyBorder="1"/>
    <xf numFmtId="202" fontId="103" fillId="20" borderId="12" xfId="12" applyNumberFormat="1" applyFont="1" applyFill="1" applyBorder="1"/>
    <xf numFmtId="202" fontId="3" fillId="20" borderId="30" xfId="12" applyNumberFormat="1" applyFont="1" applyFill="1" applyBorder="1" applyAlignment="1">
      <alignment horizontal="left" indent="3"/>
    </xf>
    <xf numFmtId="202" fontId="3" fillId="20" borderId="63" xfId="12" applyNumberFormat="1" applyFont="1" applyFill="1" applyBorder="1" applyAlignment="1">
      <alignment horizontal="left" indent="3"/>
    </xf>
    <xf numFmtId="202" fontId="3" fillId="20" borderId="0" xfId="781" applyNumberFormat="1" applyFont="1" applyFill="1" applyBorder="1"/>
    <xf numFmtId="0" fontId="7" fillId="20" borderId="1" xfId="781" applyFont="1" applyFill="1" applyBorder="1" applyAlignment="1">
      <alignment horizontal="center" wrapText="1"/>
    </xf>
    <xf numFmtId="0" fontId="7" fillId="20" borderId="68" xfId="781" applyFont="1" applyFill="1" applyBorder="1" applyAlignment="1">
      <alignment horizontal="center" wrapText="1"/>
    </xf>
    <xf numFmtId="0" fontId="7" fillId="20" borderId="39" xfId="781" applyFont="1" applyFill="1" applyBorder="1" applyAlignment="1">
      <alignment horizontal="left" wrapText="1"/>
    </xf>
    <xf numFmtId="0" fontId="7" fillId="20" borderId="69" xfId="781" applyFont="1" applyFill="1" applyBorder="1" applyAlignment="1">
      <alignment horizontal="center" wrapText="1"/>
    </xf>
    <xf numFmtId="0" fontId="7" fillId="20" borderId="70" xfId="781" applyFont="1" applyFill="1" applyBorder="1" applyAlignment="1">
      <alignment horizontal="center" wrapText="1"/>
    </xf>
    <xf numFmtId="0" fontId="7" fillId="20" borderId="71" xfId="781" applyFont="1" applyFill="1" applyBorder="1" applyAlignment="1">
      <alignment horizontal="center" wrapText="1"/>
    </xf>
    <xf numFmtId="166" fontId="3" fillId="20" borderId="12" xfId="12" applyNumberFormat="1" applyFont="1" applyFill="1" applyBorder="1"/>
    <xf numFmtId="166" fontId="102" fillId="20" borderId="63" xfId="12" applyNumberFormat="1" applyFont="1" applyFill="1" applyBorder="1"/>
    <xf numFmtId="0" fontId="3" fillId="10" borderId="39" xfId="781" applyFont="1" applyFill="1" applyBorder="1"/>
    <xf numFmtId="202" fontId="67" fillId="20" borderId="30" xfId="12" applyNumberFormat="1" applyFont="1" applyFill="1" applyBorder="1"/>
    <xf numFmtId="202" fontId="3" fillId="20" borderId="63" xfId="12" applyNumberFormat="1" applyFont="1" applyFill="1" applyBorder="1"/>
    <xf numFmtId="0" fontId="3" fillId="21" borderId="0" xfId="787" applyFont="1" applyFill="1"/>
    <xf numFmtId="0" fontId="7" fillId="21" borderId="0" xfId="787" applyFont="1" applyFill="1"/>
    <xf numFmtId="0" fontId="3" fillId="21" borderId="1" xfId="787" applyFont="1" applyFill="1" applyBorder="1"/>
    <xf numFmtId="0" fontId="3" fillId="20" borderId="0" xfId="787" applyFont="1" applyFill="1" applyBorder="1"/>
    <xf numFmtId="0" fontId="7" fillId="20" borderId="0" xfId="787" applyFont="1" applyFill="1" applyBorder="1" applyAlignment="1">
      <alignment horizontal="right"/>
    </xf>
    <xf numFmtId="0" fontId="3" fillId="20" borderId="0" xfId="787" applyFont="1" applyFill="1"/>
    <xf numFmtId="0" fontId="3" fillId="20" borderId="0" xfId="787" applyFont="1" applyFill="1" applyBorder="1" applyAlignment="1">
      <alignment horizontal="right"/>
    </xf>
    <xf numFmtId="0" fontId="7" fillId="20" borderId="2" xfId="787" applyFont="1" applyFill="1" applyBorder="1" applyAlignment="1">
      <alignment horizontal="center"/>
    </xf>
    <xf numFmtId="0" fontId="3" fillId="20" borderId="28" xfId="787" applyFont="1" applyFill="1" applyBorder="1" applyAlignment="1">
      <alignment horizontal="center"/>
    </xf>
    <xf numFmtId="0" fontId="3" fillId="20" borderId="31" xfId="787" applyFont="1" applyFill="1" applyBorder="1" applyAlignment="1">
      <alignment horizontal="center"/>
    </xf>
    <xf numFmtId="0" fontId="3" fillId="20" borderId="29" xfId="787" applyFont="1" applyFill="1" applyBorder="1" applyAlignment="1">
      <alignment horizontal="center"/>
    </xf>
    <xf numFmtId="0" fontId="3" fillId="20" borderId="65" xfId="787" applyFont="1" applyFill="1" applyBorder="1" applyAlignment="1">
      <alignment horizontal="center"/>
    </xf>
    <xf numFmtId="0" fontId="3" fillId="20" borderId="12" xfId="787" applyFont="1" applyFill="1" applyBorder="1" applyAlignment="1">
      <alignment horizontal="center"/>
    </xf>
    <xf numFmtId="0" fontId="3" fillId="20" borderId="0" xfId="787" applyFont="1" applyFill="1" applyBorder="1" applyAlignment="1">
      <alignment horizontal="center"/>
    </xf>
    <xf numFmtId="0" fontId="3" fillId="20" borderId="30" xfId="787" applyFont="1" applyFill="1" applyBorder="1" applyAlignment="1">
      <alignment horizontal="center"/>
    </xf>
    <xf numFmtId="0" fontId="3" fillId="20" borderId="63" xfId="787" applyFont="1" applyFill="1" applyBorder="1" applyAlignment="1">
      <alignment horizontal="center"/>
    </xf>
    <xf numFmtId="0" fontId="7" fillId="20" borderId="0" xfId="787" applyFont="1" applyFill="1" applyBorder="1" applyAlignment="1">
      <alignment horizontal="center" wrapText="1"/>
    </xf>
    <xf numFmtId="0" fontId="7" fillId="20" borderId="34" xfId="787" applyFont="1" applyFill="1" applyBorder="1" applyAlignment="1">
      <alignment horizontal="left" wrapText="1"/>
    </xf>
    <xf numFmtId="0" fontId="7" fillId="20" borderId="12" xfId="787" applyFont="1" applyFill="1" applyBorder="1" applyAlignment="1">
      <alignment horizontal="center" wrapText="1"/>
    </xf>
    <xf numFmtId="0" fontId="7" fillId="20" borderId="30" xfId="787" applyFont="1" applyFill="1" applyBorder="1" applyAlignment="1">
      <alignment horizontal="center" wrapText="1"/>
    </xf>
    <xf numFmtId="0" fontId="7" fillId="20" borderId="34" xfId="787" applyFont="1" applyFill="1" applyBorder="1" applyAlignment="1">
      <alignment horizontal="center" wrapText="1"/>
    </xf>
    <xf numFmtId="0" fontId="7" fillId="20" borderId="63" xfId="787" applyFont="1" applyFill="1" applyBorder="1" applyAlignment="1">
      <alignment horizontal="center" wrapText="1"/>
    </xf>
    <xf numFmtId="0" fontId="7" fillId="20" borderId="35" xfId="787" applyFont="1" applyFill="1" applyBorder="1" applyAlignment="1">
      <alignment horizontal="left" wrapText="1"/>
    </xf>
    <xf numFmtId="0" fontId="7" fillId="20" borderId="39" xfId="787" applyFont="1" applyFill="1" applyBorder="1" applyAlignment="1">
      <alignment horizontal="left" wrapText="1"/>
    </xf>
    <xf numFmtId="0" fontId="7" fillId="20" borderId="36" xfId="787" applyFont="1" applyFill="1" applyBorder="1" applyAlignment="1">
      <alignment horizontal="center" wrapText="1"/>
    </xf>
    <xf numFmtId="0" fontId="7" fillId="20" borderId="35" xfId="787" applyFont="1" applyFill="1" applyBorder="1" applyAlignment="1">
      <alignment horizontal="center" wrapText="1"/>
    </xf>
    <xf numFmtId="0" fontId="7" fillId="20" borderId="37" xfId="787" applyFont="1" applyFill="1" applyBorder="1" applyAlignment="1">
      <alignment horizontal="center" wrapText="1"/>
    </xf>
    <xf numFmtId="0" fontId="7" fillId="20" borderId="38" xfId="787" applyFont="1" applyFill="1" applyBorder="1" applyAlignment="1">
      <alignment horizontal="center" wrapText="1"/>
    </xf>
    <xf numFmtId="0" fontId="7" fillId="20" borderId="39" xfId="787" applyFont="1" applyFill="1" applyBorder="1" applyAlignment="1">
      <alignment horizontal="center" wrapText="1"/>
    </xf>
    <xf numFmtId="0" fontId="7" fillId="20" borderId="67" xfId="787" applyFont="1" applyFill="1" applyBorder="1" applyAlignment="1">
      <alignment horizontal="center" wrapText="1"/>
    </xf>
    <xf numFmtId="166" fontId="102" fillId="20" borderId="12" xfId="12" applyNumberFormat="1" applyFont="1" applyFill="1" applyBorder="1"/>
    <xf numFmtId="0" fontId="6" fillId="20" borderId="0" xfId="787" applyFont="1" applyFill="1" applyBorder="1"/>
    <xf numFmtId="202" fontId="103" fillId="20" borderId="30" xfId="12" applyNumberFormat="1" applyFont="1" applyFill="1" applyBorder="1"/>
    <xf numFmtId="0" fontId="3" fillId="10" borderId="35" xfId="787" applyFont="1" applyFill="1" applyBorder="1"/>
    <xf numFmtId="0" fontId="3" fillId="10" borderId="39" xfId="787" applyFont="1" applyFill="1" applyBorder="1"/>
    <xf numFmtId="0" fontId="123" fillId="0" borderId="0" xfId="0" applyFont="1"/>
    <xf numFmtId="0" fontId="152" fillId="48" borderId="6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55" fillId="0" borderId="0" xfId="0" applyFont="1" applyAlignment="1">
      <alignment horizontal="left" vertical="center" readingOrder="1"/>
    </xf>
    <xf numFmtId="0" fontId="6" fillId="0" borderId="0" xfId="0" applyFont="1" applyFill="1"/>
    <xf numFmtId="0" fontId="3" fillId="0" borderId="0" xfId="0" applyFont="1" applyBorder="1"/>
    <xf numFmtId="167" fontId="3" fillId="0" borderId="0" xfId="684" applyNumberFormat="1" applyFont="1" applyFill="1" applyBorder="1" applyAlignment="1">
      <alignment horizontal="center"/>
    </xf>
    <xf numFmtId="167" fontId="4" fillId="0" borderId="0" xfId="684" applyNumberFormat="1" applyFont="1" applyFill="1" applyBorder="1" applyAlignment="1">
      <alignment horizontal="center"/>
    </xf>
    <xf numFmtId="0" fontId="2" fillId="0" borderId="0" xfId="9" applyFont="1"/>
    <xf numFmtId="1" fontId="0" fillId="0" borderId="0" xfId="0" applyNumberFormat="1"/>
    <xf numFmtId="3" fontId="18" fillId="3" borderId="7" xfId="0" applyNumberFormat="1" applyFont="1" applyFill="1" applyBorder="1" applyAlignment="1" applyProtection="1">
      <alignment horizontal="center"/>
    </xf>
    <xf numFmtId="0" fontId="28" fillId="0" borderId="0" xfId="790" applyFont="1"/>
    <xf numFmtId="202" fontId="103" fillId="0" borderId="0" xfId="12" applyNumberFormat="1" applyFont="1" applyFill="1" applyBorder="1"/>
    <xf numFmtId="0" fontId="2" fillId="7" borderId="0" xfId="0" applyFont="1" applyFill="1"/>
    <xf numFmtId="43" fontId="2" fillId="7" borderId="0" xfId="780" applyFont="1" applyFill="1"/>
    <xf numFmtId="0" fontId="0" fillId="7" borderId="0" xfId="0" applyFill="1"/>
    <xf numFmtId="0" fontId="157" fillId="0" borderId="3" xfId="0" applyFont="1" applyBorder="1" applyAlignment="1">
      <alignment vertical="top" wrapText="1"/>
    </xf>
    <xf numFmtId="0" fontId="157" fillId="0" borderId="3" xfId="0" applyFont="1" applyFill="1" applyBorder="1" applyAlignment="1">
      <alignment vertical="top" wrapText="1"/>
    </xf>
    <xf numFmtId="0" fontId="157" fillId="0" borderId="3" xfId="0" applyFont="1" applyBorder="1" applyAlignment="1">
      <alignment horizontal="left" vertical="top" wrapText="1"/>
    </xf>
    <xf numFmtId="43" fontId="157" fillId="0" borderId="3" xfId="780" applyFont="1" applyBorder="1" applyAlignment="1">
      <alignment horizontal="left" vertical="top" wrapText="1"/>
    </xf>
    <xf numFmtId="0" fontId="157" fillId="0" borderId="2" xfId="0" applyFont="1" applyBorder="1" applyAlignment="1">
      <alignment horizontal="left" vertical="top" wrapText="1"/>
    </xf>
    <xf numFmtId="43" fontId="0" fillId="0" borderId="3" xfId="0" applyNumberFormat="1" applyFill="1" applyBorder="1"/>
    <xf numFmtId="43" fontId="0" fillId="0" borderId="3" xfId="0" applyNumberFormat="1" applyBorder="1"/>
    <xf numFmtId="43" fontId="0" fillId="0" borderId="3" xfId="780" applyFont="1" applyBorder="1"/>
    <xf numFmtId="43" fontId="0" fillId="0" borderId="2" xfId="0" applyNumberFormat="1" applyBorder="1"/>
    <xf numFmtId="43" fontId="0" fillId="0" borderId="3" xfId="780" applyFont="1" applyFill="1" applyBorder="1"/>
    <xf numFmtId="43" fontId="0" fillId="7" borderId="3" xfId="0" applyNumberFormat="1" applyFill="1" applyBorder="1"/>
    <xf numFmtId="43" fontId="0" fillId="7" borderId="3" xfId="780" applyFont="1" applyFill="1" applyBorder="1"/>
    <xf numFmtId="43" fontId="0" fillId="7" borderId="2" xfId="0" applyNumberFormat="1" applyFill="1" applyBorder="1"/>
    <xf numFmtId="43" fontId="157" fillId="0" borderId="3" xfId="0" applyNumberFormat="1" applyFont="1" applyFill="1" applyBorder="1"/>
    <xf numFmtId="43" fontId="157" fillId="0" borderId="3" xfId="0" applyNumberFormat="1" applyFont="1" applyFill="1" applyBorder="1" applyAlignment="1">
      <alignment vertical="top" wrapText="1"/>
    </xf>
    <xf numFmtId="205" fontId="0" fillId="0" borderId="3" xfId="780" applyNumberFormat="1" applyFont="1" applyBorder="1"/>
    <xf numFmtId="0" fontId="0" fillId="0" borderId="3" xfId="0" applyFill="1" applyBorder="1"/>
    <xf numFmtId="0" fontId="0" fillId="0" borderId="2" xfId="0" applyFill="1" applyBorder="1"/>
    <xf numFmtId="0" fontId="0" fillId="7" borderId="3" xfId="0" applyFill="1" applyBorder="1"/>
    <xf numFmtId="0" fontId="0" fillId="7" borderId="2" xfId="0" applyFill="1" applyBorder="1"/>
    <xf numFmtId="0" fontId="158" fillId="0" borderId="3" xfId="0" applyFont="1" applyFill="1" applyBorder="1"/>
    <xf numFmtId="43" fontId="158" fillId="0" borderId="3" xfId="780" applyFont="1" applyFill="1" applyBorder="1"/>
    <xf numFmtId="0" fontId="158" fillId="0" borderId="2" xfId="0" applyFont="1" applyFill="1" applyBorder="1"/>
    <xf numFmtId="43" fontId="0" fillId="0" borderId="2" xfId="0" applyNumberFormat="1" applyFill="1" applyBorder="1"/>
    <xf numFmtId="205" fontId="0" fillId="0" borderId="3" xfId="780" applyNumberFormat="1" applyFont="1" applyFill="1" applyBorder="1"/>
    <xf numFmtId="0" fontId="157" fillId="0" borderId="3" xfId="0" applyFont="1" applyFill="1" applyBorder="1" applyAlignment="1">
      <alignment wrapText="1"/>
    </xf>
    <xf numFmtId="0" fontId="157" fillId="0" borderId="2" xfId="0" applyFont="1" applyFill="1" applyBorder="1" applyAlignment="1">
      <alignment wrapText="1"/>
    </xf>
    <xf numFmtId="0" fontId="0" fillId="0" borderId="2" xfId="0" applyBorder="1"/>
    <xf numFmtId="0" fontId="125" fillId="0" borderId="3" xfId="0" applyFont="1" applyBorder="1"/>
    <xf numFmtId="43" fontId="157" fillId="0" borderId="2" xfId="0" applyNumberFormat="1" applyFont="1" applyFill="1" applyBorder="1" applyAlignment="1">
      <alignment wrapText="1"/>
    </xf>
    <xf numFmtId="43" fontId="0" fillId="7" borderId="0" xfId="780" applyFont="1" applyFill="1"/>
    <xf numFmtId="43" fontId="0" fillId="7" borderId="0" xfId="0" applyNumberFormat="1" applyFill="1" applyBorder="1"/>
    <xf numFmtId="0" fontId="0" fillId="0" borderId="14" xfId="0" applyBorder="1"/>
    <xf numFmtId="43" fontId="157" fillId="0" borderId="3" xfId="780" applyFont="1" applyBorder="1" applyAlignment="1">
      <alignment wrapText="1"/>
    </xf>
    <xf numFmtId="0" fontId="0" fillId="0" borderId="3" xfId="0" applyBorder="1" applyAlignment="1">
      <alignment vertical="top"/>
    </xf>
    <xf numFmtId="43" fontId="0" fillId="0" borderId="0" xfId="780" applyFont="1"/>
    <xf numFmtId="43" fontId="0" fillId="58" borderId="3" xfId="0" applyNumberFormat="1" applyFill="1" applyBorder="1"/>
    <xf numFmtId="43" fontId="0" fillId="58" borderId="3" xfId="780" applyNumberFormat="1" applyFont="1" applyFill="1" applyBorder="1"/>
    <xf numFmtId="43" fontId="0" fillId="58" borderId="3" xfId="780" applyFont="1" applyFill="1" applyBorder="1"/>
    <xf numFmtId="43" fontId="0" fillId="58" borderId="2" xfId="0" applyNumberFormat="1" applyFill="1" applyBorder="1"/>
    <xf numFmtId="205" fontId="0" fillId="58" borderId="3" xfId="780" applyNumberFormat="1" applyFont="1" applyFill="1" applyBorder="1"/>
    <xf numFmtId="0" fontId="0" fillId="58" borderId="3" xfId="0" applyFill="1" applyBorder="1"/>
    <xf numFmtId="0" fontId="3" fillId="0" borderId="0" xfId="11" applyFont="1" applyFill="1"/>
    <xf numFmtId="49" fontId="3" fillId="0" borderId="0" xfId="11" applyNumberFormat="1" applyFont="1" applyFill="1"/>
    <xf numFmtId="0" fontId="7" fillId="0" borderId="0" xfId="11" applyFont="1" applyFill="1"/>
    <xf numFmtId="0" fontId="3" fillId="0" borderId="1" xfId="11" applyFont="1" applyFill="1" applyBorder="1"/>
    <xf numFmtId="49" fontId="3" fillId="0" borderId="1" xfId="11" applyNumberFormat="1" applyFont="1" applyFill="1" applyBorder="1"/>
    <xf numFmtId="49" fontId="7" fillId="0" borderId="5" xfId="11" applyNumberFormat="1" applyFont="1" applyFill="1" applyBorder="1"/>
    <xf numFmtId="0" fontId="7" fillId="0" borderId="5" xfId="11" applyFont="1" applyFill="1" applyBorder="1"/>
    <xf numFmtId="0" fontId="3" fillId="0" borderId="5" xfId="11" applyFont="1" applyFill="1" applyBorder="1"/>
    <xf numFmtId="49" fontId="7" fillId="0" borderId="0" xfId="11" applyNumberFormat="1" applyFont="1" applyFill="1" applyBorder="1"/>
    <xf numFmtId="0" fontId="7" fillId="0" borderId="0" xfId="11" applyFont="1" applyFill="1" applyBorder="1"/>
    <xf numFmtId="0" fontId="3" fillId="0" borderId="0" xfId="11" applyFont="1" applyFill="1" applyBorder="1"/>
    <xf numFmtId="0" fontId="7" fillId="0" borderId="0" xfId="11" applyFont="1" applyFill="1" applyBorder="1" applyAlignment="1">
      <alignment horizontal="center"/>
    </xf>
    <xf numFmtId="0" fontId="3" fillId="0" borderId="2" xfId="11" applyFont="1" applyFill="1" applyBorder="1"/>
    <xf numFmtId="0" fontId="3" fillId="0" borderId="0" xfId="11" applyFont="1" applyFill="1" applyBorder="1" applyAlignment="1">
      <alignment horizontal="left"/>
    </xf>
    <xf numFmtId="166" fontId="3" fillId="0" borderId="0" xfId="11" applyNumberFormat="1" applyFont="1" applyFill="1" applyBorder="1"/>
    <xf numFmtId="166" fontId="3" fillId="0" borderId="0" xfId="11" applyNumberFormat="1" applyFont="1" applyFill="1" applyBorder="1" applyAlignment="1">
      <alignment horizontal="left"/>
    </xf>
    <xf numFmtId="0" fontId="7" fillId="0" borderId="0" xfId="11" applyFont="1" applyFill="1" applyBorder="1" applyAlignment="1">
      <alignment horizontal="left"/>
    </xf>
    <xf numFmtId="166" fontId="3" fillId="58" borderId="3" xfId="12" applyFont="1" applyFill="1" applyBorder="1"/>
    <xf numFmtId="1" fontId="12" fillId="58" borderId="3" xfId="6" applyNumberFormat="1" applyFont="1" applyFill="1" applyBorder="1" applyAlignment="1">
      <alignment horizontal="center" vertical="top"/>
    </xf>
    <xf numFmtId="10" fontId="12" fillId="58" borderId="3" xfId="684" applyNumberFormat="1" applyFont="1" applyFill="1" applyBorder="1" applyAlignment="1">
      <alignment horizontal="center" vertical="top"/>
    </xf>
    <xf numFmtId="1" fontId="12" fillId="58" borderId="3" xfId="6" applyNumberFormat="1" applyFont="1" applyFill="1" applyBorder="1" applyAlignment="1">
      <alignment horizontal="right" vertical="top"/>
    </xf>
    <xf numFmtId="0" fontId="3" fillId="0" borderId="0" xfId="11" quotePrefix="1" applyFont="1" applyFill="1" applyBorder="1" applyAlignment="1">
      <alignment horizontal="left"/>
    </xf>
    <xf numFmtId="9" fontId="12" fillId="58" borderId="3" xfId="684" applyNumberFormat="1" applyFont="1" applyFill="1" applyBorder="1" applyAlignment="1">
      <alignment horizontal="center" vertical="top"/>
    </xf>
    <xf numFmtId="9" fontId="12" fillId="58" borderId="3" xfId="684" applyFont="1" applyFill="1" applyBorder="1" applyAlignment="1">
      <alignment horizontal="center" vertical="top"/>
    </xf>
    <xf numFmtId="0" fontId="97" fillId="0" borderId="3" xfId="11" applyFont="1" applyBorder="1"/>
    <xf numFmtId="172" fontId="12" fillId="58" borderId="3" xfId="6" applyNumberFormat="1" applyFont="1" applyFill="1" applyBorder="1" applyAlignment="1">
      <alignment horizontal="right" vertical="top"/>
    </xf>
    <xf numFmtId="206" fontId="12" fillId="58" borderId="3" xfId="536" applyNumberFormat="1" applyFont="1" applyFill="1" applyBorder="1" applyAlignment="1">
      <alignment horizontal="right" vertical="top"/>
    </xf>
    <xf numFmtId="0" fontId="3" fillId="21" borderId="0" xfId="0" applyFont="1" applyFill="1"/>
    <xf numFmtId="49" fontId="3" fillId="21" borderId="0" xfId="0" applyNumberFormat="1" applyFont="1" applyFill="1"/>
    <xf numFmtId="0" fontId="7" fillId="21" borderId="0" xfId="0" applyFont="1" applyFill="1"/>
    <xf numFmtId="0" fontId="3" fillId="21" borderId="1" xfId="0" applyFont="1" applyFill="1" applyBorder="1"/>
    <xf numFmtId="49" fontId="3" fillId="21" borderId="1" xfId="0" applyNumberFormat="1" applyFont="1" applyFill="1" applyBorder="1"/>
    <xf numFmtId="49" fontId="3" fillId="0" borderId="0" xfId="0" applyNumberFormat="1" applyFont="1"/>
    <xf numFmtId="0" fontId="7" fillId="0" borderId="0" xfId="0" applyFont="1"/>
    <xf numFmtId="0" fontId="3" fillId="45" borderId="5" xfId="0" applyFont="1" applyFill="1" applyBorder="1"/>
    <xf numFmtId="49" fontId="7" fillId="45" borderId="5" xfId="0" applyNumberFormat="1" applyFont="1" applyFill="1" applyBorder="1"/>
    <xf numFmtId="0" fontId="7" fillId="45" borderId="5" xfId="0" applyFont="1" applyFill="1" applyBorder="1"/>
    <xf numFmtId="49" fontId="0" fillId="0" borderId="0" xfId="0" applyNumberFormat="1"/>
    <xf numFmtId="0" fontId="5" fillId="0" borderId="0" xfId="0" applyFont="1"/>
    <xf numFmtId="0" fontId="13" fillId="0" borderId="23" xfId="0" applyFont="1" applyBorder="1"/>
    <xf numFmtId="0" fontId="3" fillId="0" borderId="84" xfId="0" applyFont="1" applyBorder="1"/>
    <xf numFmtId="0" fontId="5" fillId="0" borderId="25" xfId="0" applyFont="1" applyBorder="1"/>
    <xf numFmtId="0" fontId="3" fillId="58" borderId="13" xfId="0" applyFont="1" applyFill="1" applyBorder="1"/>
    <xf numFmtId="0" fontId="160" fillId="58" borderId="0" xfId="0" applyFont="1" applyFill="1" applyBorder="1"/>
    <xf numFmtId="0" fontId="161" fillId="58" borderId="19" xfId="0" applyFont="1" applyFill="1" applyBorder="1"/>
    <xf numFmtId="0" fontId="17" fillId="0" borderId="0" xfId="11" applyFont="1" applyFill="1"/>
    <xf numFmtId="49" fontId="17" fillId="0" borderId="0" xfId="11" applyNumberFormat="1" applyFont="1" applyFill="1"/>
    <xf numFmtId="0" fontId="11" fillId="0" borderId="0" xfId="11" applyFont="1" applyFill="1"/>
    <xf numFmtId="0" fontId="17" fillId="0" borderId="1" xfId="11" applyFont="1" applyFill="1" applyBorder="1"/>
    <xf numFmtId="49" fontId="17" fillId="0" borderId="1" xfId="11" applyNumberFormat="1" applyFont="1" applyFill="1" applyBorder="1"/>
    <xf numFmtId="49" fontId="11" fillId="0" borderId="5" xfId="11" applyNumberFormat="1" applyFont="1" applyFill="1" applyBorder="1"/>
    <xf numFmtId="0" fontId="11" fillId="0" borderId="5" xfId="11" applyFont="1" applyFill="1" applyBorder="1"/>
    <xf numFmtId="0" fontId="17" fillId="0" borderId="5" xfId="11" applyFont="1" applyFill="1" applyBorder="1"/>
    <xf numFmtId="49" fontId="11" fillId="0" borderId="0" xfId="11" applyNumberFormat="1" applyFont="1" applyFill="1" applyBorder="1"/>
    <xf numFmtId="0" fontId="11" fillId="0" borderId="0" xfId="11" applyFont="1" applyFill="1" applyBorder="1"/>
    <xf numFmtId="0" fontId="17" fillId="0" borderId="0" xfId="11" applyFont="1" applyFill="1" applyBorder="1"/>
    <xf numFmtId="0" fontId="11" fillId="0" borderId="2" xfId="11" applyFont="1" applyFill="1" applyBorder="1"/>
    <xf numFmtId="0" fontId="17" fillId="0" borderId="4" xfId="11" applyFont="1" applyFill="1" applyBorder="1"/>
    <xf numFmtId="0" fontId="17" fillId="0" borderId="23" xfId="11" applyFont="1" applyBorder="1"/>
    <xf numFmtId="0" fontId="17" fillId="0" borderId="25" xfId="11" applyFont="1" applyBorder="1"/>
    <xf numFmtId="0" fontId="17" fillId="0" borderId="0" xfId="11" applyFont="1"/>
    <xf numFmtId="0" fontId="17" fillId="0" borderId="108" xfId="11" applyFont="1" applyBorder="1"/>
    <xf numFmtId="0" fontId="17" fillId="0" borderId="19" xfId="11" applyFont="1" applyBorder="1"/>
    <xf numFmtId="0" fontId="17" fillId="0" borderId="26" xfId="11" applyFont="1" applyBorder="1"/>
    <xf numFmtId="0" fontId="17" fillId="0" borderId="27" xfId="11" applyFont="1" applyBorder="1"/>
    <xf numFmtId="0" fontId="11" fillId="0" borderId="2" xfId="11" applyFont="1" applyBorder="1"/>
    <xf numFmtId="0" fontId="17" fillId="0" borderId="5" xfId="11" applyFont="1" applyBorder="1"/>
    <xf numFmtId="0" fontId="17" fillId="0" borderId="4" xfId="11" applyFont="1" applyBorder="1"/>
    <xf numFmtId="207" fontId="17" fillId="58" borderId="3" xfId="536" applyNumberFormat="1" applyFont="1" applyFill="1" applyBorder="1" applyAlignment="1">
      <alignment horizontal="right" vertical="top"/>
    </xf>
    <xf numFmtId="167" fontId="17" fillId="0" borderId="3" xfId="536" applyNumberFormat="1" applyFont="1" applyFill="1" applyBorder="1" applyAlignment="1">
      <alignment horizontal="right" vertical="top"/>
    </xf>
    <xf numFmtId="167" fontId="17" fillId="58" borderId="3" xfId="536" applyFont="1" applyFill="1" applyBorder="1" applyAlignment="1">
      <alignment horizontal="right" vertical="top"/>
    </xf>
    <xf numFmtId="206" fontId="17" fillId="58" borderId="3" xfId="536" applyNumberFormat="1" applyFont="1" applyFill="1" applyBorder="1" applyAlignment="1">
      <alignment horizontal="right" vertical="top"/>
    </xf>
    <xf numFmtId="9" fontId="17" fillId="58" borderId="3" xfId="684" applyFont="1" applyFill="1" applyBorder="1" applyAlignment="1">
      <alignment horizontal="right" vertical="top"/>
    </xf>
    <xf numFmtId="0" fontId="6" fillId="0" borderId="0" xfId="11" applyFont="1" applyFill="1"/>
    <xf numFmtId="0" fontId="17" fillId="0" borderId="3" xfId="11" applyFont="1" applyFill="1" applyBorder="1"/>
    <xf numFmtId="208" fontId="17" fillId="0" borderId="3" xfId="11" applyNumberFormat="1" applyFont="1" applyFill="1" applyBorder="1"/>
    <xf numFmtId="43" fontId="17" fillId="0" borderId="3" xfId="11" applyNumberFormat="1" applyFont="1" applyFill="1" applyBorder="1"/>
    <xf numFmtId="43" fontId="17" fillId="0" borderId="2" xfId="11" applyNumberFormat="1" applyFont="1" applyFill="1" applyBorder="1"/>
    <xf numFmtId="1" fontId="17" fillId="0" borderId="3" xfId="11" applyNumberFormat="1" applyFont="1" applyFill="1" applyBorder="1" applyAlignment="1">
      <alignment horizontal="center"/>
    </xf>
    <xf numFmtId="43" fontId="17" fillId="0" borderId="4" xfId="11" applyNumberFormat="1" applyFont="1" applyFill="1" applyBorder="1"/>
    <xf numFmtId="206" fontId="17" fillId="0" borderId="3" xfId="11" applyNumberFormat="1" applyFont="1" applyFill="1" applyBorder="1"/>
    <xf numFmtId="209" fontId="17" fillId="0" borderId="3" xfId="11" applyNumberFormat="1" applyFont="1" applyFill="1" applyBorder="1"/>
    <xf numFmtId="0" fontId="17" fillId="0" borderId="14" xfId="11" applyFont="1" applyFill="1" applyBorder="1"/>
    <xf numFmtId="209" fontId="17" fillId="0" borderId="14" xfId="11" applyNumberFormat="1" applyFont="1" applyFill="1" applyBorder="1"/>
    <xf numFmtId="0" fontId="17" fillId="0" borderId="2" xfId="11" applyFont="1" applyFill="1" applyBorder="1"/>
    <xf numFmtId="206" fontId="17" fillId="0" borderId="5" xfId="11" applyNumberFormat="1" applyFont="1" applyFill="1" applyBorder="1"/>
    <xf numFmtId="0" fontId="11" fillId="0" borderId="26" xfId="11" applyFont="1" applyFill="1" applyBorder="1"/>
    <xf numFmtId="206" fontId="11" fillId="0" borderId="1" xfId="11" applyNumberFormat="1" applyFont="1" applyFill="1" applyBorder="1"/>
    <xf numFmtId="0" fontId="11" fillId="0" borderId="1" xfId="11" applyFont="1" applyFill="1" applyBorder="1"/>
    <xf numFmtId="43" fontId="11" fillId="0" borderId="1" xfId="11" applyNumberFormat="1" applyFont="1" applyFill="1" applyBorder="1"/>
    <xf numFmtId="43" fontId="11" fillId="0" borderId="66" xfId="11" applyNumberFormat="1" applyFont="1" applyFill="1" applyBorder="1"/>
    <xf numFmtId="43" fontId="11" fillId="0" borderId="27" xfId="11" applyNumberFormat="1" applyFont="1" applyFill="1" applyBorder="1"/>
    <xf numFmtId="206" fontId="11" fillId="0" borderId="5" xfId="11" applyNumberFormat="1" applyFont="1" applyFill="1" applyBorder="1"/>
    <xf numFmtId="43" fontId="11" fillId="0" borderId="5" xfId="11" applyNumberFormat="1" applyFont="1" applyFill="1" applyBorder="1"/>
    <xf numFmtId="43" fontId="11" fillId="0" borderId="3" xfId="11" applyNumberFormat="1" applyFont="1" applyFill="1" applyBorder="1"/>
    <xf numFmtId="43" fontId="11" fillId="0" borderId="4" xfId="11" applyNumberFormat="1" applyFont="1" applyFill="1" applyBorder="1"/>
    <xf numFmtId="206" fontId="17" fillId="0" borderId="0" xfId="11" applyNumberFormat="1" applyFont="1" applyFill="1" applyBorder="1"/>
    <xf numFmtId="210" fontId="17" fillId="0" borderId="3" xfId="11" applyNumberFormat="1" applyFont="1" applyFill="1" applyBorder="1"/>
    <xf numFmtId="205" fontId="17" fillId="0" borderId="4" xfId="11" applyNumberFormat="1" applyFont="1" applyFill="1" applyBorder="1"/>
    <xf numFmtId="205" fontId="11" fillId="0" borderId="4" xfId="11" applyNumberFormat="1" applyFont="1" applyFill="1" applyBorder="1"/>
    <xf numFmtId="0" fontId="3" fillId="18" borderId="31" xfId="781" applyFont="1" applyFill="1" applyBorder="1" applyAlignment="1">
      <alignment horizontal="center"/>
    </xf>
    <xf numFmtId="0" fontId="3" fillId="18" borderId="0" xfId="781" applyFont="1" applyFill="1" applyBorder="1" applyAlignment="1">
      <alignment horizontal="center"/>
    </xf>
    <xf numFmtId="0" fontId="7" fillId="18" borderId="0" xfId="781" applyFont="1" applyFill="1" applyBorder="1" applyAlignment="1">
      <alignment horizontal="center" wrapText="1"/>
    </xf>
    <xf numFmtId="0" fontId="7" fillId="18" borderId="39" xfId="781" applyFont="1" applyFill="1" applyBorder="1" applyAlignment="1">
      <alignment horizontal="center" wrapText="1"/>
    </xf>
    <xf numFmtId="166" fontId="3" fillId="18" borderId="0" xfId="12" applyFont="1" applyFill="1" applyBorder="1"/>
    <xf numFmtId="202" fontId="103" fillId="18" borderId="0" xfId="12" applyNumberFormat="1" applyFont="1" applyFill="1" applyBorder="1"/>
    <xf numFmtId="0" fontId="3" fillId="18" borderId="0" xfId="781" applyFont="1" applyFill="1" applyBorder="1"/>
    <xf numFmtId="0" fontId="3" fillId="18" borderId="0" xfId="789" applyFont="1" applyFill="1" applyAlignment="1">
      <alignment wrapText="1"/>
    </xf>
    <xf numFmtId="0" fontId="3" fillId="18" borderId="0" xfId="789" applyFont="1" applyFill="1"/>
    <xf numFmtId="221" fontId="3" fillId="18" borderId="0" xfId="781" applyNumberFormat="1" applyFont="1" applyFill="1" applyBorder="1"/>
    <xf numFmtId="0" fontId="3" fillId="18" borderId="0" xfId="781" applyFont="1" applyFill="1"/>
    <xf numFmtId="0" fontId="0" fillId="18" borderId="0" xfId="0" applyFill="1"/>
    <xf numFmtId="4" fontId="0" fillId="18" borderId="0" xfId="0" applyNumberFormat="1" applyFill="1"/>
    <xf numFmtId="0" fontId="1" fillId="18" borderId="0" xfId="790" applyFill="1"/>
    <xf numFmtId="4" fontId="1" fillId="18" borderId="0" xfId="790" applyNumberFormat="1" applyFill="1"/>
    <xf numFmtId="4" fontId="96" fillId="18" borderId="0" xfId="790" applyNumberFormat="1" applyFont="1" applyFill="1"/>
    <xf numFmtId="0" fontId="28" fillId="18" borderId="0" xfId="0" applyFont="1" applyFill="1"/>
    <xf numFmtId="0" fontId="28" fillId="18" borderId="0" xfId="790" applyFont="1" applyFill="1"/>
    <xf numFmtId="10" fontId="101" fillId="58" borderId="0" xfId="0" applyNumberFormat="1" applyFont="1" applyFill="1"/>
    <xf numFmtId="10" fontId="96" fillId="0" borderId="10" xfId="1" applyNumberFormat="1" applyFont="1" applyFill="1" applyBorder="1"/>
    <xf numFmtId="167" fontId="3" fillId="58" borderId="10" xfId="684" applyNumberFormat="1" applyFont="1" applyFill="1" applyBorder="1" applyAlignment="1">
      <alignment horizontal="center"/>
    </xf>
    <xf numFmtId="167" fontId="4" fillId="58" borderId="10" xfId="684" applyNumberFormat="1" applyFont="1" applyFill="1" applyBorder="1" applyAlignment="1">
      <alignment horizontal="center"/>
    </xf>
    <xf numFmtId="166" fontId="4" fillId="58" borderId="10" xfId="0" applyNumberFormat="1" applyFont="1" applyFill="1" applyBorder="1"/>
    <xf numFmtId="0" fontId="101" fillId="58" borderId="10" xfId="0" applyFont="1" applyFill="1" applyBorder="1"/>
    <xf numFmtId="3" fontId="101" fillId="58" borderId="0" xfId="1" applyNumberFormat="1" applyFont="1" applyFill="1"/>
    <xf numFmtId="10" fontId="101" fillId="58" borderId="0" xfId="1" applyNumberFormat="1" applyFont="1" applyFill="1"/>
    <xf numFmtId="203" fontId="153" fillId="58" borderId="72" xfId="0" applyNumberFormat="1" applyFont="1" applyFill="1" applyBorder="1" applyAlignment="1">
      <alignment horizontal="center"/>
    </xf>
    <xf numFmtId="203" fontId="153" fillId="58" borderId="73" xfId="0" applyNumberFormat="1" applyFont="1" applyFill="1" applyBorder="1" applyAlignment="1">
      <alignment horizontal="center"/>
    </xf>
    <xf numFmtId="203" fontId="153" fillId="58" borderId="74" xfId="0" applyNumberFormat="1" applyFont="1" applyFill="1" applyBorder="1" applyAlignment="1">
      <alignment horizontal="center"/>
    </xf>
    <xf numFmtId="203" fontId="153" fillId="58" borderId="38" xfId="0" applyNumberFormat="1" applyFont="1" applyFill="1" applyBorder="1" applyAlignment="1">
      <alignment horizontal="center"/>
    </xf>
    <xf numFmtId="203" fontId="153" fillId="58" borderId="35" xfId="0" applyNumberFormat="1" applyFont="1" applyFill="1" applyBorder="1" applyAlignment="1">
      <alignment horizontal="center"/>
    </xf>
    <xf numFmtId="203" fontId="153" fillId="58" borderId="75" xfId="0" applyNumberFormat="1" applyFont="1" applyFill="1" applyBorder="1" applyAlignment="1">
      <alignment horizontal="center"/>
    </xf>
    <xf numFmtId="218" fontId="153" fillId="58" borderId="38" xfId="0" applyNumberFormat="1" applyFont="1" applyFill="1" applyBorder="1" applyAlignment="1">
      <alignment horizontal="center"/>
    </xf>
    <xf numFmtId="218" fontId="153" fillId="58" borderId="74" xfId="0" applyNumberFormat="1" applyFont="1" applyFill="1" applyBorder="1" applyAlignment="1">
      <alignment horizontal="center"/>
    </xf>
    <xf numFmtId="203" fontId="153" fillId="58" borderId="37" xfId="0" applyNumberFormat="1" applyFont="1" applyFill="1" applyBorder="1" applyAlignment="1">
      <alignment horizontal="center"/>
    </xf>
    <xf numFmtId="218" fontId="153" fillId="58" borderId="35" xfId="0" applyNumberFormat="1" applyFont="1" applyFill="1" applyBorder="1" applyAlignment="1">
      <alignment horizontal="center"/>
    </xf>
    <xf numFmtId="218" fontId="153" fillId="58" borderId="37" xfId="0" applyNumberFormat="1" applyFont="1" applyFill="1" applyBorder="1" applyAlignment="1">
      <alignment horizontal="center"/>
    </xf>
    <xf numFmtId="203" fontId="153" fillId="58" borderId="71" xfId="0" applyNumberFormat="1" applyFont="1" applyFill="1" applyBorder="1" applyAlignment="1">
      <alignment horizontal="center"/>
    </xf>
    <xf numFmtId="203" fontId="153" fillId="58" borderId="38" xfId="0" applyNumberFormat="1" applyFont="1" applyFill="1" applyBorder="1" applyAlignment="1">
      <alignment horizontal="center" vertical="center"/>
    </xf>
    <xf numFmtId="203" fontId="153" fillId="58" borderId="37" xfId="0" applyNumberFormat="1" applyFont="1" applyFill="1" applyBorder="1" applyAlignment="1">
      <alignment horizontal="center" vertical="center"/>
    </xf>
    <xf numFmtId="203" fontId="153" fillId="58" borderId="35" xfId="0" applyNumberFormat="1" applyFont="1" applyFill="1" applyBorder="1" applyAlignment="1">
      <alignment horizontal="center" vertical="center"/>
    </xf>
    <xf numFmtId="203" fontId="153" fillId="58" borderId="71" xfId="0" applyNumberFormat="1" applyFont="1" applyFill="1" applyBorder="1" applyAlignment="1">
      <alignment horizontal="center" vertical="center"/>
    </xf>
    <xf numFmtId="218" fontId="153" fillId="58" borderId="38" xfId="0" applyNumberFormat="1" applyFont="1" applyFill="1" applyBorder="1" applyAlignment="1">
      <alignment horizontal="center" vertical="center"/>
    </xf>
    <xf numFmtId="218" fontId="153" fillId="58" borderId="35" xfId="0" applyNumberFormat="1" applyFont="1" applyFill="1" applyBorder="1" applyAlignment="1">
      <alignment horizontal="center" vertical="center"/>
    </xf>
    <xf numFmtId="218" fontId="153" fillId="58" borderId="37" xfId="0" applyNumberFormat="1" applyFont="1" applyFill="1" applyBorder="1" applyAlignment="1">
      <alignment horizontal="center" vertical="center"/>
    </xf>
    <xf numFmtId="203" fontId="153" fillId="58" borderId="76" xfId="0" applyNumberFormat="1" applyFont="1" applyFill="1" applyBorder="1" applyAlignment="1">
      <alignment horizontal="center"/>
    </xf>
    <xf numFmtId="203" fontId="153" fillId="58" borderId="77" xfId="0" applyNumberFormat="1" applyFont="1" applyFill="1" applyBorder="1" applyAlignment="1">
      <alignment horizontal="center"/>
    </xf>
    <xf numFmtId="203" fontId="153" fillId="58" borderId="78" xfId="0" applyNumberFormat="1" applyFont="1" applyFill="1" applyBorder="1" applyAlignment="1">
      <alignment horizontal="center"/>
    </xf>
    <xf numFmtId="203" fontId="153" fillId="58" borderId="79" xfId="0" applyNumberFormat="1" applyFont="1" applyFill="1" applyBorder="1" applyAlignment="1">
      <alignment horizontal="center"/>
    </xf>
    <xf numFmtId="218" fontId="153" fillId="58" borderId="77" xfId="0" applyNumberFormat="1" applyFont="1" applyFill="1" applyBorder="1" applyAlignment="1">
      <alignment horizontal="center"/>
    </xf>
    <xf numFmtId="218" fontId="153" fillId="58" borderId="79" xfId="0" applyNumberFormat="1" applyFont="1" applyFill="1" applyBorder="1" applyAlignment="1">
      <alignment horizontal="center"/>
    </xf>
    <xf numFmtId="218" fontId="153" fillId="58" borderId="78" xfId="0" applyNumberFormat="1" applyFont="1" applyFill="1" applyBorder="1" applyAlignment="1">
      <alignment horizontal="center"/>
    </xf>
    <xf numFmtId="203" fontId="153" fillId="58" borderId="80" xfId="0" applyNumberFormat="1" applyFont="1" applyFill="1" applyBorder="1" applyAlignment="1">
      <alignment horizontal="center"/>
    </xf>
    <xf numFmtId="203" fontId="153" fillId="58" borderId="81" xfId="0" applyNumberFormat="1" applyFont="1" applyFill="1" applyBorder="1" applyAlignment="1">
      <alignment horizontal="center"/>
    </xf>
    <xf numFmtId="203" fontId="153" fillId="58" borderId="82" xfId="0" applyNumberFormat="1" applyFont="1" applyFill="1" applyBorder="1" applyAlignment="1">
      <alignment horizontal="center"/>
    </xf>
    <xf numFmtId="203" fontId="153" fillId="58" borderId="83" xfId="0" applyNumberFormat="1" applyFont="1" applyFill="1" applyBorder="1" applyAlignment="1">
      <alignment horizontal="center"/>
    </xf>
    <xf numFmtId="218" fontId="153" fillId="58" borderId="81" xfId="0" applyNumberFormat="1" applyFont="1" applyFill="1" applyBorder="1" applyAlignment="1">
      <alignment horizontal="center"/>
    </xf>
    <xf numFmtId="218" fontId="153" fillId="58" borderId="83" xfId="0" applyNumberFormat="1" applyFont="1" applyFill="1" applyBorder="1" applyAlignment="1">
      <alignment horizontal="center"/>
    </xf>
    <xf numFmtId="218" fontId="153" fillId="58" borderId="82" xfId="0" applyNumberFormat="1" applyFont="1" applyFill="1" applyBorder="1" applyAlignment="1">
      <alignment horizontal="center"/>
    </xf>
    <xf numFmtId="218" fontId="153" fillId="58" borderId="80" xfId="0" applyNumberFormat="1" applyFon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6" fillId="3" borderId="0" xfId="0" applyFont="1" applyFill="1"/>
    <xf numFmtId="166" fontId="4" fillId="0" borderId="0" xfId="5" applyNumberFormat="1" applyFont="1" applyFill="1" applyBorder="1"/>
    <xf numFmtId="166" fontId="3" fillId="0" borderId="0" xfId="5" applyNumberFormat="1" applyFont="1" applyFill="1" applyBorder="1"/>
    <xf numFmtId="166" fontId="3" fillId="6" borderId="3" xfId="5" applyNumberFormat="1" applyFont="1" applyFill="1" applyBorder="1"/>
    <xf numFmtId="44" fontId="3" fillId="7" borderId="4" xfId="5" applyFont="1" applyFill="1" applyBorder="1"/>
    <xf numFmtId="44" fontId="3" fillId="58" borderId="4" xfId="5" applyFont="1" applyFill="1" applyBorder="1"/>
    <xf numFmtId="44" fontId="3" fillId="129" borderId="4" xfId="4" applyFont="1" applyFill="1" applyBorder="1"/>
    <xf numFmtId="166" fontId="3" fillId="8" borderId="4" xfId="5" applyNumberFormat="1" applyFont="1" applyFill="1" applyBorder="1"/>
    <xf numFmtId="166" fontId="3" fillId="8" borderId="3" xfId="5" applyNumberFormat="1" applyFont="1" applyFill="1" applyBorder="1" applyAlignment="1">
      <alignment horizontal="right"/>
    </xf>
    <xf numFmtId="166" fontId="3" fillId="0" borderId="3" xfId="5" applyNumberFormat="1" applyFont="1" applyFill="1" applyBorder="1"/>
    <xf numFmtId="166" fontId="3" fillId="0" borderId="3" xfId="5" applyNumberFormat="1" applyFont="1" applyFill="1" applyBorder="1" applyAlignment="1">
      <alignment horizontal="right"/>
    </xf>
    <xf numFmtId="166" fontId="3" fillId="129" borderId="3" xfId="5" applyNumberFormat="1" applyFont="1" applyFill="1" applyBorder="1" applyAlignment="1">
      <alignment horizontal="right"/>
    </xf>
    <xf numFmtId="166" fontId="3" fillId="0" borderId="4" xfId="5" applyNumberFormat="1" applyFont="1" applyFill="1" applyBorder="1"/>
    <xf numFmtId="167" fontId="5" fillId="0" borderId="0" xfId="8" applyNumberFormat="1" applyFont="1" applyFill="1" applyBorder="1"/>
    <xf numFmtId="166" fontId="3" fillId="129" borderId="4" xfId="5" applyNumberFormat="1" applyFont="1" applyFill="1" applyBorder="1"/>
    <xf numFmtId="168" fontId="3" fillId="0" borderId="0" xfId="5" applyNumberFormat="1" applyFont="1" applyFill="1" applyBorder="1"/>
    <xf numFmtId="168" fontId="0" fillId="0" borderId="0" xfId="0" applyNumberFormat="1"/>
    <xf numFmtId="167" fontId="17" fillId="0" borderId="0" xfId="8" applyNumberFormat="1" applyFont="1" applyFill="1" applyBorder="1"/>
    <xf numFmtId="0" fontId="3" fillId="0" borderId="3" xfId="3" applyFont="1" applyFill="1" applyBorder="1"/>
    <xf numFmtId="2" fontId="3" fillId="0" borderId="3" xfId="3" applyNumberFormat="1" applyFont="1" applyFill="1" applyBorder="1"/>
    <xf numFmtId="166" fontId="3" fillId="8" borderId="0" xfId="5" applyNumberFormat="1" applyFont="1" applyFill="1" applyBorder="1"/>
    <xf numFmtId="0" fontId="3" fillId="4" borderId="3" xfId="3" applyFont="1" applyFill="1" applyBorder="1" applyAlignment="1"/>
    <xf numFmtId="0" fontId="3" fillId="4" borderId="3" xfId="3" applyFont="1" applyFill="1" applyBorder="1"/>
    <xf numFmtId="0" fontId="4" fillId="128" borderId="4" xfId="0" applyFont="1" applyFill="1" applyBorder="1"/>
    <xf numFmtId="166" fontId="3" fillId="4" borderId="4" xfId="5" applyNumberFormat="1" applyFont="1" applyFill="1" applyBorder="1"/>
    <xf numFmtId="44" fontId="3" fillId="10" borderId="4" xfId="4" applyFont="1" applyFill="1" applyBorder="1"/>
    <xf numFmtId="44" fontId="3" fillId="10" borderId="3" xfId="4" applyFont="1" applyFill="1" applyBorder="1"/>
    <xf numFmtId="0" fontId="18" fillId="58" borderId="7" xfId="0" applyFont="1" applyFill="1" applyBorder="1" applyAlignment="1" applyProtection="1">
      <alignment horizontal="center"/>
    </xf>
    <xf numFmtId="0" fontId="127" fillId="128" borderId="0" xfId="0" applyFont="1" applyFill="1"/>
    <xf numFmtId="3" fontId="127" fillId="128" borderId="0" xfId="0" applyNumberFormat="1" applyFont="1" applyFill="1" applyAlignment="1" applyProtection="1">
      <alignment horizontal="left"/>
    </xf>
    <xf numFmtId="0" fontId="128" fillId="128" borderId="0" xfId="0" applyFont="1" applyFill="1" applyBorder="1" applyProtection="1"/>
    <xf numFmtId="4" fontId="129" fillId="128" borderId="7" xfId="0" applyNumberFormat="1" applyFont="1" applyFill="1" applyBorder="1" applyAlignment="1" applyProtection="1">
      <alignment horizontal="center"/>
    </xf>
    <xf numFmtId="4" fontId="130" fillId="128" borderId="7" xfId="0" applyNumberFormat="1" applyFont="1" applyFill="1" applyBorder="1" applyAlignment="1" applyProtection="1">
      <alignment horizontal="center"/>
    </xf>
    <xf numFmtId="0" fontId="96" fillId="0" borderId="0" xfId="0" applyFont="1" applyFill="1"/>
    <xf numFmtId="3" fontId="0" fillId="0" borderId="0" xfId="0" applyNumberFormat="1" applyFill="1" applyAlignment="1" applyProtection="1">
      <protection locked="0"/>
    </xf>
    <xf numFmtId="0" fontId="2" fillId="37" borderId="0" xfId="0" applyFont="1" applyFill="1" applyBorder="1" applyAlignment="1"/>
    <xf numFmtId="9" fontId="101" fillId="58" borderId="0" xfId="1" applyFont="1" applyFill="1"/>
    <xf numFmtId="4" fontId="96" fillId="0" borderId="0" xfId="0" applyNumberFormat="1" applyFont="1" applyFill="1"/>
    <xf numFmtId="0" fontId="253" fillId="18" borderId="62" xfId="0" applyFont="1" applyFill="1" applyBorder="1" applyAlignment="1">
      <alignment vertical="center" wrapText="1"/>
    </xf>
    <xf numFmtId="0" fontId="253" fillId="18" borderId="33" xfId="0" applyFont="1" applyFill="1" applyBorder="1" applyAlignment="1">
      <alignment horizontal="center" vertical="center" wrapText="1"/>
    </xf>
    <xf numFmtId="0" fontId="154" fillId="18" borderId="62" xfId="0" applyFont="1" applyFill="1" applyBorder="1" applyAlignment="1">
      <alignment horizontal="center" vertical="center" readingOrder="1"/>
    </xf>
    <xf numFmtId="0" fontId="154" fillId="18" borderId="0" xfId="0" applyFont="1" applyFill="1" applyAlignment="1">
      <alignment horizontal="center" vertical="center" readingOrder="1"/>
    </xf>
    <xf numFmtId="0" fontId="153" fillId="18" borderId="62" xfId="0" applyFont="1" applyFill="1" applyBorder="1" applyAlignment="1">
      <alignment horizontal="center" vertical="center" wrapText="1"/>
    </xf>
    <xf numFmtId="3" fontId="117" fillId="58" borderId="0" xfId="664" applyNumberFormat="1" applyFont="1" applyFill="1" applyBorder="1" applyAlignment="1">
      <alignment horizontal="center"/>
    </xf>
    <xf numFmtId="0" fontId="132" fillId="0" borderId="0" xfId="6" applyFont="1" applyFill="1" applyAlignment="1">
      <alignment horizontal="center" vertical="top"/>
    </xf>
    <xf numFmtId="0" fontId="3" fillId="0" borderId="3" xfId="789" applyFont="1" applyBorder="1"/>
    <xf numFmtId="0" fontId="3" fillId="0" borderId="3" xfId="11" applyFont="1" applyBorder="1"/>
    <xf numFmtId="0" fontId="121" fillId="20" borderId="0" xfId="11" applyFont="1" applyFill="1" applyBorder="1"/>
    <xf numFmtId="194" fontId="3" fillId="0" borderId="0" xfId="7" applyNumberFormat="1"/>
    <xf numFmtId="4" fontId="25" fillId="130" borderId="7" xfId="0" applyNumberFormat="1" applyFont="1" applyFill="1" applyBorder="1" applyAlignment="1" applyProtection="1">
      <alignment horizontal="center"/>
    </xf>
    <xf numFmtId="4" fontId="7" fillId="0" borderId="0" xfId="0" applyNumberFormat="1" applyFont="1" applyAlignment="1" applyProtection="1">
      <alignment horizontal="center"/>
    </xf>
    <xf numFmtId="0" fontId="10" fillId="0" borderId="0" xfId="789" applyAlignment="1">
      <alignment horizontal="center" vertical="top"/>
    </xf>
    <xf numFmtId="10" fontId="12" fillId="58" borderId="3" xfId="6" applyNumberFormat="1" applyFont="1" applyFill="1" applyBorder="1" applyAlignment="1">
      <alignment horizontal="center" vertical="top"/>
    </xf>
    <xf numFmtId="166" fontId="3" fillId="47" borderId="3" xfId="12" applyFont="1" applyFill="1" applyBorder="1"/>
    <xf numFmtId="166" fontId="3" fillId="47" borderId="3" xfId="12" applyNumberFormat="1" applyFont="1" applyFill="1" applyBorder="1"/>
    <xf numFmtId="10" fontId="3" fillId="47" borderId="3" xfId="781" applyNumberFormat="1" applyFont="1" applyFill="1" applyBorder="1"/>
    <xf numFmtId="167" fontId="17" fillId="47" borderId="3" xfId="536" applyFont="1" applyFill="1" applyBorder="1" applyAlignment="1">
      <alignment horizontal="right" vertical="top"/>
    </xf>
    <xf numFmtId="218" fontId="147" fillId="0" borderId="3" xfId="3995" applyNumberFormat="1" applyFont="1" applyFill="1" applyBorder="1" applyAlignment="1">
      <alignment horizontal="right"/>
    </xf>
    <xf numFmtId="1" fontId="143" fillId="18" borderId="3" xfId="6" applyNumberFormat="1" applyFont="1" applyFill="1" applyBorder="1" applyAlignment="1">
      <alignment horizontal="left" vertical="top"/>
    </xf>
    <xf numFmtId="213" fontId="144" fillId="18" borderId="3" xfId="785" applyNumberFormat="1" applyFont="1" applyFill="1" applyBorder="1" applyAlignment="1">
      <alignment vertical="top"/>
    </xf>
    <xf numFmtId="1" fontId="141" fillId="38" borderId="23" xfId="6" applyNumberFormat="1" applyFont="1" applyFill="1" applyBorder="1" applyAlignment="1">
      <alignment horizontal="left" vertical="top"/>
    </xf>
    <xf numFmtId="1" fontId="141" fillId="38" borderId="24" xfId="6" applyNumberFormat="1" applyFont="1" applyFill="1" applyBorder="1" applyAlignment="1">
      <alignment horizontal="left" vertical="top"/>
    </xf>
    <xf numFmtId="0" fontId="132" fillId="0" borderId="0" xfId="6" applyFont="1" applyFill="1" applyAlignment="1">
      <alignment horizontal="center" vertical="top"/>
    </xf>
    <xf numFmtId="0" fontId="131" fillId="0" borderId="0" xfId="781" applyAlignment="1">
      <alignment horizontal="center" vertical="top"/>
    </xf>
    <xf numFmtId="0" fontId="132" fillId="7" borderId="0" xfId="6" applyFont="1" applyFill="1" applyAlignment="1">
      <alignment horizontal="center" vertical="top"/>
    </xf>
    <xf numFmtId="0" fontId="10" fillId="7" borderId="0" xfId="789" applyFill="1" applyAlignment="1">
      <alignment horizontal="center" vertical="top"/>
    </xf>
    <xf numFmtId="0" fontId="252" fillId="18" borderId="32" xfId="0" applyFont="1" applyFill="1" applyBorder="1" applyAlignment="1">
      <alignment horizontal="center" vertical="center" wrapText="1"/>
    </xf>
    <xf numFmtId="0" fontId="252" fillId="18" borderId="16" xfId="0" applyFont="1" applyFill="1" applyBorder="1" applyAlignment="1">
      <alignment horizontal="center" vertical="center" wrapText="1"/>
    </xf>
    <xf numFmtId="0" fontId="252" fillId="18" borderId="33" xfId="0" applyFont="1" applyFill="1" applyBorder="1" applyAlignment="1">
      <alignment horizontal="center" vertical="center" wrapText="1"/>
    </xf>
    <xf numFmtId="0" fontId="151" fillId="0" borderId="32" xfId="0" applyFont="1" applyBorder="1" applyAlignment="1">
      <alignment horizontal="left"/>
    </xf>
    <xf numFmtId="0" fontId="151" fillId="0" borderId="33" xfId="0" applyFont="1" applyBorder="1" applyAlignment="1">
      <alignment horizontal="left"/>
    </xf>
    <xf numFmtId="0" fontId="250" fillId="18" borderId="32" xfId="0" applyFont="1" applyFill="1" applyBorder="1" applyAlignment="1">
      <alignment horizontal="center"/>
    </xf>
    <xf numFmtId="0" fontId="250" fillId="18" borderId="16" xfId="0" applyFont="1" applyFill="1" applyBorder="1" applyAlignment="1">
      <alignment horizontal="center"/>
    </xf>
    <xf numFmtId="0" fontId="250" fillId="18" borderId="33" xfId="0" applyFont="1" applyFill="1" applyBorder="1" applyAlignment="1">
      <alignment horizontal="center"/>
    </xf>
    <xf numFmtId="0" fontId="150" fillId="0" borderId="32" xfId="0" applyFont="1" applyBorder="1" applyAlignment="1">
      <alignment horizontal="left"/>
    </xf>
    <xf numFmtId="0" fontId="150" fillId="0" borderId="33" xfId="0" applyFont="1" applyBorder="1" applyAlignment="1">
      <alignment horizontal="left"/>
    </xf>
    <xf numFmtId="0" fontId="251" fillId="18" borderId="16" xfId="0" applyFont="1" applyFill="1" applyBorder="1" applyAlignment="1">
      <alignment horizontal="center"/>
    </xf>
    <xf numFmtId="0" fontId="251" fillId="18" borderId="33" xfId="0" applyFont="1" applyFill="1" applyBorder="1" applyAlignment="1">
      <alignment horizontal="center"/>
    </xf>
    <xf numFmtId="0" fontId="251" fillId="18" borderId="32" xfId="0" applyFont="1" applyFill="1" applyBorder="1" applyAlignment="1">
      <alignment horizontal="center"/>
    </xf>
    <xf numFmtId="0" fontId="249" fillId="18" borderId="32" xfId="0" applyFont="1" applyFill="1" applyBorder="1" applyAlignment="1">
      <alignment horizontal="center"/>
    </xf>
    <xf numFmtId="0" fontId="249" fillId="18" borderId="16" xfId="0" applyFont="1" applyFill="1" applyBorder="1" applyAlignment="1">
      <alignment horizontal="center"/>
    </xf>
    <xf numFmtId="0" fontId="249" fillId="18" borderId="33" xfId="0" applyFont="1" applyFill="1" applyBorder="1" applyAlignment="1">
      <alignment horizontal="center"/>
    </xf>
    <xf numFmtId="0" fontId="2" fillId="37" borderId="24" xfId="0" applyFont="1" applyFill="1" applyBorder="1" applyAlignment="1">
      <alignment horizontal="center"/>
    </xf>
    <xf numFmtId="0" fontId="2" fillId="13" borderId="23" xfId="0" applyFont="1" applyFill="1" applyBorder="1" applyAlignment="1">
      <alignment horizontal="center"/>
    </xf>
    <xf numFmtId="0" fontId="2" fillId="13" borderId="24" xfId="0" applyFont="1" applyFill="1" applyBorder="1" applyAlignment="1">
      <alignment horizontal="center"/>
    </xf>
    <xf numFmtId="0" fontId="2" fillId="13" borderId="25" xfId="0" applyFont="1" applyFill="1" applyBorder="1" applyAlignment="1">
      <alignment horizontal="center"/>
    </xf>
    <xf numFmtId="0" fontId="2" fillId="12" borderId="0" xfId="0" applyFont="1" applyFill="1" applyBorder="1" applyAlignment="1">
      <alignment horizontal="center"/>
    </xf>
    <xf numFmtId="0" fontId="2" fillId="12" borderId="23" xfId="0" applyFont="1" applyFill="1" applyBorder="1" applyAlignment="1">
      <alignment horizontal="center"/>
    </xf>
    <xf numFmtId="0" fontId="2" fillId="12" borderId="24" xfId="0" applyFont="1" applyFill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11" borderId="23" xfId="0" applyFont="1" applyFill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0" fontId="2" fillId="11" borderId="25" xfId="0" applyFont="1" applyFill="1" applyBorder="1" applyAlignment="1">
      <alignment horizontal="center"/>
    </xf>
    <xf numFmtId="0" fontId="2" fillId="11" borderId="0" xfId="0" applyFont="1" applyFill="1" applyBorder="1" applyAlignment="1">
      <alignment horizontal="center"/>
    </xf>
    <xf numFmtId="0" fontId="2" fillId="11" borderId="13" xfId="0" applyFont="1" applyFill="1" applyBorder="1" applyAlignment="1">
      <alignment horizontal="center"/>
    </xf>
    <xf numFmtId="0" fontId="2" fillId="12" borderId="13" xfId="0" applyFont="1" applyFill="1" applyBorder="1" applyAlignment="1">
      <alignment horizontal="center"/>
    </xf>
    <xf numFmtId="0" fontId="2" fillId="12" borderId="108" xfId="0" applyFont="1" applyFill="1" applyBorder="1" applyAlignment="1">
      <alignment horizontal="center"/>
    </xf>
  </cellXfs>
  <cellStyles count="3996">
    <cellStyle name=" 1" xfId="791"/>
    <cellStyle name="_x000d__x000a_JournalTemplate=C:\COMFO\CTALK\JOURSTD.TPL_x000d__x000a_LbStateAddress=3 3 0 251 1 89 2 311_x000d__x000a_LbStateJou" xfId="792"/>
    <cellStyle name="%" xfId="13"/>
    <cellStyle name="% 2" xfId="793"/>
    <cellStyle name="% 2 2" xfId="794"/>
    <cellStyle name="% 3" xfId="795"/>
    <cellStyle name="% 3 2" xfId="796"/>
    <cellStyle name="% 4" xfId="797"/>
    <cellStyle name="% 5" xfId="798"/>
    <cellStyle name="%_090909 GTN - ZM master_update-GTN" xfId="799"/>
    <cellStyle name="%_090909 GTN - ZM master_update-GTN_Menucard_Staff_Master_2010-09-12" xfId="800"/>
    <cellStyle name="%_2008 Budget Southern Region V1" xfId="801"/>
    <cellStyle name="%_20080709_Bevroren_Intercompanies_PvdPloeg" xfId="802"/>
    <cellStyle name="%_2012 PL" xfId="803"/>
    <cellStyle name="%_2012 PL months" xfId="804"/>
    <cellStyle name="%_A&amp;L - 08 LW v1" xfId="805"/>
    <cellStyle name="%_A&amp;L - 08 LW v1_ManInput" xfId="806"/>
    <cellStyle name="%_A&amp;L - 08 LW v1_Risks" xfId="807"/>
    <cellStyle name="%_A&amp;L - 08 LW v1_Sheet1" xfId="808"/>
    <cellStyle name="%_Barclays 2008 FC1 - Jan 08 v 2 9 Fiinal" xfId="809"/>
    <cellStyle name="%_Blad1" xfId="810"/>
    <cellStyle name="%_Blad1_Model Plan 2012" xfId="811"/>
    <cellStyle name="%_Boeing - 08 V1" xfId="812"/>
    <cellStyle name="%_Boeing - 08 V1_ManInput" xfId="813"/>
    <cellStyle name="%_Boeing - 08 V1_Risks" xfId="814"/>
    <cellStyle name="%_Boeing - 08 V1_Sheet1" xfId="815"/>
    <cellStyle name="%_Book1" xfId="816"/>
    <cellStyle name="%_BOOKER - 08 TEMPLATE (2)_PST_November6th" xfId="817"/>
    <cellStyle name="%_BOOKER - 08 TEMPLATE (2)_PST_November6th_ManInput" xfId="818"/>
    <cellStyle name="%_BOOKER - 08 TEMPLATE (2)_PST_November6th_Risks" xfId="819"/>
    <cellStyle name="%_BOOKER - 08 TEMPLATE (2)_PST_November6th_Sheet1" xfId="820"/>
    <cellStyle name="%_Britania BS - 08 V1" xfId="821"/>
    <cellStyle name="%_Britania BS - 08 V1_ManInput" xfId="822"/>
    <cellStyle name="%_Britania BS - 08 V1_Risks" xfId="823"/>
    <cellStyle name="%_Britania BS - 08 V1_Sheet1" xfId="824"/>
    <cellStyle name="%_BS_130504_VA%20NSDM_Q1_%202008(1)" xfId="825"/>
    <cellStyle name="%_Budgeted Vs Actuals - SOUTHERN REGION  V2" xfId="826"/>
    <cellStyle name="%_Budgeted Vs Actuals - SOUTHERN REGION  V2_ManInput" xfId="827"/>
    <cellStyle name="%_Budgeted Vs Actuals - SOUTHERN REGION  V2_Risks" xfId="828"/>
    <cellStyle name="%_Budgeted Vs Actuals - SOUTHERN REGION  V2_Sheet1" xfId="829"/>
    <cellStyle name="%_CBI - 08 MATT ARNOLD update" xfId="830"/>
    <cellStyle name="%_CBI - 08 MATT ARNOLD update_ManInput" xfId="831"/>
    <cellStyle name="%_CBI - 08 MATT ARNOLD update_Risks" xfId="832"/>
    <cellStyle name="%_CBI - 08 MATT ARNOLD update_Sheet1" xfId="833"/>
    <cellStyle name="%_Check" xfId="834"/>
    <cellStyle name="%_CLARKS - 08 TEMPLATE CK 7 Nov" xfId="835"/>
    <cellStyle name="%_CLARKS - 08 TEMPLATE CK 7 Nov_ManInput" xfId="836"/>
    <cellStyle name="%_CLARKS - 08 TEMPLATE CK 7 Nov_Risks" xfId="837"/>
    <cellStyle name="%_CLARKS - 08 TEMPLATE CK 7 Nov_Sheet1" xfId="838"/>
    <cellStyle name="%_COLT - 08 Chris Westwood" xfId="839"/>
    <cellStyle name="%_COLT - 08 Chris Westwood_ManInput" xfId="840"/>
    <cellStyle name="%_COLT - 08 Chris Westwood_Risks" xfId="841"/>
    <cellStyle name="%_COLT - 08 Chris Westwood_Sheet1" xfId="842"/>
    <cellStyle name="%_Copy of Org tabel menu kaart" xfId="843"/>
    <cellStyle name="%_Copy of PSN - 08 AN input 8 Nov" xfId="844"/>
    <cellStyle name="%_Copy of PSN - 08 AN input 8 Nov_ManInput" xfId="845"/>
    <cellStyle name="%_Copy of PSN - 08 AN input 8 Nov_Risks" xfId="846"/>
    <cellStyle name="%_Copy of PSN - 08 AN input 8 Nov_Sheet1" xfId="847"/>
    <cellStyle name="%_Corus - 08 V1" xfId="848"/>
    <cellStyle name="%_Corus - 08 V1_ManInput" xfId="849"/>
    <cellStyle name="%_Corus - 08 V1_Risks" xfId="850"/>
    <cellStyle name="%_Corus - 08 V1_Sheet1" xfId="851"/>
    <cellStyle name="%_COVENTRY BS - 08 V1" xfId="852"/>
    <cellStyle name="%_COVENTRY BS - 08 V1_ManInput" xfId="853"/>
    <cellStyle name="%_COVENTRY BS - 08 V1_Risks" xfId="854"/>
    <cellStyle name="%_COVENTRY BS - 08 V1_Sheet1" xfId="855"/>
    <cellStyle name="%_cpst aanbiedingen Q4 10 dec 2009 totaal" xfId="14"/>
    <cellStyle name="%_CUNNINGHAM LINDSAY - 08" xfId="856"/>
    <cellStyle name="%_CUNNINGHAM LINDSAY - 08_ManInput" xfId="857"/>
    <cellStyle name="%_CUNNINGHAM LINDSAY - 08_Risks" xfId="858"/>
    <cellStyle name="%_CUNNINGHAM LINDSAY - 08_Sheet1" xfId="859"/>
    <cellStyle name="%_CUSTOMER PROFITABILITY REPORTS - Dec 07" xfId="860"/>
    <cellStyle name="%_DCS Bridge actualv v Budget Feb 08" xfId="861"/>
    <cellStyle name="%_DERBYSHIRE - 08 LW v1" xfId="862"/>
    <cellStyle name="%_DERBYSHIRE - 08 LW v1_ManInput" xfId="863"/>
    <cellStyle name="%_DERBYSHIRE - 08 LW v1_Risks" xfId="864"/>
    <cellStyle name="%_DERBYSHIRE - 08 LW v1_Sheet1" xfId="865"/>
    <cellStyle name="%_DEUTSCHE BANK - 08 (Nikolai Lakovic)" xfId="866"/>
    <cellStyle name="%_DEUTSCHE BANK - 08 (Nikolai Lakovic)_ManInput" xfId="867"/>
    <cellStyle name="%_DEUTSCHE BANK - 08 (Nikolai Lakovic)_Risks" xfId="868"/>
    <cellStyle name="%_DEUTSCHE BANK - 08 (Nikolai Lakovic)_Sheet1" xfId="869"/>
    <cellStyle name="%_Direct (Projects)" xfId="870"/>
    <cellStyle name="%_DSM - 08 MW 3 Nov" xfId="871"/>
    <cellStyle name="%_DSM - 08 MW 3 Nov_ManInput" xfId="872"/>
    <cellStyle name="%_DSM - 08 MW 3 Nov_Risks" xfId="873"/>
    <cellStyle name="%_DSM - 08 MW 3 Nov_Sheet1" xfId="874"/>
    <cellStyle name="%_DWDM ILL tarief update 28-3-2011" xfId="875"/>
    <cellStyle name="%_Entity structuur 2011" xfId="876"/>
    <cellStyle name="%_EVPN Model_20102601_v0.1" xfId="15"/>
    <cellStyle name="%_FC_06" xfId="877"/>
    <cellStyle name="%_FC05 2008" xfId="878"/>
    <cellStyle name="%_Ford - 08 V1" xfId="879"/>
    <cellStyle name="%_Ford - 08 V1_ManInput" xfId="880"/>
    <cellStyle name="%_Ford - 08 V1_Risks" xfId="881"/>
    <cellStyle name="%_Ford - 08 V1_Sheet1" xfId="882"/>
    <cellStyle name="%_G4S - 08 TEMPLATE (2)" xfId="883"/>
    <cellStyle name="%_G4S - 08 TEMPLATE (2)_ManInput" xfId="884"/>
    <cellStyle name="%_G4S - 08 TEMPLATE (2)_Risks" xfId="885"/>
    <cellStyle name="%_G4S - 08 TEMPLATE (2)_Sheet1" xfId="886"/>
    <cellStyle name="%_GDC nieuwe pfc cc jan  2011 v4" xfId="887"/>
    <cellStyle name="%_GUNS Number and Customer Name" xfId="888"/>
    <cellStyle name="%_HBOS - 08 V1" xfId="889"/>
    <cellStyle name="%_HBOS - 08 V1_ManInput" xfId="890"/>
    <cellStyle name="%_HBOS - 08 V1_Risks" xfId="891"/>
    <cellStyle name="%_HBOS - 08 V1_Sheet1" xfId="892"/>
    <cellStyle name="%_IC_CS_2010_versie 1 sep" xfId="893"/>
    <cellStyle name="%_IC_CS_2010_versie 1 sep 2" xfId="894"/>
    <cellStyle name="%_IC_CS_2010_versie 1 sep_Blad2" xfId="895"/>
    <cellStyle name="%_IC_CS_2010_versie 1 sep_Blad2 2" xfId="896"/>
    <cellStyle name="%_IC_CS_2010_versie 1 sep_Blad2_JP2011" xfId="897"/>
    <cellStyle name="%_IC_CS_2010_versie 1 sep_JP2011" xfId="898"/>
    <cellStyle name="%_IC_CS_2010_versie 1 sep_Model Plan 2012" xfId="899"/>
    <cellStyle name="%_ICELAND - 08 LW v1" xfId="900"/>
    <cellStyle name="%_ICELAND - 08 LW v1_ManInput" xfId="901"/>
    <cellStyle name="%_ICELAND - 08 LW v1_Risks" xfId="902"/>
    <cellStyle name="%_ICELAND - 08 LW v1_Sheet1" xfId="903"/>
    <cellStyle name="%_ICS KPI" xfId="904"/>
    <cellStyle name="%_ICS_KPI driver sheet_ACT2010 - YEE2_sens" xfId="905"/>
    <cellStyle name="%_INEOS - 08 TEMPLATE sdm UPDATES" xfId="906"/>
    <cellStyle name="%_INEOS - 08 TEMPLATE sdm UPDATES_ManInput" xfId="907"/>
    <cellStyle name="%_INEOS - 08 TEMPLATE sdm UPDATES_Risks" xfId="908"/>
    <cellStyle name="%_INEOS - 08 TEMPLATE sdm UPDATES_Sheet1" xfId="909"/>
    <cellStyle name="%_ING - 08 PLAN Jim O Sullivan" xfId="910"/>
    <cellStyle name="%_ING - 08 PLAN Jim O Sullivan_ManInput" xfId="911"/>
    <cellStyle name="%_ING - 08 PLAN Jim O Sullivan_Risks" xfId="912"/>
    <cellStyle name="%_ING - 08 PLAN Jim O Sullivan_Sheet1" xfId="913"/>
    <cellStyle name="%_INNOSPEC - 08 (Forecast)v2" xfId="914"/>
    <cellStyle name="%_INNOSPEC - 08 (Forecast)v2_ManInput" xfId="915"/>
    <cellStyle name="%_INNOSPEC - 08 (Forecast)v2_Risks" xfId="916"/>
    <cellStyle name="%_INNOSPEC - 08 (Forecast)v2_Sheet1" xfId="917"/>
    <cellStyle name="%_IS Bridge actualv v Budget Feb08" xfId="918"/>
    <cellStyle name="%_Journal P05" xfId="919"/>
    <cellStyle name="%_JP2011" xfId="920"/>
    <cellStyle name="%_KWT IS Data 2010-10-07" xfId="921"/>
    <cellStyle name="%_LPM Zakelijk Glas Stedelijk 20101013 Concept" xfId="922"/>
    <cellStyle name="%_ManInput" xfId="923"/>
    <cellStyle name="%_ManInput_1" xfId="924"/>
    <cellStyle name="%_ManInput_Sheet1" xfId="925"/>
    <cellStyle name="%_Model Plan 2012" xfId="926"/>
    <cellStyle name="%_ND5 squeeze model  whs-whs v2 2 SDH ILL tar jan 2010" xfId="927"/>
    <cellStyle name="%_ND5 squeeze model  whs-whs v2.22" xfId="16"/>
    <cellStyle name="%_New PL Format" xfId="928"/>
    <cellStyle name="%_New PL Formatt" xfId="929"/>
    <cellStyle name="%_New PL Formatt_Sheet1" xfId="930"/>
    <cellStyle name="%_Onderbouwing Balanspost NSS " xfId="931"/>
    <cellStyle name="%_Oud KPN_HetNet_Planetportfolio OPTA" xfId="17"/>
    <cellStyle name="%_PHILIPS - 08 (09.11.07)" xfId="932"/>
    <cellStyle name="%_PHILIPS - 08 (09.11.07)_ManInput" xfId="933"/>
    <cellStyle name="%_PHILIPS - 08 (09.11.07)_Risks" xfId="934"/>
    <cellStyle name="%_PHILIPS - 08 (09.11.07)_Sheet1" xfId="935"/>
    <cellStyle name="%_Poorten Fee P09" xfId="936"/>
    <cellStyle name="%_Preclosing" xfId="937"/>
    <cellStyle name="%_Preclosing jan11" xfId="938"/>
    <cellStyle name="%_Profit Centre with GUNS number" xfId="939"/>
    <cellStyle name="%_Risks" xfId="940"/>
    <cellStyle name="%_SANOFI AVENTIS - 08 (DAWN LEWRY)" xfId="941"/>
    <cellStyle name="%_SANOFI AVENTIS - 08 (DAWN LEWRY)_ManInput" xfId="942"/>
    <cellStyle name="%_SANOFI AVENTIS - 08 (DAWN LEWRY)_Risks" xfId="943"/>
    <cellStyle name="%_SANOFI AVENTIS - 08 (DAWN LEWRY)_Sheet1" xfId="944"/>
    <cellStyle name="%_SCOTTISH WIDOWS - 08 A.Haslam input" xfId="945"/>
    <cellStyle name="%_SCOTTISH WIDOWS - 08 A.Haslam input_ManInput" xfId="946"/>
    <cellStyle name="%_SCOTTISH WIDOWS - 08 A.Haslam input_Risks" xfId="947"/>
    <cellStyle name="%_SCOTTISH WIDOWS - 08 A.Haslam input_Sheet1" xfId="948"/>
    <cellStyle name="%_SD_PIPE" xfId="949"/>
    <cellStyle name="%_Sheet1" xfId="950"/>
    <cellStyle name="%_Sheet2" xfId="951"/>
    <cellStyle name="%_SHELL - 08 PB 6 Nov" xfId="952"/>
    <cellStyle name="%_SHELL - 08 PB 6 Nov_ManInput" xfId="953"/>
    <cellStyle name="%_SHELL - 08 PB 6 Nov_Risks" xfId="954"/>
    <cellStyle name="%_SHELL - 08 PB 6 Nov_Sheet1" xfId="955"/>
    <cellStyle name="%_Southern Region 2008 Coverage Customer Budget V 1.4" xfId="956"/>
    <cellStyle name="%_Southern Region 2008 Depth Customer Budget V1.7 values" xfId="957"/>
    <cellStyle name="%_Southern Region 2008 Depth Customer Budget V2.3" xfId="958"/>
    <cellStyle name="%_Southern Region Depth Customer Account Analysis V 1.0" xfId="959"/>
    <cellStyle name="%_Southern Region Depth Customer Account Analysis V 1.0_ManInput" xfId="960"/>
    <cellStyle name="%_Southern Region Depth Customer Account Analysis V 1.0_Risks" xfId="961"/>
    <cellStyle name="%_Southern Region Depth Customer Account Analysis V 1.0_Sheet1" xfId="962"/>
    <cellStyle name="%_Southern Region Management Overhead" xfId="963"/>
    <cellStyle name="%_Southern Region Management Overhead Reporting Pack V1.1" xfId="964"/>
    <cellStyle name="%_Southern Region Management Overhead Reporting Pack V1.1_ManInput" xfId="965"/>
    <cellStyle name="%_Southern Region Management Overhead Reporting Pack V1.1_Risks" xfId="966"/>
    <cellStyle name="%_Southern Region Management Overhead Reporting Pack V1.1_Sheet1" xfId="967"/>
    <cellStyle name="%_Southern Region Management Overhead_ManInput" xfId="968"/>
    <cellStyle name="%_Southern Region Management Overhead_Risks" xfId="969"/>
    <cellStyle name="%_Southern Region Management Overhead_Sheet1" xfId="970"/>
    <cellStyle name="%_Squeeze model v0.3 20-10-2009" xfId="18"/>
    <cellStyle name="%_Squeezetoets ND5 VISP Vodafone 0.2 tov WBA" xfId="19"/>
    <cellStyle name="%_SUBSEA 7 - 08 MC v1" xfId="971"/>
    <cellStyle name="%_SUBSEA 7 - 08 MC v1_ManInput" xfId="972"/>
    <cellStyle name="%_SUBSEA 7 - 08 MC v1_Risks" xfId="973"/>
    <cellStyle name="%_SUBSEA 7 - 08 MC v1_Sheet1" xfId="974"/>
    <cellStyle name="%_Summary (2)" xfId="975"/>
    <cellStyle name="%_SUPERDRUG - 08 TEMPLATE PB 7 Nov" xfId="976"/>
    <cellStyle name="%_SUPERDRUG - 08 TEMPLATE PB 7 Nov_ManInput" xfId="977"/>
    <cellStyle name="%_SUPERDRUG - 08 TEMPLATE PB 7 Nov_Risks" xfId="978"/>
    <cellStyle name="%_SUPERDRUG - 08 TEMPLATE PB 7 Nov_Sheet1" xfId="979"/>
    <cellStyle name="%_Tarieven DWDM ILL 3 juni 2011" xfId="980"/>
    <cellStyle name="%_THOMAS COOK - 08 Forecast pmil v3.0" xfId="981"/>
    <cellStyle name="%_THOMAS COOK - 08 Forecast pmil v3.0_ManInput" xfId="982"/>
    <cellStyle name="%_THOMAS COOK - 08 Forecast pmil v3.0_Risks" xfId="983"/>
    <cellStyle name="%_THOMAS COOK - 08 Forecast pmil v3.0_Sheet1" xfId="984"/>
    <cellStyle name="%_THRESHER - 08 TEMPLATE" xfId="985"/>
    <cellStyle name="%_THRESHER - 08 TEMPLATE_ManInput" xfId="986"/>
    <cellStyle name="%_THRESHER - 08 TEMPLATE_Risks" xfId="987"/>
    <cellStyle name="%_THRESHER - 08 TEMPLATE_Sheet1" xfId="988"/>
    <cellStyle name="%_T-MOBILE - 08 Fergal Donnelly" xfId="989"/>
    <cellStyle name="%_T-MOBILE - 08 Fergal Donnelly_ManInput" xfId="990"/>
    <cellStyle name="%_T-MOBILE - 08 Fergal Donnelly_Risks" xfId="991"/>
    <cellStyle name="%_T-MOBILE - 08 Fergal Donnelly_Sheet1" xfId="992"/>
    <cellStyle name="%_TRADER MEDIA - 08 M.Twiggs" xfId="993"/>
    <cellStyle name="%_TRADER MEDIA - 08 M.Twiggs_ManInput" xfId="994"/>
    <cellStyle name="%_TRADER MEDIA - 08 M.Twiggs_Risks" xfId="995"/>
    <cellStyle name="%_TRADER MEDIA - 08 M.Twiggs_Sheet1" xfId="996"/>
    <cellStyle name="%_UNISON - 2008 (Steve Newton)" xfId="997"/>
    <cellStyle name="%_UNISON - 2008 (Steve Newton)_ManInput" xfId="998"/>
    <cellStyle name="%_UNISON - 2008 (Steve Newton)_Risks" xfId="999"/>
    <cellStyle name="%_UNISON - 2008 (Steve Newton)_Sheet1" xfId="1000"/>
    <cellStyle name="%_ZM IS Data Tarievenboek 2010-03-11" xfId="20"/>
    <cellStyle name="%_zz Southern Region 2008 Depth Customer Budget V2.1 ok so far" xfId="1001"/>
    <cellStyle name="******************************************" xfId="21"/>
    <cellStyle name="****************************************** 2" xfId="22"/>
    <cellStyle name="****************************************** 2 2" xfId="1002"/>
    <cellStyle name="****************************************** 3" xfId="1003"/>
    <cellStyle name="****************************************** 4" xfId="1004"/>
    <cellStyle name="??" xfId="23"/>
    <cellStyle name="?Q\?1@" xfId="24"/>
    <cellStyle name="?Q\?1@ 2" xfId="25"/>
    <cellStyle name="?Q\?1@ 2 2" xfId="1005"/>
    <cellStyle name="?Q\?1@ 3" xfId="1006"/>
    <cellStyle name="]_x000d__x000a_Width=797_x000d__x000a_Height=554_x000d__x000a__x000d__x000a_[Code]_x000d__x000a_Code0=/nyf50_x000d__x000a_Code1=4500000136_x000d__x000a_Code2=ME23_x000d__x000a_Code3=4500002322_x000d__x000a_Code4=#_x000d__x000a_Code5=MB01_x000d__x000a_" xfId="1007"/>
    <cellStyle name="_~4475784" xfId="1008"/>
    <cellStyle name="_~4789082" xfId="26"/>
    <cellStyle name="_~6915299" xfId="1009"/>
    <cellStyle name="_~6915299 2" xfId="1010"/>
    <cellStyle name="_~7561900" xfId="1011"/>
    <cellStyle name="_~7561900 2" xfId="1012"/>
    <cellStyle name="_~7910324" xfId="1013"/>
    <cellStyle name="_~8380888" xfId="27"/>
    <cellStyle name="_~8380888_ND5 squeeze model  whs-whs v2.21 DWDM ILL" xfId="1014"/>
    <cellStyle name="_~9871415" xfId="28"/>
    <cellStyle name="_~9871415_ZM IS Data Tarievenboek 2010-03-11" xfId="29"/>
    <cellStyle name="_040427 Omzet per BU_RJM" xfId="30"/>
    <cellStyle name="_040427 Omzet per BU_RJM_LPM PL 20101014 Concept" xfId="1015"/>
    <cellStyle name="_040427 Omzet per BU_RJM_LPM PL 20101028 obv LRIC inkoop" xfId="1016"/>
    <cellStyle name="_040427 Omzet per BU_RJM_Menucard_Staff_Master_2010-09-12" xfId="1017"/>
    <cellStyle name="_040427 Omzet per BU_RJM_ND5 squeeze model  whs-whs v2.21 DWDM ILL" xfId="1018"/>
    <cellStyle name="_071004 Model - ZM v21" xfId="1019"/>
    <cellStyle name="_071004 Model - ZM v21 2" xfId="1020"/>
    <cellStyle name="_071004 Model - ZM v21_Blad2" xfId="1021"/>
    <cellStyle name="_071004 Model - ZM v21_Blad2 2" xfId="1022"/>
    <cellStyle name="_071004 Model - ZM v21_Blad2_JP2011" xfId="1023"/>
    <cellStyle name="_071004 Model - ZM v21_JP2011" xfId="1024"/>
    <cellStyle name="_071004 Model - ZM v21_Model Plan 2012" xfId="1025"/>
    <cellStyle name="_074 Informatieprofiel XS4ALL1" xfId="1026"/>
    <cellStyle name="_074 Informatieprofiel XS4ALL1 2" xfId="1027"/>
    <cellStyle name="_074 Informatieprofiel XS4ALL1_FC categoraal" xfId="1028"/>
    <cellStyle name="_074 Informatieprofiel XS4ALL1_GDC nieuwe pfc cc jan  2011 v4" xfId="1029"/>
    <cellStyle name="_074 Informatieprofiel XS4ALL1_JP2011" xfId="1030"/>
    <cellStyle name="_074 Informatieprofiel XS4ALL1_JP2011 2" xfId="1031"/>
    <cellStyle name="_074 Informatieprofiel XS4ALL1_JP2011_1" xfId="1032"/>
    <cellStyle name="_074 Informatieprofiel XS4ALL1_Preclosing" xfId="1033"/>
    <cellStyle name="_074 Informatieprofiel XS4ALL1_Preclosing 2" xfId="1034"/>
    <cellStyle name="_074 Informatieprofiel XS4ALL1_Preclosing jan11" xfId="1035"/>
    <cellStyle name="_074 Informatieprofiel XS4ALL1_Preclosing_1" xfId="1036"/>
    <cellStyle name="_074 Informatieprofiel XS4ALL1_Preclosing_2" xfId="1037"/>
    <cellStyle name="_074 Informatieprofiel XS4ALL1_Preclosing_3" xfId="1038"/>
    <cellStyle name="_074 Informatieprofiel XS4ALL1_Preclosing_FC categoraal" xfId="1039"/>
    <cellStyle name="_074 Informatieprofiel XS4ALL1_Sheet1" xfId="1040"/>
    <cellStyle name="_074 Informatieprofiel XS4ALL1_Sheet1_1" xfId="1041"/>
    <cellStyle name="_074 Informatieprofiel XS4ALL1_Sheet1_1 2" xfId="1042"/>
    <cellStyle name="_074 Informatieprofiel XS4ALL1_Sheet1_1_FC categoraal" xfId="1043"/>
    <cellStyle name="_074 Informatieprofiel XS4ALL1_Sheet1_2" xfId="1044"/>
    <cellStyle name="_074 Informatieprofiel XS4ALL1_Sheet1_2 2" xfId="1045"/>
    <cellStyle name="_074 Informatieprofiel XS4ALL1_Sheet2" xfId="1046"/>
    <cellStyle name="_080605 JEV 2005" xfId="31"/>
    <cellStyle name="_080605 JEV 2005 2" xfId="32"/>
    <cellStyle name="_080605 JEV 2005 3" xfId="1047"/>
    <cellStyle name="_080605 JEV 2005_ND5 squeeze model  whs-whs v2.21 DWDM ILL" xfId="1048"/>
    <cellStyle name="_080619_OBU035_Oerlikon Solar_valuae creation from JV options_v1600" xfId="1049"/>
    <cellStyle name="_080619_OBU035_Oerlikon Solar_valuae creation from JV options_v1600 2" xfId="1050"/>
    <cellStyle name="_080717_Template _ICT vs  CS_v20080724 EdL" xfId="1051"/>
    <cellStyle name="_080717_Template _ICT vs  CS_v20080724 EdL 2" xfId="1052"/>
    <cellStyle name="_080717_Template _IS vs  CS_v1300_IS_250708" xfId="1053"/>
    <cellStyle name="_080717_Template _IS vs  CS_v1300_IS_250708 2" xfId="1054"/>
    <cellStyle name="_080717_Template _IS vs  CS_v20080724 EdL" xfId="1055"/>
    <cellStyle name="_080717_Template _IS vs  CS_v20080724 EdL 2" xfId="1056"/>
    <cellStyle name="_080717_Template _IS vs  ICT" xfId="1057"/>
    <cellStyle name="_080717_Template _IS vs  ICT 2" xfId="1058"/>
    <cellStyle name="_080717_Template _IS vs  ICT_v1300_IS_250708" xfId="1059"/>
    <cellStyle name="_080717_Template _IS vs  ICT_v1300_IS_250708 2" xfId="1060"/>
    <cellStyle name="_090909 GTN - ZM master_update-GTN" xfId="1061"/>
    <cellStyle name="_10 JEV oktober versie 5" xfId="33"/>
    <cellStyle name="_10 JEV oktober versie 5 2" xfId="34"/>
    <cellStyle name="_10 JEV oktober versie 5 3" xfId="1062"/>
    <cellStyle name="_10 JEV oktober versie 5_ND5 squeeze model  whs-whs v2.21 DWDM ILL" xfId="1063"/>
    <cellStyle name="_111501portfolio" xfId="35"/>
    <cellStyle name="_111501portfolio 2" xfId="36"/>
    <cellStyle name="_111501portfolio 3" xfId="1064"/>
    <cellStyle name="_111501portfolio_ND5 squeeze model  whs-whs v2.21 DWDM ILL" xfId="1065"/>
    <cellStyle name="_1201" xfId="1066"/>
    <cellStyle name="_12017" xfId="1067"/>
    <cellStyle name="_2.5.5.29 - Mexico FC09" xfId="1068"/>
    <cellStyle name="_2003-06-18 JEV3 LLS" xfId="37"/>
    <cellStyle name="_2003-06-18 JEV3 LLS 2" xfId="38"/>
    <cellStyle name="_2003-06-18 JEV3 LLS 2 2" xfId="1069"/>
    <cellStyle name="_2003-06-18 JEV3 LLS 3" xfId="1070"/>
    <cellStyle name="_2003-06-18 JEV3 LLS_Blad2" xfId="1071"/>
    <cellStyle name="_2003-06-18 JEV3 LLS_Blad2 2" xfId="1072"/>
    <cellStyle name="_2003-06-18 JEV3 LLS_Blad2_JP2011" xfId="1073"/>
    <cellStyle name="_2003-06-18 JEV3 LLS_EVPN Model_20102601_v0.1" xfId="39"/>
    <cellStyle name="_2003-06-18 JEV3 LLS_JP2011" xfId="1074"/>
    <cellStyle name="_2003-06-18 JEV3 LLS_KWT IS Data 2010-10-07" xfId="1075"/>
    <cellStyle name="_2003-06-18 JEV3 LLS_Model Plan 2012" xfId="1076"/>
    <cellStyle name="_2003-06-18 JEV3 LLS_ND5 squeeze model  whs-whs v2.21 DWDM ILL" xfId="1077"/>
    <cellStyle name="_2003-06-18 JEV3 LLS_ZM IS Data Tarievenboek 2010-03-11" xfId="40"/>
    <cellStyle name="_2003-08 JEV BSA v5" xfId="41"/>
    <cellStyle name="_2003-08 JEV BSA v5 2" xfId="1078"/>
    <cellStyle name="_2003-08 JEV BSA v5_Economy IPVPN - Centrale Aansluiting 20102601_v0.1 test EA" xfId="42"/>
    <cellStyle name="_2003-08 JEV BSA v5_Epacity EVPN_20102601_v0.1 test EA" xfId="43"/>
    <cellStyle name="_2003-08 JEV BSA v5_IP VPN Model 20100315_v1.0" xfId="44"/>
    <cellStyle name="_2003-08 JEV BSA v5_KWT IS Data 2010-10-07" xfId="1079"/>
    <cellStyle name="_2003-08 JEV BSA v5_LPM EVPN 20100126_v0.1 test PB" xfId="45"/>
    <cellStyle name="_2003-08 JEV BSA v5_LPM EVPN 20101013 Concept" xfId="46"/>
    <cellStyle name="_2003-08 JEV BSA v5_LPM EVPN 20101118 concept" xfId="47"/>
    <cellStyle name="_2003-08 JEV BSA v5_LPM IP VPN + ONE  obv prijslijst 10.1 + 6.2 dd 20101015 Concept" xfId="48"/>
    <cellStyle name="_2003-08 JEV BSA v5_LPM IP VPN + ONE 20110104" xfId="49"/>
    <cellStyle name="_2003-08 JEV BSA v5_LPM IP VPN 20100614 obv prijslijst 10.1 Concept incl additionele asn" xfId="50"/>
    <cellStyle name="_2003-08 JEV BSA v5_LPM PL 20101014 Concept" xfId="1080"/>
    <cellStyle name="_2003-08 JEV BSA v5_LPM PL 20101028 obv LRIC inkoop" xfId="1081"/>
    <cellStyle name="_2003-08 JEV BSA v5_LPM Zakelijk DSL 20100520 inclusief XS4ALL na 15 mei 2010 Concept" xfId="51"/>
    <cellStyle name="_2003-08 JEV BSA v5_LPM Zakelijk Glas bedrijventerreinen_20100401_v1.0 test PB" xfId="52"/>
    <cellStyle name="_2003-08 JEV BSA v5_LPM Zakelijk Glas Stedelijk 20100617 Concept" xfId="53"/>
    <cellStyle name="_2003-08 JEV BSA v5_LPM Zakelijk Glas Stedelijk 20101013 Concept" xfId="54"/>
    <cellStyle name="_2003-08 JEV BSA v5_Menucard_Staff_Master_2010-09-12" xfId="1082"/>
    <cellStyle name="_2003-08 JEV BSA v5_ND5 squeeze model  whs-whs v2.21 DWDM ILL" xfId="1083"/>
    <cellStyle name="_2003-08 JEV BSA v5_toets DSL 2010-11-18 obv LPM IP VPN + ONE 20101028" xfId="55"/>
    <cellStyle name="_2003-08 JEV BSA v5_toets DSL 2010-11-22 obv LPM IP VPN + ONE 20101028" xfId="56"/>
    <cellStyle name="_2003-08 JEV BSA v5_Zakelijk DSL Model 20100416_v1.1_inclusief XS4ALL" xfId="57"/>
    <cellStyle name="_2003-08 JEV BSA v5_Zakelijk Glas Stedelijk_2010_v0.1 test PB" xfId="58"/>
    <cellStyle name="_2003-08 JEV BSA v5_ZM IS Data Tarievenboek 2010-03-11" xfId="59"/>
    <cellStyle name="_2003-08 JEV BSA vPVO" xfId="60"/>
    <cellStyle name="_2003-08 JEV BSA vPVO 2" xfId="1084"/>
    <cellStyle name="_2003-08 JEV BSA vPVO_Economy IPVPN - Centrale Aansluiting 20102601_v0.1 test EA" xfId="61"/>
    <cellStyle name="_2003-08 JEV BSA vPVO_Epacity EVPN_20102601_v0.1 test EA" xfId="62"/>
    <cellStyle name="_2003-08 JEV BSA vPVO_IP VPN Model 20100315_v1.0" xfId="63"/>
    <cellStyle name="_2003-08 JEV BSA vPVO_KWT IS Data 2010-10-07" xfId="1085"/>
    <cellStyle name="_2003-08 JEV BSA vPVO_LPM EVPN 20100126_v0.1 test PB" xfId="64"/>
    <cellStyle name="_2003-08 JEV BSA vPVO_LPM EVPN 20101013 Concept" xfId="65"/>
    <cellStyle name="_2003-08 JEV BSA vPVO_LPM EVPN 20101118 concept" xfId="66"/>
    <cellStyle name="_2003-08 JEV BSA vPVO_LPM IP VPN + ONE  obv prijslijst 10.1 + 6.2 dd 20101015 Concept" xfId="67"/>
    <cellStyle name="_2003-08 JEV BSA vPVO_LPM IP VPN + ONE 20110104" xfId="68"/>
    <cellStyle name="_2003-08 JEV BSA vPVO_LPM IP VPN 20100614 obv prijslijst 10.1 Concept incl additionele asn" xfId="69"/>
    <cellStyle name="_2003-08 JEV BSA vPVO_LPM PL 20101014 Concept" xfId="1086"/>
    <cellStyle name="_2003-08 JEV BSA vPVO_LPM PL 20101028 obv LRIC inkoop" xfId="1087"/>
    <cellStyle name="_2003-08 JEV BSA vPVO_LPM Zakelijk DSL 20100520 inclusief XS4ALL na 15 mei 2010 Concept" xfId="70"/>
    <cellStyle name="_2003-08 JEV BSA vPVO_LPM Zakelijk Glas bedrijventerreinen_20100401_v1.0 test PB" xfId="71"/>
    <cellStyle name="_2003-08 JEV BSA vPVO_LPM Zakelijk Glas Stedelijk 20100617 Concept" xfId="72"/>
    <cellStyle name="_2003-08 JEV BSA vPVO_LPM Zakelijk Glas Stedelijk 20101013 Concept" xfId="73"/>
    <cellStyle name="_2003-08 JEV BSA vPVO_Menucard_Staff_Master_2010-09-12" xfId="1088"/>
    <cellStyle name="_2003-08 JEV BSA vPVO_ND5 squeeze model  whs-whs v2.21 DWDM ILL" xfId="1089"/>
    <cellStyle name="_2003-08 JEV BSA vPVO_toets DSL 2010-11-18 obv LPM IP VPN + ONE 20101028" xfId="74"/>
    <cellStyle name="_2003-08 JEV BSA vPVO_toets DSL 2010-11-22 obv LPM IP VPN + ONE 20101028" xfId="75"/>
    <cellStyle name="_2003-08 JEV BSA vPVO_Zakelijk DSL Model 20100416_v1.1_inclusief XS4ALL" xfId="76"/>
    <cellStyle name="_2003-08 JEV BSA vPVO_Zakelijk Glas Stedelijk_2010_v0.1 test PB" xfId="77"/>
    <cellStyle name="_2003-08 JEV BSA vPVO_ZM IS Data Tarievenboek 2010-03-11" xfId="78"/>
    <cellStyle name="_2003-08-19 VBM - v1008" xfId="79"/>
    <cellStyle name="_2003-08-19 VBM - v1008 2" xfId="1090"/>
    <cellStyle name="_2003-08-19 VBM - v1008_Economy IPVPN - Centrale Aansluiting 20102601_v0.1 test EA" xfId="80"/>
    <cellStyle name="_2003-08-19 VBM - v1008_Epacity EVPN_20102601_v0.1 test EA" xfId="81"/>
    <cellStyle name="_2003-08-19 VBM - v1008_IP VPN Model 20100315_v1.0" xfId="82"/>
    <cellStyle name="_2003-08-19 VBM - v1008_KWT IS Data 2010-10-07" xfId="1091"/>
    <cellStyle name="_2003-08-19 VBM - v1008_LPM EVPN 20100126_v0.1 test PB" xfId="83"/>
    <cellStyle name="_2003-08-19 VBM - v1008_LPM EVPN 20101013 Concept" xfId="84"/>
    <cellStyle name="_2003-08-19 VBM - v1008_LPM EVPN 20101118 concept" xfId="85"/>
    <cellStyle name="_2003-08-19 VBM - v1008_LPM IP VPN + ONE  obv prijslijst 10.1 + 6.2 dd 20101015 Concept" xfId="86"/>
    <cellStyle name="_2003-08-19 VBM - v1008_LPM IP VPN + ONE 20110104" xfId="87"/>
    <cellStyle name="_2003-08-19 VBM - v1008_LPM IP VPN 20100614 obv prijslijst 10.1 Concept incl additionele asn" xfId="88"/>
    <cellStyle name="_2003-08-19 VBM - v1008_LPM PL 20101014 Concept" xfId="1092"/>
    <cellStyle name="_2003-08-19 VBM - v1008_LPM PL 20101028 obv LRIC inkoop" xfId="1093"/>
    <cellStyle name="_2003-08-19 VBM - v1008_LPM Zakelijk DSL 20100520 inclusief XS4ALL na 15 mei 2010 Concept" xfId="89"/>
    <cellStyle name="_2003-08-19 VBM - v1008_LPM Zakelijk Glas bedrijventerreinen_20100401_v1.0 test PB" xfId="90"/>
    <cellStyle name="_2003-08-19 VBM - v1008_LPM Zakelijk Glas Stedelijk 20100617 Concept" xfId="91"/>
    <cellStyle name="_2003-08-19 VBM - v1008_LPM Zakelijk Glas Stedelijk 20101013 Concept" xfId="92"/>
    <cellStyle name="_2003-08-19 VBM - v1008_Menucard_Staff_Master_2010-09-12" xfId="1094"/>
    <cellStyle name="_2003-08-19 VBM - v1008_ND5 squeeze model  whs-whs v2.21 DWDM ILL" xfId="1095"/>
    <cellStyle name="_2003-08-19 VBM - v1008_toets DSL 2010-11-18 obv LPM IP VPN + ONE 20101028" xfId="93"/>
    <cellStyle name="_2003-08-19 VBM - v1008_toets DSL 2010-11-22 obv LPM IP VPN + ONE 20101028" xfId="94"/>
    <cellStyle name="_2003-08-19 VBM - v1008_Zakelijk DSL Model 20100416_v1.1_inclusief XS4ALL" xfId="95"/>
    <cellStyle name="_2003-08-19 VBM - v1008_Zakelijk Glas Stedelijk_2010_v0.1 test PB" xfId="96"/>
    <cellStyle name="_2003-08-19 VBM - v1008_ZM IS Data Tarievenboek 2010-03-11" xfId="97"/>
    <cellStyle name="_2003-09 Totaal LLS afdeling 2004" xfId="98"/>
    <cellStyle name="_2003-09 Totaal LLS afdeling 2004 2" xfId="99"/>
    <cellStyle name="_2003-09 Totaal LLS afdeling 2004 2 2" xfId="1096"/>
    <cellStyle name="_2003-09 Totaal LLS afdeling 2004 3" xfId="1097"/>
    <cellStyle name="_2003-09 Totaal LLS afdeling 2004_Blad2" xfId="1098"/>
    <cellStyle name="_2003-09 Totaal LLS afdeling 2004_Blad2 2" xfId="1099"/>
    <cellStyle name="_2003-09 Totaal LLS afdeling 2004_Blad2_JP2011" xfId="1100"/>
    <cellStyle name="_2003-09 Totaal LLS afdeling 2004_EVPN Model_20102601_v0.1" xfId="100"/>
    <cellStyle name="_2003-09 Totaal LLS afdeling 2004_JP2011" xfId="1101"/>
    <cellStyle name="_2003-09 Totaal LLS afdeling 2004_KWT IS Data 2010-10-07" xfId="1102"/>
    <cellStyle name="_2003-09 Totaal LLS afdeling 2004_Model Plan 2012" xfId="1103"/>
    <cellStyle name="_2003-09 Totaal LLS afdeling 2004_ND5 squeeze model  whs-whs v2.21 DWDM ILL" xfId="1104"/>
    <cellStyle name="_2003-09 Totaal LLS afdeling 2004_ZM IS Data Tarievenboek 2010-03-11" xfId="101"/>
    <cellStyle name="_2003-10 JEV MEV Grafieken v2" xfId="102"/>
    <cellStyle name="_2003-10 JEV MEV Grafieken v2 2" xfId="103"/>
    <cellStyle name="_2003-10 JEV MEV Grafieken v2 2 2" xfId="1105"/>
    <cellStyle name="_2003-10 JEV MEV Grafieken v2 3" xfId="1106"/>
    <cellStyle name="_2003-10 JEV MEV Grafieken v2_Blad2" xfId="1107"/>
    <cellStyle name="_2003-10 JEV MEV Grafieken v2_Blad2 2" xfId="1108"/>
    <cellStyle name="_2003-10 JEV MEV Grafieken v2_Blad2_JP2011" xfId="1109"/>
    <cellStyle name="_2003-10 JEV MEV Grafieken v2_EVPN Model_20102601_v0.1" xfId="104"/>
    <cellStyle name="_2003-10 JEV MEV Grafieken v2_JP2011" xfId="1110"/>
    <cellStyle name="_2003-10 JEV MEV Grafieken v2_KWT IS Data 2010-10-07" xfId="1111"/>
    <cellStyle name="_2003-10 JEV MEV Grafieken v2_Model Plan 2012" xfId="1112"/>
    <cellStyle name="_2003-10 JEV MEV Grafieken v2_ND5 squeeze model  whs-whs v2.21 DWDM ILL" xfId="1113"/>
    <cellStyle name="_2003-10 JEV MEV Grafieken v2_ZM IS Data Tarievenboek 2010-03-11" xfId="105"/>
    <cellStyle name="_2003-11 JEV Bitstream" xfId="106"/>
    <cellStyle name="_2003-11 JEV Bitstream 2" xfId="1114"/>
    <cellStyle name="_2003-11 JEV Bitstream_Economy IPVPN - Centrale Aansluiting 20102601_v0.1 test EA" xfId="107"/>
    <cellStyle name="_2003-11 JEV Bitstream_Epacity EVPN_20102601_v0.1 test EA" xfId="108"/>
    <cellStyle name="_2003-11 JEV Bitstream_IP VPN Model 20100315_v1.0" xfId="109"/>
    <cellStyle name="_2003-11 JEV Bitstream_KWT IS Data 2010-10-07" xfId="1115"/>
    <cellStyle name="_2003-11 JEV Bitstream_LPM EVPN 20100126_v0.1 test PB" xfId="110"/>
    <cellStyle name="_2003-11 JEV Bitstream_LPM EVPN 20101013 Concept" xfId="111"/>
    <cellStyle name="_2003-11 JEV Bitstream_LPM EVPN 20101118 concept" xfId="112"/>
    <cellStyle name="_2003-11 JEV Bitstream_LPM IP VPN + ONE  obv prijslijst 10.1 + 6.2 dd 20101015 Concept" xfId="113"/>
    <cellStyle name="_2003-11 JEV Bitstream_LPM IP VPN + ONE 20110104" xfId="114"/>
    <cellStyle name="_2003-11 JEV Bitstream_LPM IP VPN 20100614 obv prijslijst 10.1 Concept incl additionele asn" xfId="115"/>
    <cellStyle name="_2003-11 JEV Bitstream_LPM PL 20101014 Concept" xfId="1116"/>
    <cellStyle name="_2003-11 JEV Bitstream_LPM PL 20101028 obv LRIC inkoop" xfId="1117"/>
    <cellStyle name="_2003-11 JEV Bitstream_LPM Zakelijk DSL 20100520 inclusief XS4ALL na 15 mei 2010 Concept" xfId="116"/>
    <cellStyle name="_2003-11 JEV Bitstream_LPM Zakelijk Glas bedrijventerreinen_20100401_v1.0 test PB" xfId="117"/>
    <cellStyle name="_2003-11 JEV Bitstream_LPM Zakelijk Glas Stedelijk 20100617 Concept" xfId="118"/>
    <cellStyle name="_2003-11 JEV Bitstream_LPM Zakelijk Glas Stedelijk 20101013 Concept" xfId="119"/>
    <cellStyle name="_2003-11 JEV Bitstream_Menucard_Staff_Master_2010-09-12" xfId="1118"/>
    <cellStyle name="_2003-11 JEV Bitstream_ND5 squeeze model  whs-whs v2.21 DWDM ILL" xfId="1119"/>
    <cellStyle name="_2003-11 JEV Bitstream_toets DSL 2010-11-18 obv LPM IP VPN + ONE 20101028" xfId="120"/>
    <cellStyle name="_2003-11 JEV Bitstream_toets DSL 2010-11-22 obv LPM IP VPN + ONE 20101028" xfId="121"/>
    <cellStyle name="_2003-11 JEV Bitstream_Zakelijk DSL Model 20100416_v1.1_inclusief XS4ALL" xfId="122"/>
    <cellStyle name="_2003-11 JEV Bitstream_Zakelijk Glas Stedelijk_2010_v0.1 test PB" xfId="123"/>
    <cellStyle name="_2003-11 JEV Bitstream_ZM IS Data Tarievenboek 2010-03-11" xfId="124"/>
    <cellStyle name="_2005 JP Actief v8.xls" xfId="125"/>
    <cellStyle name="_2005 JP Actief v8.xls 2" xfId="126"/>
    <cellStyle name="_2005 JP Actief v8.xls 3" xfId="1120"/>
    <cellStyle name="_2005 JP Actief v8.xls_ND5 squeeze model  whs-whs v2.21 DWDM ILL" xfId="1121"/>
    <cellStyle name="_2006 Revenue Forecast v20b" xfId="1122"/>
    <cellStyle name="_20061112 FTE Finaal overzicht" xfId="1123"/>
    <cellStyle name="_2007-09-26 JEV2007-BP2008-2010 ambitie 18 sept bottom up" xfId="1124"/>
    <cellStyle name="_2007-09-26 JEV2007-BP2008-2010 ambitie 18 sept bottom up 2" xfId="1125"/>
    <cellStyle name="_2007-09-26 JEV2007-BP2008-2010 ambitie 18 sept bottom up_Blad2" xfId="1126"/>
    <cellStyle name="_2007-09-26 JEV2007-BP2008-2010 ambitie 18 sept bottom up_Blad2 2" xfId="1127"/>
    <cellStyle name="_2007-09-26 JEV2007-BP2008-2010 ambitie 18 sept bottom up_Blad2_JP2011" xfId="1128"/>
    <cellStyle name="_2007-09-26 JEV2007-BP2008-2010 ambitie 18 sept bottom up_JP2011" xfId="1129"/>
    <cellStyle name="_2007-09-26 JEV2007-BP2008-2010 ambitie 18 sept bottom up_Model Plan 2012" xfId="1130"/>
    <cellStyle name="_2007-10-16 BP model v35" xfId="1131"/>
    <cellStyle name="_2007-10-16 BP model v35 2" xfId="1132"/>
    <cellStyle name="_2007-10-16 BP model v35_Blad2" xfId="1133"/>
    <cellStyle name="_2007-10-16 BP model v35_Blad2 2" xfId="1134"/>
    <cellStyle name="_2007-10-16 BP model v35_Blad2_JP2011" xfId="1135"/>
    <cellStyle name="_2007-10-16 BP model v35_JP2011" xfId="1136"/>
    <cellStyle name="_2007-10-16 BP model v35_Model Plan 2012" xfId="1137"/>
    <cellStyle name="_2007-10-19 therese" xfId="1138"/>
    <cellStyle name="_2007-10-19 therese 2" xfId="1139"/>
    <cellStyle name="_2007-10-19 therese_Blad2" xfId="1140"/>
    <cellStyle name="_2007-10-19 therese_Blad2 2" xfId="1141"/>
    <cellStyle name="_2007-10-19 therese_Blad2_JP2011" xfId="1142"/>
    <cellStyle name="_2007-10-19 therese_JP2011" xfId="1143"/>
    <cellStyle name="_2007-10-19 therese_Model Plan 2012" xfId="1144"/>
    <cellStyle name="_20071024 CS TVW_6" xfId="1145"/>
    <cellStyle name="_20071024 CS TVW_6 2" xfId="1146"/>
    <cellStyle name="_20071024 CS TVW_6_Blad2" xfId="1147"/>
    <cellStyle name="_20071024 CS TVW_6_Blad2 2" xfId="1148"/>
    <cellStyle name="_20071024 CS TVW_6_Blad2_JP2011" xfId="1149"/>
    <cellStyle name="_20071024 CS TVW_6_JP2011" xfId="1150"/>
    <cellStyle name="_20071024 CS TVW_6_Model Plan 2012" xfId="1151"/>
    <cellStyle name="_20071025 CS - Two P&amp;Ls" xfId="1152"/>
    <cellStyle name="_20071025 CS - Two P&amp;Ls 2" xfId="1153"/>
    <cellStyle name="_20071025 CS - Two P&amp;Ls_Blad2" xfId="1154"/>
    <cellStyle name="_20071025 CS - Two P&amp;Ls_Blad2 2" xfId="1155"/>
    <cellStyle name="_20071025 CS - Two P&amp;Ls_Blad2_JP2011" xfId="1156"/>
    <cellStyle name="_20071025 CS - Two P&amp;Ls_JP2011" xfId="1157"/>
    <cellStyle name="_20071025 CS - Two P&amp;Ls_Model Plan 2012" xfId="1158"/>
    <cellStyle name="_200711 CS Verrekening - TC aanrekening - cijfers okt (doc v1.0)" xfId="1159"/>
    <cellStyle name="_200711 CS Verrekening - TC aanrekening - cijfers okt (doc v1.0) 2" xfId="1160"/>
    <cellStyle name="_200711 CS Verrekening - TC aanrekening - cijfers okt (doc v1.0)_Blad2" xfId="1161"/>
    <cellStyle name="_200711 CS Verrekening - TC aanrekening - cijfers okt (doc v1.0)_Blad2 2" xfId="1162"/>
    <cellStyle name="_200711 CS Verrekening - TC aanrekening - cijfers okt (doc v1.0)_Blad2_JP2011" xfId="1163"/>
    <cellStyle name="_200711 CS Verrekening - TC aanrekening - cijfers okt (doc v1.0)_JP2011" xfId="1164"/>
    <cellStyle name="_200711 CS Verrekening - TC aanrekening - cijfers okt (doc v1.0)_Model Plan 2012" xfId="1165"/>
    <cellStyle name="_20071110 ECS offertetool data v10 - Incl top20 " xfId="1166"/>
    <cellStyle name="_2007-11-30 Restated P&amp;Ls v19" xfId="1167"/>
    <cellStyle name="_2007-12-04 One Kosten analyse (doc v1.2)" xfId="1168"/>
    <cellStyle name="_2008 07 28_Template _ICT vs  CS versie 1.0" xfId="1169"/>
    <cellStyle name="_2008 07 28_Template _ICT vs  CS versie 1.0 2" xfId="1170"/>
    <cellStyle name="_2008 07 28_Template _IS vs  ICT versie 1.0" xfId="1171"/>
    <cellStyle name="_2008 07 28_Template _IS vs  ICT versie 1.0 2" xfId="1172"/>
    <cellStyle name="_2008 Budget Southern Region V1" xfId="1173"/>
    <cellStyle name="_2008 Budget Southern Region V1_ManInput" xfId="1174"/>
    <cellStyle name="_2008 Budget Southern Region V1_Risks" xfId="1175"/>
    <cellStyle name="_2008 Budget Southern Region V1_Sheet1" xfId="1176"/>
    <cellStyle name="_20080402 Omzet Businessplan CUs 05072007 van Jer Burcksen" xfId="1177"/>
    <cellStyle name="_27022007 match Rabobank vs KPN" xfId="1178"/>
    <cellStyle name="_27022007 match Rabobank vs KPN (Freijzer&amp;kees 14-mrt)" xfId="1179"/>
    <cellStyle name="_3-31 portfolio go-to-mkt sent to dave 092702" xfId="127"/>
    <cellStyle name="_3-31 portfolio go-to-mkt sent to dave 092702 2" xfId="128"/>
    <cellStyle name="_3-31 portfolio go-to-mkt sent to dave 092702 3" xfId="1180"/>
    <cellStyle name="_3-31 portfolio go-to-mkt sent to dave 092702_ND5 squeeze model  whs-whs v2.21 DWDM ILL" xfId="1181"/>
    <cellStyle name="_8 7 with PC final GPS PC and SF Restructure2" xfId="129"/>
    <cellStyle name="_8 7 with PC final GPS PC and SF Restructure2 2" xfId="130"/>
    <cellStyle name="_8 7 with PC final GPS PC and SF Restructure2 3" xfId="1182"/>
    <cellStyle name="_8 7 with PC final GPS PC and SF Restructure2_ND5 squeeze model  whs-whs v2.21 DWDM ILL" xfId="1183"/>
    <cellStyle name="_A&amp;L - 08 LW v1" xfId="1184"/>
    <cellStyle name="_AA" xfId="131"/>
    <cellStyle name="_AA 2" xfId="132"/>
    <cellStyle name="_AA 3" xfId="1185"/>
    <cellStyle name="_AA_ND5 squeeze model  whs-whs v2.21 DWDM ILL" xfId="1186"/>
    <cellStyle name="_Aansluitingen BM-Renald-jan06" xfId="133"/>
    <cellStyle name="_Aansluitingen BM-Renald-jan06 2" xfId="134"/>
    <cellStyle name="_Aansluitingen BM-Renald-jan06 3" xfId="1187"/>
    <cellStyle name="_Aansluitingen BM-Renald-jan06_Blad2" xfId="1188"/>
    <cellStyle name="_Aansluitingen BM-Renald-jan06_Blad2 2" xfId="1189"/>
    <cellStyle name="_Aansluitingen BM-Renald-jan06_Blad2_JP2011" xfId="1190"/>
    <cellStyle name="_Aansluitingen BM-Renald-jan06_JP2011" xfId="1191"/>
    <cellStyle name="_Aansluitingen BM-Renald-jan06_Model Plan 2012" xfId="1192"/>
    <cellStyle name="_Aansluitingen BM-Renald-jan06_ND5 squeeze model  whs-whs v2.21 DWDM ILL" xfId="1193"/>
    <cellStyle name="_Aansluitingen BM-Renald-jun05" xfId="135"/>
    <cellStyle name="_Aansluitingen BM-Renald-jun05 2" xfId="136"/>
    <cellStyle name="_Aansluitingen BM-Renald-jun05 3" xfId="1194"/>
    <cellStyle name="_Aansluitingen BM-Renald-jun05_Blad2" xfId="1195"/>
    <cellStyle name="_Aansluitingen BM-Renald-jun05_Blad2 2" xfId="1196"/>
    <cellStyle name="_Aansluitingen BM-Renald-jun05_Blad2_JP2011" xfId="1197"/>
    <cellStyle name="_Aansluitingen BM-Renald-jun05_JP2011" xfId="1198"/>
    <cellStyle name="_Aansluitingen BM-Renald-jun05_Model Plan 2012" xfId="1199"/>
    <cellStyle name="_Aansluitingen BM-Renald-jun05_ND5 squeeze model  whs-whs v2.21 DWDM ILL" xfId="1200"/>
    <cellStyle name="_Aansluitingen ZM-Renald-jan06" xfId="137"/>
    <cellStyle name="_Aansluitingen ZM-Renald-jan06 2" xfId="138"/>
    <cellStyle name="_Aansluitingen ZM-Renald-jan06 3" xfId="1201"/>
    <cellStyle name="_Aansluitingen ZM-Renald-jan06_Blad2" xfId="1202"/>
    <cellStyle name="_Aansluitingen ZM-Renald-jan06_Blad2 2" xfId="1203"/>
    <cellStyle name="_Aansluitingen ZM-Renald-jan06_Blad2_JP2011" xfId="1204"/>
    <cellStyle name="_Aansluitingen ZM-Renald-jan06_JP2011" xfId="1205"/>
    <cellStyle name="_Aansluitingen ZM-Renald-jan06_Model Plan 2012" xfId="1206"/>
    <cellStyle name="_Aansluitingen ZM-Renald-jan06_ND5 squeeze model  whs-whs v2.21 DWDM ILL" xfId="1207"/>
    <cellStyle name="_afstemming WO- PFM VOICE ZM vp 248 JEV apr07" xfId="139"/>
    <cellStyle name="_All_IP topology vs14-01" xfId="1208"/>
    <cellStyle name="_Alliance Budget 2008 values version 3. 0" xfId="1209"/>
    <cellStyle name="_Alliance Budget 2008 values version 3. 0_ManInput" xfId="1210"/>
    <cellStyle name="_Alliance Budget 2008 values version 3. 0_Risks" xfId="1211"/>
    <cellStyle name="_Alliance Budget 2008 values version 3. 0_Sheet1" xfId="1212"/>
    <cellStyle name="_Alliance Budget 2008 values version 4.0" xfId="1213"/>
    <cellStyle name="_AMS Business plan 2006" xfId="1214"/>
    <cellStyle name="_Analyse IC's apr 2006 concept" xfId="140"/>
    <cellStyle name="_Analyse IC's apr 2006 concept 2" xfId="141"/>
    <cellStyle name="_Analyse IC's apr 2006 concept 3" xfId="1215"/>
    <cellStyle name="_Analyse IC's apr 2006 concept_ND5 squeeze model  whs-whs v2.21 DWDM ILL" xfId="1216"/>
    <cellStyle name="_Analyse IC's feb 2006" xfId="142"/>
    <cellStyle name="_Analyse IC's feb 2006 2" xfId="143"/>
    <cellStyle name="_Analyse IC's feb 2006 3" xfId="1217"/>
    <cellStyle name="_Analyse IC's feb 2006_ND5 squeeze model  whs-whs v2.21 DWDM ILL" xfId="1218"/>
    <cellStyle name="_Analyse IC's Jan 2006" xfId="144"/>
    <cellStyle name="_Analyse IC's Jan 2006 2" xfId="145"/>
    <cellStyle name="_Analyse IC's Jan 2006 3" xfId="1219"/>
    <cellStyle name="_Analyse IC's Jan 2006_20080530 Consolidatie Businessplan v12" xfId="1220"/>
    <cellStyle name="_Analyse IC's Jan 2006_20080530 Consolidatie Businessplan v12 2" xfId="1221"/>
    <cellStyle name="_Analyse IC's Jan 2006_20080530 Consolidatie Businessplan v12_Blad2" xfId="1222"/>
    <cellStyle name="_Analyse IC's Jan 2006_20080530 Consolidatie Businessplan v12_Blad2 2" xfId="1223"/>
    <cellStyle name="_Analyse IC's Jan 2006_20080530 Consolidatie Businessplan v12_Blad2_JP2011" xfId="1224"/>
    <cellStyle name="_Analyse IC's Jan 2006_20080530 Consolidatie Businessplan v12_JP2011" xfId="1225"/>
    <cellStyle name="_Analyse IC's Jan 2006_20080530 Consolidatie Businessplan v12_Model Plan 2012" xfId="1226"/>
    <cellStyle name="_Analyse IC's Jan 2006_20080605 Consolidatie Businessplan v15" xfId="1227"/>
    <cellStyle name="_Analyse IC's Jan 2006_20080605 Consolidatie Businessplan v15 2" xfId="1228"/>
    <cellStyle name="_Analyse IC's Jan 2006_20080605 Consolidatie Businessplan v15_Blad2" xfId="1229"/>
    <cellStyle name="_Analyse IC's Jan 2006_20080605 Consolidatie Businessplan v15_Blad2 2" xfId="1230"/>
    <cellStyle name="_Analyse IC's Jan 2006_20080605 Consolidatie Businessplan v15_Blad2_JP2011" xfId="1231"/>
    <cellStyle name="_Analyse IC's Jan 2006_20080605 Consolidatie Businessplan v15_JP2011" xfId="1232"/>
    <cellStyle name="_Analyse IC's Jan 2006_20080605 Consolidatie Businessplan v15_Model Plan 2012" xfId="1233"/>
    <cellStyle name="_Analyse IC's Jan 2006_20080605 Consolidatie Businessplan v19" xfId="1234"/>
    <cellStyle name="_Analyse IC's Jan 2006_20080605 Consolidatie Businessplan v19 2" xfId="1235"/>
    <cellStyle name="_Analyse IC's Jan 2006_20080605 Consolidatie Businessplan v19_Blad2" xfId="1236"/>
    <cellStyle name="_Analyse IC's Jan 2006_20080605 Consolidatie Businessplan v19_Blad2 2" xfId="1237"/>
    <cellStyle name="_Analyse IC's Jan 2006_20080605 Consolidatie Businessplan v19_Blad2_JP2011" xfId="1238"/>
    <cellStyle name="_Analyse IC's Jan 2006_20080605 Consolidatie Businessplan v19_JP2011" xfId="1239"/>
    <cellStyle name="_Analyse IC's Jan 2006_20080605 Consolidatie Businessplan v19_Model Plan 2012" xfId="1240"/>
    <cellStyle name="_Analyse IC's Jan 2006_Blad2" xfId="1241"/>
    <cellStyle name="_Analyse IC's Jan 2006_Blad2 2" xfId="1242"/>
    <cellStyle name="_Analyse IC's Jan 2006_Blad2_JP2011" xfId="1243"/>
    <cellStyle name="_Analyse IC's Jan 2006_JP2011" xfId="1244"/>
    <cellStyle name="_Analyse IC's Jan 2006_Model Plan 2012" xfId="1245"/>
    <cellStyle name="_Analyse IC's Jan 2006_ND5 squeeze model  whs-whs v2.21 DWDM ILL" xfId="1246"/>
    <cellStyle name="_Analyse IC's mrt 20061" xfId="146"/>
    <cellStyle name="_Analyse IC's mrt 20061 2" xfId="147"/>
    <cellStyle name="_Analyse IC's mrt 20061 3" xfId="1247"/>
    <cellStyle name="_Analyse IC's mrt 20061_ND5 squeeze model  whs-whs v2.21 DWDM ILL" xfId="1248"/>
    <cellStyle name="_ATS_V03" xfId="148"/>
    <cellStyle name="_ATS_V03 2" xfId="149"/>
    <cellStyle name="_ATS_V03 3" xfId="1249"/>
    <cellStyle name="_ATS_V03_ND5 squeeze model  whs-whs v2.21 DWDM ILL" xfId="1250"/>
    <cellStyle name="_Baan jan" xfId="150"/>
    <cellStyle name="_Baan jan 2" xfId="151"/>
    <cellStyle name="_Baan jan 3" xfId="1251"/>
    <cellStyle name="_Baan jan_ND5 squeeze model  whs-whs v2.21 DWDM ILL" xfId="1252"/>
    <cellStyle name="_Barclays consolidated reporting pack summary 2006 close" xfId="1253"/>
    <cellStyle name="_Barclays forecast fc6 v2" xfId="1254"/>
    <cellStyle name="_Barclays Management Pack April 2007 V3" xfId="1255"/>
    <cellStyle name="_Barclays only - 20 Feb (2)" xfId="1256"/>
    <cellStyle name="_Barclays PL review - Jul 07 v FC8v2 5 re-structure" xfId="1257"/>
    <cellStyle name="_Barclays PL review - May 07 v 13" xfId="1258"/>
    <cellStyle name="_Barclays PL review - May 07 v FC7v2.3 Final" xfId="1259"/>
    <cellStyle name="_barclays Tracker" xfId="1260"/>
    <cellStyle name="_BBNED orderfomulier uitgave 2 6 (2)" xfId="1261"/>
    <cellStyle name="_BBSC + P&amp;L BU CS juni 2004 conc" xfId="1262"/>
    <cellStyle name="_BBSC + P&amp;L BU CS juni 2004 conc 2" xfId="1263"/>
    <cellStyle name="_BBSC + P&amp;L BU CS juni 2004 conc_FC categoraal" xfId="1264"/>
    <cellStyle name="_BBSC + P&amp;L BU CS juni 2004 conc_GDC nieuwe pfc cc jan  2011 v4" xfId="1265"/>
    <cellStyle name="_BBSC + P&amp;L BU CS juni 2004 conc_JP2011" xfId="1266"/>
    <cellStyle name="_BBSC + P&amp;L BU CS juni 2004 conc_JP2011 2" xfId="1267"/>
    <cellStyle name="_BBSC + P&amp;L BU CS juni 2004 conc_JP2011_1" xfId="1268"/>
    <cellStyle name="_BBSC + P&amp;L BU CS juni 2004 conc_Preclosing" xfId="1269"/>
    <cellStyle name="_BBSC + P&amp;L BU CS juni 2004 conc_Preclosing 2" xfId="1270"/>
    <cellStyle name="_BBSC + P&amp;L BU CS juni 2004 conc_Preclosing jan11" xfId="1271"/>
    <cellStyle name="_BBSC + P&amp;L BU CS juni 2004 conc_Preclosing_1" xfId="1272"/>
    <cellStyle name="_BBSC + P&amp;L BU CS juni 2004 conc_Preclosing_2" xfId="1273"/>
    <cellStyle name="_BBSC + P&amp;L BU CS juni 2004 conc_Preclosing_3" xfId="1274"/>
    <cellStyle name="_BBSC + P&amp;L BU CS juni 2004 conc_Preclosing_FC categoraal" xfId="1275"/>
    <cellStyle name="_BBSC + P&amp;L BU CS juni 2004 conc_Sheet1" xfId="1276"/>
    <cellStyle name="_BBSC + P&amp;L BU CS juni 2004 conc_Sheet1_1" xfId="1277"/>
    <cellStyle name="_BBSC + P&amp;L BU CS juni 2004 conc_Sheet1_1 2" xfId="1278"/>
    <cellStyle name="_BBSC + P&amp;L BU CS juni 2004 conc_Sheet1_1_FC categoraal" xfId="1279"/>
    <cellStyle name="_BBSC + P&amp;L BU CS juni 2004 conc_Sheet1_2" xfId="1280"/>
    <cellStyle name="_BBSC + P&amp;L BU CS juni 2004 conc_Sheet1_2 2" xfId="1281"/>
    <cellStyle name="_BBSC + P&amp;L BU CS juni 2004 conc_Sheet2" xfId="1282"/>
    <cellStyle name="_BBSC COMMERCIE en CHANGE Operations 2006 feb" xfId="1283"/>
    <cellStyle name="_BBSC contract Entercom 2005 Operations" xfId="1284"/>
    <cellStyle name="_BBSC Core ML mei '05_v1" xfId="152"/>
    <cellStyle name="_BBSC Core ML mei '05_v1 2" xfId="153"/>
    <cellStyle name="_BBSC Core ML mei '05_v1 3" xfId="1285"/>
    <cellStyle name="_BBSC Core ML mei '05_v1_ND5 squeeze model  whs-whs v2.21 DWDM ILL" xfId="1286"/>
    <cellStyle name="_BBSC DirectInternet 2003" xfId="154"/>
    <cellStyle name="_BBSC DirectInternet 2003 2" xfId="1287"/>
    <cellStyle name="_BBSC Operations 2006 feb" xfId="1288"/>
    <cellStyle name="_BBSC Operations 2006 jan" xfId="1289"/>
    <cellStyle name="_BBSC PfM 2005" xfId="1290"/>
    <cellStyle name="_BBSC Poelman 020304" xfId="1291"/>
    <cellStyle name="_BBSC Poelman 020304_090909 GTN - ZM master_update-GTN" xfId="1292"/>
    <cellStyle name="_BBSC Poelman 020304_Blad1" xfId="1293"/>
    <cellStyle name="_BBSC Poelman 020304_Blad1 2" xfId="1294"/>
    <cellStyle name="_BBSC Poelman 020304_Blad1_Blad2" xfId="1295"/>
    <cellStyle name="_BBSC Poelman 020304_Blad1_Blad2 2" xfId="1296"/>
    <cellStyle name="_BBSC Poelman 020304_Blad1_Blad2_JP2011" xfId="1297"/>
    <cellStyle name="_BBSC Poelman 020304_Blad1_JP2011" xfId="1298"/>
    <cellStyle name="_BBSC Poelman 020304_Blad1_Menucard_Staff_Master_2010-09-12" xfId="1299"/>
    <cellStyle name="_BBSC Poelman 020304_Blad1_Model Plan 2012" xfId="1300"/>
    <cellStyle name="_BBSC Poelman 020304_Menucard_Staff_Master_2010-09-12" xfId="1301"/>
    <cellStyle name="_BBSC TM 2005" xfId="1302"/>
    <cellStyle name="_BBSC TM 2005_090909 GTN - ZM master_update-GTN" xfId="1303"/>
    <cellStyle name="_BBSC TM 2005_Blad1" xfId="1304"/>
    <cellStyle name="_BBSC TM 2005_Blad1 2" xfId="1305"/>
    <cellStyle name="_BBSC TM 2005_Blad1_Blad2" xfId="1306"/>
    <cellStyle name="_BBSC TM 2005_Blad1_Blad2 2" xfId="1307"/>
    <cellStyle name="_BBSC TM 2005_Blad1_Blad2_JP2011" xfId="1308"/>
    <cellStyle name="_BBSC TM 2005_Blad1_JP2011" xfId="1309"/>
    <cellStyle name="_BBSC TM 2005_Blad1_Menucard_Staff_Master_2010-09-12" xfId="1310"/>
    <cellStyle name="_BBSC TM 2005_Blad1_Model Plan 2012" xfId="1311"/>
    <cellStyle name="_BBSC TM 2005_Menucard_Staff_Master_2010-09-12" xfId="1312"/>
    <cellStyle name="_BBSC UC 2005 concept 28 apr" xfId="1313"/>
    <cellStyle name="_bbscCC2_CableCom2003o1" xfId="1314"/>
    <cellStyle name="_bbscCC2_CableCom2003o1_090909 GTN - ZM master_update-GTN" xfId="1315"/>
    <cellStyle name="_bbscCC2_CableCom2003o1_Blad1" xfId="1316"/>
    <cellStyle name="_bbscCC2_CableCom2003o1_Blad1 2" xfId="1317"/>
    <cellStyle name="_bbscCC2_CableCom2003o1_Blad1_Blad2" xfId="1318"/>
    <cellStyle name="_bbscCC2_CableCom2003o1_Blad1_Blad2 2" xfId="1319"/>
    <cellStyle name="_bbscCC2_CableCom2003o1_Blad1_Blad2_JP2011" xfId="1320"/>
    <cellStyle name="_bbscCC2_CableCom2003o1_Blad1_JP2011" xfId="1321"/>
    <cellStyle name="_bbscCC2_CableCom2003o1_Blad1_Menucard_Staff_Master_2010-09-12" xfId="1322"/>
    <cellStyle name="_bbscCC2_CableCom2003o1_Blad1_Model Plan 2012" xfId="1323"/>
    <cellStyle name="_bbscCC2_CableCom2003o1_Menucard_Staff_Master_2010-09-12" xfId="1324"/>
    <cellStyle name="_bbscGZM1_BBSC GZM 2003 versie  21-1-20031" xfId="1325"/>
    <cellStyle name="_bbscGZM1_BBSC GZM 2003 versie  21-1-20031_090909 GTN - ZM master_update-GTN" xfId="1326"/>
    <cellStyle name="_bbscGZM1_BBSC GZM 2003 versie  21-1-20031_Blad1" xfId="1327"/>
    <cellStyle name="_bbscGZM1_BBSC GZM 2003 versie  21-1-20031_Blad1 2" xfId="1328"/>
    <cellStyle name="_bbscGZM1_BBSC GZM 2003 versie  21-1-20031_Blad1_Blad2" xfId="1329"/>
    <cellStyle name="_bbscGZM1_BBSC GZM 2003 versie  21-1-20031_Blad1_Blad2 2" xfId="1330"/>
    <cellStyle name="_bbscGZM1_BBSC GZM 2003 versie  21-1-20031_Blad1_Blad2_JP2011" xfId="1331"/>
    <cellStyle name="_bbscGZM1_BBSC GZM 2003 versie  21-1-20031_Blad1_JP2011" xfId="1332"/>
    <cellStyle name="_bbscGZM1_BBSC GZM 2003 versie  21-1-20031_Blad1_Menucard_Staff_Master_2010-09-12" xfId="1333"/>
    <cellStyle name="_bbscGZM1_BBSC GZM 2003 versie  21-1-20031_Blad1_Model Plan 2012" xfId="1334"/>
    <cellStyle name="_bbscGZM1_BBSC GZM 2003 versie  21-1-20031_Menucard_Staff_Master_2010-09-12" xfId="1335"/>
    <cellStyle name="_bbscKES1_BBSC KES 2003 v 220103" xfId="1336"/>
    <cellStyle name="_bbscKES1_BBSC KES 2003 v 220103_090909 GTN - ZM master_update-GTN" xfId="1337"/>
    <cellStyle name="_bbscKES1_BBSC KES 2003 v 220103_Blad1" xfId="1338"/>
    <cellStyle name="_bbscKES1_BBSC KES 2003 v 220103_Blad1 2" xfId="1339"/>
    <cellStyle name="_bbscKES1_BBSC KES 2003 v 220103_Blad1_Blad2" xfId="1340"/>
    <cellStyle name="_bbscKES1_BBSC KES 2003 v 220103_Blad1_Blad2 2" xfId="1341"/>
    <cellStyle name="_bbscKES1_BBSC KES 2003 v 220103_Blad1_Blad2_JP2011" xfId="1342"/>
    <cellStyle name="_bbscKES1_BBSC KES 2003 v 220103_Blad1_JP2011" xfId="1343"/>
    <cellStyle name="_bbscKES1_BBSC KES 2003 v 220103_Blad1_Menucard_Staff_Master_2010-09-12" xfId="1344"/>
    <cellStyle name="_bbscKES1_BBSC KES 2003 v 220103_Blad1_Model Plan 2012" xfId="1345"/>
    <cellStyle name="_bbscKES1_BBSC KES 2003 v 220103_Menucard_Staff_Master_2010-09-12" xfId="1346"/>
    <cellStyle name="_bbscMKB1_Balanced Scorecard BL VOICE MKB 2003" xfId="1347"/>
    <cellStyle name="_bbscMKB1_Balanced Scorecard BL VOICE MKB 2003_090909 GTN - ZM master_update-GTN" xfId="1348"/>
    <cellStyle name="_bbscMKB1_Balanced Scorecard BL VOICE MKB 2003_Blad1" xfId="1349"/>
    <cellStyle name="_bbscMKB1_Balanced Scorecard BL VOICE MKB 2003_Blad1 2" xfId="1350"/>
    <cellStyle name="_bbscMKB1_Balanced Scorecard BL VOICE MKB 2003_Blad1_Blad2" xfId="1351"/>
    <cellStyle name="_bbscMKB1_Balanced Scorecard BL VOICE MKB 2003_Blad1_Blad2 2" xfId="1352"/>
    <cellStyle name="_bbscMKB1_Balanced Scorecard BL VOICE MKB 2003_Blad1_Blad2_JP2011" xfId="1353"/>
    <cellStyle name="_bbscMKB1_Balanced Scorecard BL VOICE MKB 2003_Blad1_JP2011" xfId="1354"/>
    <cellStyle name="_bbscMKB1_Balanced Scorecard BL VOICE MKB 2003_Blad1_Menucard_Staff_Master_2010-09-12" xfId="1355"/>
    <cellStyle name="_bbscMKB1_Balanced Scorecard BL VOICE MKB 2003_Blad1_Model Plan 2012" xfId="1356"/>
    <cellStyle name="_bbscMKB1_Balanced Scorecard BL VOICE MKB 2003_Menucard_Staff_Master_2010-09-12" xfId="1357"/>
    <cellStyle name="_bbscSP2_ Specials 2003 versie  04-02-2003" xfId="1358"/>
    <cellStyle name="_bbscSP2_ Specials 2003 versie  04-02-2003_090909 GTN - ZM master_update-GTN" xfId="1359"/>
    <cellStyle name="_bbscSP2_ Specials 2003 versie  04-02-2003_Blad1" xfId="1360"/>
    <cellStyle name="_bbscSP2_ Specials 2003 versie  04-02-2003_Blad1 2" xfId="1361"/>
    <cellStyle name="_bbscSP2_ Specials 2003 versie  04-02-2003_Blad1_Blad2" xfId="1362"/>
    <cellStyle name="_bbscSP2_ Specials 2003 versie  04-02-2003_Blad1_Blad2 2" xfId="1363"/>
    <cellStyle name="_bbscSP2_ Specials 2003 versie  04-02-2003_Blad1_Blad2_JP2011" xfId="1364"/>
    <cellStyle name="_bbscSP2_ Specials 2003 versie  04-02-2003_Blad1_JP2011" xfId="1365"/>
    <cellStyle name="_bbscSP2_ Specials 2003 versie  04-02-2003_Blad1_Menucard_Staff_Master_2010-09-12" xfId="1366"/>
    <cellStyle name="_bbscSP2_ Specials 2003 versie  04-02-2003_Blad1_Model Plan 2012" xfId="1367"/>
    <cellStyle name="_bbscSP2_ Specials 2003 versie  04-02-2003_Menucard_Staff_Master_2010-09-12" xfId="1368"/>
    <cellStyle name="_bbscTM2" xfId="1369"/>
    <cellStyle name="_bbscTM2_090909 GTN - ZM master_update-GTN" xfId="1370"/>
    <cellStyle name="_bbscTM2_Blad1" xfId="1371"/>
    <cellStyle name="_bbscTM2_Blad1 2" xfId="1372"/>
    <cellStyle name="_bbscTM2_Blad1_Blad2" xfId="1373"/>
    <cellStyle name="_bbscTM2_Blad1_Blad2 2" xfId="1374"/>
    <cellStyle name="_bbscTM2_Blad1_Blad2_JP2011" xfId="1375"/>
    <cellStyle name="_bbscTM2_Blad1_JP2011" xfId="1376"/>
    <cellStyle name="_bbscTM2_Blad1_Menucard_Staff_Master_2010-09-12" xfId="1377"/>
    <cellStyle name="_bbscTM2_Blad1_Model Plan 2012" xfId="1378"/>
    <cellStyle name="_bbscTM2_Menucard_Staff_Master_2010-09-12" xfId="1379"/>
    <cellStyle name="_BC Format v2" xfId="1380"/>
    <cellStyle name="_BC tool ONE 3 44" xfId="155"/>
    <cellStyle name="_BC tool ONE 3 44 2" xfId="1381"/>
    <cellStyle name="_BC tool ONE 3 44 2 2" xfId="1382"/>
    <cellStyle name="_BC Wanadoo briefing Eelco Blok" xfId="156"/>
    <cellStyle name="_BC Wanadoo briefing Eelco Blok_EVPN Model_20102601_v0.1" xfId="157"/>
    <cellStyle name="_BC Wanadoo briefing Eelco Blok_ND5 squeeze model  whs-whs v2.21 DWDM ILL" xfId="1383"/>
    <cellStyle name="_BC Wanadoo briefing Eelco Blok_ZM IS Data Tarievenboek 2010-03-11" xfId="158"/>
    <cellStyle name="_BC-model koop versie 2 behorend bij ppt V3 6 obv bouwforecast" xfId="1384"/>
    <cellStyle name="_BEGIN_001" xfId="159"/>
    <cellStyle name="_BEGIN_001 2" xfId="160"/>
    <cellStyle name="_BEGIN_001 3" xfId="1385"/>
    <cellStyle name="_BEGIN_001_ND5 squeeze model  whs-whs v2.21 DWDM ILL" xfId="1386"/>
    <cellStyle name="_Bijlage 3-12" xfId="1387"/>
    <cellStyle name="_Bijlage 3-12_090909 GTN - ZM master_update-GTN" xfId="1388"/>
    <cellStyle name="_Bijlage 3-12_Blad1" xfId="1389"/>
    <cellStyle name="_Bijlage 3-12_Blad1 2" xfId="1390"/>
    <cellStyle name="_Bijlage 3-12_Blad1_Blad2" xfId="1391"/>
    <cellStyle name="_Bijlage 3-12_Blad1_Blad2 2" xfId="1392"/>
    <cellStyle name="_Bijlage 3-12_Blad1_Blad2_JP2011" xfId="1393"/>
    <cellStyle name="_Bijlage 3-12_Blad1_JP2011" xfId="1394"/>
    <cellStyle name="_Bijlage 3-12_Blad1_Menucard_Staff_Master_2010-09-12" xfId="1395"/>
    <cellStyle name="_Bijlage 3-12_Blad1_Model Plan 2012" xfId="1396"/>
    <cellStyle name="_Bijlage 3-12_Menucard_Staff_Master_2010-09-12" xfId="1397"/>
    <cellStyle name="_Bijlage 8 Informatieprofiel versie 0.21" xfId="1398"/>
    <cellStyle name="_Bijlage 8 Informatieprofiel versie 0.21 2" xfId="1399"/>
    <cellStyle name="_Bijlage 8 Informatieprofiel versie 0.21_FC categoraal" xfId="1400"/>
    <cellStyle name="_Bijlage 8 Informatieprofiel versie 0.21_GDC nieuwe pfc cc jan  2011 v4" xfId="1401"/>
    <cellStyle name="_Bijlage 8 Informatieprofiel versie 0.21_JP2011" xfId="1402"/>
    <cellStyle name="_Bijlage 8 Informatieprofiel versie 0.21_JP2011 2" xfId="1403"/>
    <cellStyle name="_Bijlage 8 Informatieprofiel versie 0.21_JP2011_1" xfId="1404"/>
    <cellStyle name="_Bijlage 8 Informatieprofiel versie 0.21_Preclosing" xfId="1405"/>
    <cellStyle name="_Bijlage 8 Informatieprofiel versie 0.21_Preclosing 2" xfId="1406"/>
    <cellStyle name="_Bijlage 8 Informatieprofiel versie 0.21_Preclosing jan11" xfId="1407"/>
    <cellStyle name="_Bijlage 8 Informatieprofiel versie 0.21_Preclosing_1" xfId="1408"/>
    <cellStyle name="_Bijlage 8 Informatieprofiel versie 0.21_Preclosing_2" xfId="1409"/>
    <cellStyle name="_Bijlage 8 Informatieprofiel versie 0.21_Preclosing_3" xfId="1410"/>
    <cellStyle name="_Bijlage 8 Informatieprofiel versie 0.21_Preclosing_FC categoraal" xfId="1411"/>
    <cellStyle name="_Bijlage 8 Informatieprofiel versie 0.21_Sheet1" xfId="1412"/>
    <cellStyle name="_Bijlage 8 Informatieprofiel versie 0.21_Sheet1_1" xfId="1413"/>
    <cellStyle name="_Bijlage 8 Informatieprofiel versie 0.21_Sheet1_1 2" xfId="1414"/>
    <cellStyle name="_Bijlage 8 Informatieprofiel versie 0.21_Sheet1_1_FC categoraal" xfId="1415"/>
    <cellStyle name="_Bijlage 8 Informatieprofiel versie 0.21_Sheet1_2" xfId="1416"/>
    <cellStyle name="_Bijlage 8 Informatieprofiel versie 0.21_Sheet1_2 2" xfId="1417"/>
    <cellStyle name="_Bijlage 8 Informatieprofiel versie 0.21_Sheet2" xfId="1418"/>
    <cellStyle name="_Bijlage 8a Informatieprofiel BU CS Q2 20041" xfId="1419"/>
    <cellStyle name="_Bijlage 8a Informatieprofiel BU CS Q2 20041_Book2" xfId="1420"/>
    <cellStyle name="_Bijlage 8a Informatieprofiel BU CS Q2 20041_Book3" xfId="1421"/>
    <cellStyle name="_Bijlage 8a Informatieprofiel BU CS Q2 20041_ICS KPI" xfId="1422"/>
    <cellStyle name="_Blad1" xfId="1423"/>
    <cellStyle name="_Boeing - 08 V1" xfId="1424"/>
    <cellStyle name="_Book1" xfId="1425"/>
    <cellStyle name="_Book2" xfId="161"/>
    <cellStyle name="_Book2 2" xfId="162"/>
    <cellStyle name="_Book2 3" xfId="1426"/>
    <cellStyle name="_Book2_ND5 squeeze model  whs-whs v2.21 DWDM ILL" xfId="1427"/>
    <cellStyle name="_BOOKER - 08 TEMPLATE (2)_PST_November6th" xfId="1428"/>
    <cellStyle name="_Bottom Up Maart" xfId="163"/>
    <cellStyle name="_Bottom Up Maart 2" xfId="164"/>
    <cellStyle name="_Bottom Up Maart 3" xfId="1429"/>
    <cellStyle name="_Bottom Up Maart_20080530 Consolidatie Businessplan v12" xfId="1430"/>
    <cellStyle name="_Bottom Up Maart_20080530 Consolidatie Businessplan v12 2" xfId="1431"/>
    <cellStyle name="_Bottom Up Maart_20080530 Consolidatie Businessplan v12_Blad2" xfId="1432"/>
    <cellStyle name="_Bottom Up Maart_20080530 Consolidatie Businessplan v12_Blad2 2" xfId="1433"/>
    <cellStyle name="_Bottom Up Maart_20080530 Consolidatie Businessplan v12_Blad2_JP2011" xfId="1434"/>
    <cellStyle name="_Bottom Up Maart_20080530 Consolidatie Businessplan v12_JP2011" xfId="1435"/>
    <cellStyle name="_Bottom Up Maart_20080530 Consolidatie Businessplan v12_Model Plan 2012" xfId="1436"/>
    <cellStyle name="_Bottom Up Maart_20080605 Consolidatie Businessplan v15" xfId="1437"/>
    <cellStyle name="_Bottom Up Maart_20080605 Consolidatie Businessplan v15 2" xfId="1438"/>
    <cellStyle name="_Bottom Up Maart_20080605 Consolidatie Businessplan v15_Blad2" xfId="1439"/>
    <cellStyle name="_Bottom Up Maart_20080605 Consolidatie Businessplan v15_Blad2 2" xfId="1440"/>
    <cellStyle name="_Bottom Up Maart_20080605 Consolidatie Businessplan v15_Blad2_JP2011" xfId="1441"/>
    <cellStyle name="_Bottom Up Maart_20080605 Consolidatie Businessplan v15_JP2011" xfId="1442"/>
    <cellStyle name="_Bottom Up Maart_20080605 Consolidatie Businessplan v15_Model Plan 2012" xfId="1443"/>
    <cellStyle name="_Bottom Up Maart_20080605 Consolidatie Businessplan v19" xfId="1444"/>
    <cellStyle name="_Bottom Up Maart_20080605 Consolidatie Businessplan v19 2" xfId="1445"/>
    <cellStyle name="_Bottom Up Maart_20080605 Consolidatie Businessplan v19_Blad2" xfId="1446"/>
    <cellStyle name="_Bottom Up Maart_20080605 Consolidatie Businessplan v19_Blad2 2" xfId="1447"/>
    <cellStyle name="_Bottom Up Maart_20080605 Consolidatie Businessplan v19_Blad2_JP2011" xfId="1448"/>
    <cellStyle name="_Bottom Up Maart_20080605 Consolidatie Businessplan v19_JP2011" xfId="1449"/>
    <cellStyle name="_Bottom Up Maart_20080605 Consolidatie Businessplan v19_Model Plan 2012" xfId="1450"/>
    <cellStyle name="_Bottom Up Maart_Blad2" xfId="1451"/>
    <cellStyle name="_Bottom Up Maart_Blad2 2" xfId="1452"/>
    <cellStyle name="_Bottom Up Maart_Blad2_JP2011" xfId="1453"/>
    <cellStyle name="_Bottom Up Maart_JP2011" xfId="1454"/>
    <cellStyle name="_Bottom Up Maart_Model Plan 2012" xfId="1455"/>
    <cellStyle name="_Bottom Up Maart_ND5 squeeze model  whs-whs v2.21 DWDM ILL" xfId="1456"/>
    <cellStyle name="_BP 2007-2009 FTE + kosten BS OP (vs 2)" xfId="165"/>
    <cellStyle name="_BP 2007-2009 FTE + kosten BS OP (vs 2) 2" xfId="166"/>
    <cellStyle name="_BP 2007-2009 FTE + kosten BS OP (vs 2) 3" xfId="1457"/>
    <cellStyle name="_BP 2007-2009 FTE + kosten BS OP (vs 2)_ND5 squeeze model  whs-whs v2.21 DWDM ILL" xfId="1458"/>
    <cellStyle name="_BP 2007-2009 ronde 3     Inputblad FTE" xfId="167"/>
    <cellStyle name="_BP 2007-2009 Totaal overzicht WSO en NS 11-10-2006" xfId="168"/>
    <cellStyle name="_BP 2007-2009 Totaal overzicht WSO en NS 11-10-2006 2" xfId="169"/>
    <cellStyle name="_BP 2007-2009 Totaal overzicht WSO en NS 11-10-2006 3" xfId="1459"/>
    <cellStyle name="_BP 2007-2009 Totaal overzicht WSO en NS 11-10-2006_ND5 squeeze model  whs-whs v2.21 DWDM ILL" xfId="1460"/>
    <cellStyle name="_BP 2008-2010 invoersheet RE004 Voice Services Joost" xfId="1461"/>
    <cellStyle name="_BP 2008-2010 invoersheet RE004 Voice Services Joost 2" xfId="1462"/>
    <cellStyle name="_BP 2008-2010 invoersheet RE004 Voice Services Joost_Blad2" xfId="1463"/>
    <cellStyle name="_BP 2008-2010 invoersheet RE004 Voice Services Joost_Blad2 2" xfId="1464"/>
    <cellStyle name="_BP 2008-2010 invoersheet RE004 Voice Services Joost_Blad2_JP2011" xfId="1465"/>
    <cellStyle name="_BP 2008-2010 invoersheet RE004 Voice Services Joost_JP2011" xfId="1466"/>
    <cellStyle name="_BP 2008-2010 invoersheet RE004 Voice Services Joost_Model Plan 2012" xfId="1467"/>
    <cellStyle name="_BP Con 2005 concept" xfId="170"/>
    <cellStyle name="_BP Con 2005 concept 2" xfId="171"/>
    <cellStyle name="_BP Con 2005 concept 3" xfId="1468"/>
    <cellStyle name="_BP Con 2005 concept_ND5 squeeze model  whs-whs v2.21 DWDM ILL" xfId="1469"/>
    <cellStyle name="_BP ILL 2005-2007_v3" xfId="172"/>
    <cellStyle name="_BP ILL 2005-2007_v3 2" xfId="173"/>
    <cellStyle name="_BP ILL 2005-2007_v3 3" xfId="1470"/>
    <cellStyle name="_BP ILL 2005-2007_v3_ND5 squeeze model  whs-whs v2.21 DWDM ILL" xfId="1471"/>
    <cellStyle name="_BP ILL forecast 07-08-09 V0 2" xfId="174"/>
    <cellStyle name="_BP ILL forecast 07-08-09 V0 2_LPM PL 20101014 Concept" xfId="1472"/>
    <cellStyle name="_BP ILL forecast 07-08-09 V0 2_LPM PL 20101028 obv LRIC inkoop" xfId="1473"/>
    <cellStyle name="_BP ILL forecast 07-08-09 V0 2_ND5 squeeze model  whs-whs v2.21 DWDM ILL" xfId="1474"/>
    <cellStyle name="_BP ILL forecast 07-08-09 V0 3 (concept)" xfId="175"/>
    <cellStyle name="_BP ILL forecast 07-08-09 V0 3 (concept)_LPM PL 20101014 Concept" xfId="1475"/>
    <cellStyle name="_BP ILL forecast 07-08-09 V0 3 (concept)_LPM PL 20101028 obv LRIC inkoop" xfId="1476"/>
    <cellStyle name="_BP ILL forecast 07-08-09 V0 3 (concept)_ND5 squeeze model  whs-whs v2.21 DWDM ILL" xfId="1477"/>
    <cellStyle name="_BP Update-PFM VOice services-1jun06" xfId="176"/>
    <cellStyle name="_BP Update-PFM VOice services-1jun06 2" xfId="177"/>
    <cellStyle name="_BP Update-PFM VOice services-1jun06 3" xfId="1478"/>
    <cellStyle name="_BP Update-PFM VOice services-1jun06_ND5 squeeze model  whs-whs v2.21 DWDM ILL" xfId="1479"/>
    <cellStyle name="_BP2009V02 2008_05 29" xfId="1480"/>
    <cellStyle name="_BP2009V02 2008_05 29 2" xfId="1481"/>
    <cellStyle name="_BP2009V02 2008_05 29_Blad2" xfId="1482"/>
    <cellStyle name="_BP2009V02 2008_05 29_Blad2 2" xfId="1483"/>
    <cellStyle name="_BP2009V02 2008_05 29_Blad2_JP2011" xfId="1484"/>
    <cellStyle name="_BP2009V02 2008_05 29_JP2011" xfId="1485"/>
    <cellStyle name="_BP2009V02 2008_05 29_Model Plan 2012" xfId="1486"/>
    <cellStyle name="_BPR_Entity_July08_v3" xfId="1487"/>
    <cellStyle name="_BPR_Entity_July08_v3_Blad2" xfId="1488"/>
    <cellStyle name="_BPR_Entity_July08_v3_Blad2 2" xfId="1489"/>
    <cellStyle name="_BPR_Entity_July08_v3_Blad2_JP2011" xfId="1490"/>
    <cellStyle name="_BPR_Entity_July08_v3_Book2" xfId="1491"/>
    <cellStyle name="_BPR_Entity_July08_v3_Book3" xfId="1492"/>
    <cellStyle name="_BPR_Entity_July08_v3_Direct (Projects)" xfId="1493"/>
    <cellStyle name="_BPR_Entity_July08_v3_Excel sheets updated of strategy sessions  Rmc" xfId="1494"/>
    <cellStyle name="_BPR_Entity_July08_v3_ICS KPI" xfId="1495"/>
    <cellStyle name="_BPR_Entity_July08_v3_JP2011" xfId="1496"/>
    <cellStyle name="_BPR_Entity_July08_v3_JP2011 2" xfId="1497"/>
    <cellStyle name="_BPR_Entity_July08_v3_Model Plan 2012" xfId="1498"/>
    <cellStyle name="_BPR_Entity_July08_v3_Sheet1" xfId="1499"/>
    <cellStyle name="_BPR_Entity_July08_v3_Sheet1_Book2" xfId="1500"/>
    <cellStyle name="_BPR_Entity_July08_v3_Sheet1_Book3" xfId="1501"/>
    <cellStyle name="_BPR_Entity_July08_v3_Sheet1_ICS KPI" xfId="1502"/>
    <cellStyle name="_Britania BS - 08 V1" xfId="1503"/>
    <cellStyle name="_Brugstaat OLS" xfId="1504"/>
    <cellStyle name="_Brugstaat OLS 2" xfId="1505"/>
    <cellStyle name="_Brugstaat OLS_JP2011" xfId="1506"/>
    <cellStyle name="_brugstaat plan opex" xfId="178"/>
    <cellStyle name="_brugstaat plan opex 2" xfId="179"/>
    <cellStyle name="_brugstaat plan opex 3" xfId="1507"/>
    <cellStyle name="_brugstaat plan opex_ND5 squeeze model  whs-whs v2.21 DWDM ILL" xfId="1508"/>
    <cellStyle name="_BS JP 2007" xfId="180"/>
    <cellStyle name="_BS MPM totaalsheet November (06122006)(Final)" xfId="181"/>
    <cellStyle name="_BS_126014_MI_P12" xfId="1509"/>
    <cellStyle name="_BS_126014_MI_P12 2" xfId="1510"/>
    <cellStyle name="_BS_126014_MI_P12 3" xfId="1511"/>
    <cellStyle name="_BS_130504_spec 310308" xfId="1512"/>
    <cellStyle name="_BS_130504_spec 310308 2" xfId="1513"/>
    <cellStyle name="_BS_130504_spec 310308 3" xfId="1514"/>
    <cellStyle name="_BS_130504_VA NSDM_P11_ 2007" xfId="1515"/>
    <cellStyle name="_BS_130504_VA%20NSDM_P12_%202007(1)" xfId="1516"/>
    <cellStyle name="_BS_130504_VA%20NSDM_P12_%202007(1) 2" xfId="1517"/>
    <cellStyle name="_BS_130504_VA%20NSDM_P12_%202007(1) 3" xfId="1518"/>
    <cellStyle name="_Budgeted Vs Actuals - SOUTHERN REGION  V1" xfId="1519"/>
    <cellStyle name="_Budgeted Vs Actuals - SOUTHERN REGION  V2" xfId="1520"/>
    <cellStyle name="_Budgetverdeling_BC_2007_LE_SME_definitief_4dec06" xfId="1521"/>
    <cellStyle name="_Budgetverdeling_BC_2007_LE_SME_definitief_4dec06 2" xfId="1522"/>
    <cellStyle name="_Budgetverdeling_BC_2007_LE_SME_definitief_4dec06_Blad2" xfId="1523"/>
    <cellStyle name="_Budgetverdeling_BC_2007_LE_SME_definitief_4dec06_Blad2 2" xfId="1524"/>
    <cellStyle name="_Budgetverdeling_BC_2007_LE_SME_definitief_4dec06_Blad2_JP2011" xfId="1525"/>
    <cellStyle name="_Budgetverdeling_BC_2007_LE_SME_definitief_4dec06_JP2011" xfId="1526"/>
    <cellStyle name="_Budgetverdeling_BC_2007_LE_SME_definitief_4dec06_Model Plan 2012" xfId="1527"/>
    <cellStyle name="_Business case" xfId="1528"/>
    <cellStyle name="_Business case - forecast V1 7" xfId="1529"/>
    <cellStyle name="_Business case - forecast V7 8 RvB v2" xfId="1530"/>
    <cellStyle name="_Business case - forecast V7 9" xfId="1531"/>
    <cellStyle name="_business case CC Haarlem v2 0 huur" xfId="1532"/>
    <cellStyle name="_Business case Hosting Almere v4" xfId="1533"/>
    <cellStyle name="_Business case Hosting Almere v4 2" xfId="1534"/>
    <cellStyle name="_Business model KPN TV '08 - '10 - v08 concept" xfId="1535"/>
    <cellStyle name="_BusinessBalanced Scorecard MNS draft 2007" xfId="1536"/>
    <cellStyle name="_BusinessPlan 2007-2009 DVB-T + IP-TV" xfId="1537"/>
    <cellStyle name="_BusinessPlan DVB-T v15 value for money op 795" xfId="1538"/>
    <cellStyle name="_Busplan BS 07 0107 aantallen+WBA omzet" xfId="182"/>
    <cellStyle name="_Busplan BS 07 0107 aantallen+WBA omzet 2" xfId="183"/>
    <cellStyle name="_Busplan BS 07 0107 aantallen+WBA omzet 3" xfId="1539"/>
    <cellStyle name="_Busplan BS 07 0107 aantallen+WBA omzet_ND5 squeeze model  whs-whs v2.21 DWDM ILL" xfId="1540"/>
    <cellStyle name="_Calculatieblad_Opgaaf_Sectorv0 1" xfId="1541"/>
    <cellStyle name="_CAPEX JP 2003- BP 2004 in flying bricks" xfId="184"/>
    <cellStyle name="_CAPEX-jev q2 draft" xfId="1542"/>
    <cellStyle name="_CBI - 08 MATT ARNOLD update" xfId="1543"/>
    <cellStyle name="_CCAL versie 7 (5000m2)" xfId="1544"/>
    <cellStyle name="_CCS_P en L totaalsheet v10 25-08-2006" xfId="1545"/>
    <cellStyle name="_CCS_P en L totaalsheet v10 25-08-2006 2" xfId="1546"/>
    <cellStyle name="_CCS_P en L totaalsheet v10 25-08-2006_Blad2" xfId="1547"/>
    <cellStyle name="_CCS_P en L totaalsheet v10 25-08-2006_Blad2 2" xfId="1548"/>
    <cellStyle name="_CCS_P en L totaalsheet v10 25-08-2006_Blad2_JP2011" xfId="1549"/>
    <cellStyle name="_CCS_P en L totaalsheet v10 25-08-2006_JP2011" xfId="1550"/>
    <cellStyle name="_CCS_P en L totaalsheet v10 25-08-2006_Model Plan 2012" xfId="1551"/>
    <cellStyle name="_Check" xfId="1552"/>
    <cellStyle name="_Check 13 weeks cash forecast" xfId="1553"/>
    <cellStyle name="_Check met output OLS" xfId="1554"/>
    <cellStyle name="_Check met output OLS 2" xfId="1555"/>
    <cellStyle name="_Check met output OLS_JP2011" xfId="1556"/>
    <cellStyle name="_Check_Sheet1" xfId="1557"/>
    <cellStyle name="_Churn 2004" xfId="185"/>
    <cellStyle name="_Churn 2004 2" xfId="186"/>
    <cellStyle name="_Churn 2004 3" xfId="1558"/>
    <cellStyle name="_Churn 2004_20080530 Consolidatie Businessplan v12" xfId="1559"/>
    <cellStyle name="_Churn 2004_20080530 Consolidatie Businessplan v12 2" xfId="1560"/>
    <cellStyle name="_Churn 2004_20080530 Consolidatie Businessplan v12_Blad2" xfId="1561"/>
    <cellStyle name="_Churn 2004_20080530 Consolidatie Businessplan v12_Blad2 2" xfId="1562"/>
    <cellStyle name="_Churn 2004_20080530 Consolidatie Businessplan v12_Blad2_JP2011" xfId="1563"/>
    <cellStyle name="_Churn 2004_20080530 Consolidatie Businessplan v12_JP2011" xfId="1564"/>
    <cellStyle name="_Churn 2004_20080530 Consolidatie Businessplan v12_Model Plan 2012" xfId="1565"/>
    <cellStyle name="_Churn 2004_20080605 Consolidatie Businessplan v15" xfId="1566"/>
    <cellStyle name="_Churn 2004_20080605 Consolidatie Businessplan v15 2" xfId="1567"/>
    <cellStyle name="_Churn 2004_20080605 Consolidatie Businessplan v15_Blad2" xfId="1568"/>
    <cellStyle name="_Churn 2004_20080605 Consolidatie Businessplan v15_Blad2 2" xfId="1569"/>
    <cellStyle name="_Churn 2004_20080605 Consolidatie Businessplan v15_Blad2_JP2011" xfId="1570"/>
    <cellStyle name="_Churn 2004_20080605 Consolidatie Businessplan v15_JP2011" xfId="1571"/>
    <cellStyle name="_Churn 2004_20080605 Consolidatie Businessplan v15_Model Plan 2012" xfId="1572"/>
    <cellStyle name="_Churn 2004_20080605 Consolidatie Businessplan v19" xfId="1573"/>
    <cellStyle name="_Churn 2004_20080605 Consolidatie Businessplan v19 2" xfId="1574"/>
    <cellStyle name="_Churn 2004_20080605 Consolidatie Businessplan v19_Blad2" xfId="1575"/>
    <cellStyle name="_Churn 2004_20080605 Consolidatie Businessplan v19_Blad2 2" xfId="1576"/>
    <cellStyle name="_Churn 2004_20080605 Consolidatie Businessplan v19_Blad2_JP2011" xfId="1577"/>
    <cellStyle name="_Churn 2004_20080605 Consolidatie Businessplan v19_JP2011" xfId="1578"/>
    <cellStyle name="_Churn 2004_20080605 Consolidatie Businessplan v19_Model Plan 2012" xfId="1579"/>
    <cellStyle name="_Churn 2004_Blad2" xfId="1580"/>
    <cellStyle name="_Churn 2004_Blad2 2" xfId="1581"/>
    <cellStyle name="_Churn 2004_Blad2_JP2011" xfId="1582"/>
    <cellStyle name="_Churn 2004_JP2011" xfId="1583"/>
    <cellStyle name="_Churn 2004_Model Plan 2012" xfId="1584"/>
    <cellStyle name="_Churn 2004_ND5 squeeze model  whs-whs v2.21 DWDM ILL" xfId="1585"/>
    <cellStyle name="_CLARKS - 08 TEMPLATE CK 7 Nov" xfId="1586"/>
    <cellStyle name="_COLT - 08 Chris Westwood" xfId="1587"/>
    <cellStyle name="_Complete" xfId="187"/>
    <cellStyle name="_Complete 2" xfId="188"/>
    <cellStyle name="_Complete 3" xfId="1588"/>
    <cellStyle name="_Complete_ND5 squeeze model  whs-whs v2.21 DWDM ILL" xfId="1589"/>
    <cellStyle name="_Consolidatie set Overig opbr+verkr BU VT JP2004 versie 8" xfId="189"/>
    <cellStyle name="_Consolidatie set Overig opbr+verkr BU VT JP2004 versie 8 2" xfId="190"/>
    <cellStyle name="_Consolidatie set Overig opbr+verkr BU VT JP2004 versie 8 3" xfId="1590"/>
    <cellStyle name="_Consolidatie set Overig opbr+verkr BU VT JP2004 versie 8_20080530 Consolidatie Businessplan v12" xfId="1591"/>
    <cellStyle name="_Consolidatie set Overig opbr+verkr BU VT JP2004 versie 8_20080530 Consolidatie Businessplan v12 2" xfId="1592"/>
    <cellStyle name="_Consolidatie set Overig opbr+verkr BU VT JP2004 versie 8_20080530 Consolidatie Businessplan v12_Blad2" xfId="1593"/>
    <cellStyle name="_Consolidatie set Overig opbr+verkr BU VT JP2004 versie 8_20080530 Consolidatie Businessplan v12_Blad2 2" xfId="1594"/>
    <cellStyle name="_Consolidatie set Overig opbr+verkr BU VT JP2004 versie 8_20080530 Consolidatie Businessplan v12_Blad2_JP2011" xfId="1595"/>
    <cellStyle name="_Consolidatie set Overig opbr+verkr BU VT JP2004 versie 8_20080530 Consolidatie Businessplan v12_JP2011" xfId="1596"/>
    <cellStyle name="_Consolidatie set Overig opbr+verkr BU VT JP2004 versie 8_20080530 Consolidatie Businessplan v12_Model Plan 2012" xfId="1597"/>
    <cellStyle name="_Consolidatie set Overig opbr+verkr BU VT JP2004 versie 8_20080605 Consolidatie Businessplan v15" xfId="1598"/>
    <cellStyle name="_Consolidatie set Overig opbr+verkr BU VT JP2004 versie 8_20080605 Consolidatie Businessplan v15 2" xfId="1599"/>
    <cellStyle name="_Consolidatie set Overig opbr+verkr BU VT JP2004 versie 8_20080605 Consolidatie Businessplan v15_Blad2" xfId="1600"/>
    <cellStyle name="_Consolidatie set Overig opbr+verkr BU VT JP2004 versie 8_20080605 Consolidatie Businessplan v15_Blad2 2" xfId="1601"/>
    <cellStyle name="_Consolidatie set Overig opbr+verkr BU VT JP2004 versie 8_20080605 Consolidatie Businessplan v15_Blad2_JP2011" xfId="1602"/>
    <cellStyle name="_Consolidatie set Overig opbr+verkr BU VT JP2004 versie 8_20080605 Consolidatie Businessplan v15_JP2011" xfId="1603"/>
    <cellStyle name="_Consolidatie set Overig opbr+verkr BU VT JP2004 versie 8_20080605 Consolidatie Businessplan v15_Model Plan 2012" xfId="1604"/>
    <cellStyle name="_Consolidatie set Overig opbr+verkr BU VT JP2004 versie 8_20080605 Consolidatie Businessplan v19" xfId="1605"/>
    <cellStyle name="_Consolidatie set Overig opbr+verkr BU VT JP2004 versie 8_20080605 Consolidatie Businessplan v19 2" xfId="1606"/>
    <cellStyle name="_Consolidatie set Overig opbr+verkr BU VT JP2004 versie 8_20080605 Consolidatie Businessplan v19_Blad2" xfId="1607"/>
    <cellStyle name="_Consolidatie set Overig opbr+verkr BU VT JP2004 versie 8_20080605 Consolidatie Businessplan v19_Blad2 2" xfId="1608"/>
    <cellStyle name="_Consolidatie set Overig opbr+verkr BU VT JP2004 versie 8_20080605 Consolidatie Businessplan v19_Blad2_JP2011" xfId="1609"/>
    <cellStyle name="_Consolidatie set Overig opbr+verkr BU VT JP2004 versie 8_20080605 Consolidatie Businessplan v19_JP2011" xfId="1610"/>
    <cellStyle name="_Consolidatie set Overig opbr+verkr BU VT JP2004 versie 8_20080605 Consolidatie Businessplan v19_Model Plan 2012" xfId="1611"/>
    <cellStyle name="_Consolidatie set Overig opbr+verkr BU VT JP2004 versie 8_Blad2" xfId="1612"/>
    <cellStyle name="_Consolidatie set Overig opbr+verkr BU VT JP2004 versie 8_Blad2 2" xfId="1613"/>
    <cellStyle name="_Consolidatie set Overig opbr+verkr BU VT JP2004 versie 8_Blad2_JP2011" xfId="1614"/>
    <cellStyle name="_Consolidatie set Overig opbr+verkr BU VT JP2004 versie 8_JP2011" xfId="1615"/>
    <cellStyle name="_Consolidatie set Overig opbr+verkr BU VT JP2004 versie 8_Model Plan 2012" xfId="1616"/>
    <cellStyle name="_Consolidatie set Overig opbr+verkr BU VT JP2004 versie 8_ND5 squeeze model  whs-whs v2.21 DWDM ILL" xfId="1617"/>
    <cellStyle name="_Consolidatie set Overig opbr+verkr BU VT JP2004 versie6" xfId="191"/>
    <cellStyle name="_Consolidatie set Overig opbr+verkr BU VT JP2004 versie6 2" xfId="192"/>
    <cellStyle name="_Consolidatie set Overig opbr+verkr BU VT JP2004 versie6 2 2" xfId="1618"/>
    <cellStyle name="_Consolidatie set Overig opbr+verkr BU VT JP2004 versie6 3" xfId="1619"/>
    <cellStyle name="_Consolidatie set Overig opbr+verkr BU VT JP2004 versie6_20080530 Consolidatie Businessplan v12" xfId="1620"/>
    <cellStyle name="_Consolidatie set Overig opbr+verkr BU VT JP2004 versie6_20080530 Consolidatie Businessplan v12 2" xfId="1621"/>
    <cellStyle name="_Consolidatie set Overig opbr+verkr BU VT JP2004 versie6_20080530 Consolidatie Businessplan v12_Blad2" xfId="1622"/>
    <cellStyle name="_Consolidatie set Overig opbr+verkr BU VT JP2004 versie6_20080530 Consolidatie Businessplan v12_Blad2 2" xfId="1623"/>
    <cellStyle name="_Consolidatie set Overig opbr+verkr BU VT JP2004 versie6_20080530 Consolidatie Businessplan v12_Blad2_JP2011" xfId="1624"/>
    <cellStyle name="_Consolidatie set Overig opbr+verkr BU VT JP2004 versie6_20080530 Consolidatie Businessplan v12_JP2011" xfId="1625"/>
    <cellStyle name="_Consolidatie set Overig opbr+verkr BU VT JP2004 versie6_20080530 Consolidatie Businessplan v12_Model Plan 2012" xfId="1626"/>
    <cellStyle name="_Consolidatie set Overig opbr+verkr BU VT JP2004 versie6_20080605 Consolidatie Businessplan v15" xfId="1627"/>
    <cellStyle name="_Consolidatie set Overig opbr+verkr BU VT JP2004 versie6_20080605 Consolidatie Businessplan v15 2" xfId="1628"/>
    <cellStyle name="_Consolidatie set Overig opbr+verkr BU VT JP2004 versie6_20080605 Consolidatie Businessplan v15_Blad2" xfId="1629"/>
    <cellStyle name="_Consolidatie set Overig opbr+verkr BU VT JP2004 versie6_20080605 Consolidatie Businessplan v15_Blad2 2" xfId="1630"/>
    <cellStyle name="_Consolidatie set Overig opbr+verkr BU VT JP2004 versie6_20080605 Consolidatie Businessplan v15_Blad2_JP2011" xfId="1631"/>
    <cellStyle name="_Consolidatie set Overig opbr+verkr BU VT JP2004 versie6_20080605 Consolidatie Businessplan v15_JP2011" xfId="1632"/>
    <cellStyle name="_Consolidatie set Overig opbr+verkr BU VT JP2004 versie6_20080605 Consolidatie Businessplan v15_Model Plan 2012" xfId="1633"/>
    <cellStyle name="_Consolidatie set Overig opbr+verkr BU VT JP2004 versie6_20080605 Consolidatie Businessplan v19" xfId="1634"/>
    <cellStyle name="_Consolidatie set Overig opbr+verkr BU VT JP2004 versie6_20080605 Consolidatie Businessplan v19 2" xfId="1635"/>
    <cellStyle name="_Consolidatie set Overig opbr+verkr BU VT JP2004 versie6_20080605 Consolidatie Businessplan v19_Blad2" xfId="1636"/>
    <cellStyle name="_Consolidatie set Overig opbr+verkr BU VT JP2004 versie6_20080605 Consolidatie Businessplan v19_Blad2 2" xfId="1637"/>
    <cellStyle name="_Consolidatie set Overig opbr+verkr BU VT JP2004 versie6_20080605 Consolidatie Businessplan v19_Blad2_JP2011" xfId="1638"/>
    <cellStyle name="_Consolidatie set Overig opbr+verkr BU VT JP2004 versie6_20080605 Consolidatie Businessplan v19_JP2011" xfId="1639"/>
    <cellStyle name="_Consolidatie set Overig opbr+verkr BU VT JP2004 versie6_20080605 Consolidatie Businessplan v19_Model Plan 2012" xfId="1640"/>
    <cellStyle name="_Consolidatie set Overig opbr+verkr BU VT JP2004 versie6_Blad2" xfId="1641"/>
    <cellStyle name="_Consolidatie set Overig opbr+verkr BU VT JP2004 versie6_Blad2 2" xfId="1642"/>
    <cellStyle name="_Consolidatie set Overig opbr+verkr BU VT JP2004 versie6_Blad2_JP2011" xfId="1643"/>
    <cellStyle name="_Consolidatie set Overig opbr+verkr BU VT JP2004 versie6_Copy of Org tabel menu kaart" xfId="1644"/>
    <cellStyle name="_Consolidatie set Overig opbr+verkr BU VT JP2004 versie6_Entity structuur 2011" xfId="1645"/>
    <cellStyle name="_Consolidatie set Overig opbr+verkr BU VT JP2004 versie6_EVPN Model_20102601_v0.1" xfId="193"/>
    <cellStyle name="_Consolidatie set Overig opbr+verkr BU VT JP2004 versie6_FC categoraal" xfId="1646"/>
    <cellStyle name="_Consolidatie set Overig opbr+verkr BU VT JP2004 versie6_GDC nieuwe pfc cc jan  2011 v4" xfId="1647"/>
    <cellStyle name="_Consolidatie set Overig opbr+verkr BU VT JP2004 versie6_JP2011" xfId="1648"/>
    <cellStyle name="_Consolidatie set Overig opbr+verkr BU VT JP2004 versie6_JP2011 2" xfId="1649"/>
    <cellStyle name="_Consolidatie set Overig opbr+verkr BU VT JP2004 versie6_JP2011_1" xfId="1650"/>
    <cellStyle name="_Consolidatie set Overig opbr+verkr BU VT JP2004 versie6_KWT IS Data 2010-10-07" xfId="1651"/>
    <cellStyle name="_Consolidatie set Overig opbr+verkr BU VT JP2004 versie6_Model Plan 2012" xfId="1652"/>
    <cellStyle name="_Consolidatie set Overig opbr+verkr BU VT JP2004 versie6_ND5 squeeze model  whs-whs v2.21 DWDM ILL" xfId="1653"/>
    <cellStyle name="_Consolidatie set Overig opbr+verkr BU VT JP2004 versie6_Preclosing" xfId="1654"/>
    <cellStyle name="_Consolidatie set Overig opbr+verkr BU VT JP2004 versie6_Preclosing 2" xfId="1655"/>
    <cellStyle name="_Consolidatie set Overig opbr+verkr BU VT JP2004 versie6_Preclosing jan11" xfId="1656"/>
    <cellStyle name="_Consolidatie set Overig opbr+verkr BU VT JP2004 versie6_Preclosing_1" xfId="1657"/>
    <cellStyle name="_Consolidatie set Overig opbr+verkr BU VT JP2004 versie6_Preclosing_2" xfId="1658"/>
    <cellStyle name="_Consolidatie set Overig opbr+verkr BU VT JP2004 versie6_Preclosing_3" xfId="1659"/>
    <cellStyle name="_Consolidatie set Overig opbr+verkr BU VT JP2004 versie6_Preclosing_FC categoraal" xfId="1660"/>
    <cellStyle name="_Consolidatie set Overig opbr+verkr BU VT JP2004 versie6_Sheet1" xfId="1661"/>
    <cellStyle name="_Consolidatie set Overig opbr+verkr BU VT JP2004 versie6_Sheet1_1" xfId="1662"/>
    <cellStyle name="_Consolidatie set Overig opbr+verkr BU VT JP2004 versie6_Sheet1_1 2" xfId="1663"/>
    <cellStyle name="_Consolidatie set Overig opbr+verkr BU VT JP2004 versie6_Sheet1_1_FC categoraal" xfId="1664"/>
    <cellStyle name="_Consolidatie set Overig opbr+verkr BU VT JP2004 versie6_Sheet1_2" xfId="1665"/>
    <cellStyle name="_Consolidatie set Overig opbr+verkr BU VT JP2004 versie6_Sheet1_2 2" xfId="1666"/>
    <cellStyle name="_Consolidatie set Overig opbr+verkr BU VT JP2004 versie6_Sheet2" xfId="1667"/>
    <cellStyle name="_Consolidatie set Overig opbr+verkr BU VT JP2004 versie6_ZM IS Data Tarievenboek 2010-03-11" xfId="194"/>
    <cellStyle name="_Consolidatie set P&amp;L omzet BU VT JP2004 versie6" xfId="195"/>
    <cellStyle name="_Consolidatie set P&amp;L omzet BU VT JP2004 versie6 2" xfId="196"/>
    <cellStyle name="_Consolidatie set P&amp;L omzet BU VT JP2004 versie6 2 2" xfId="1668"/>
    <cellStyle name="_Consolidatie set P&amp;L omzet BU VT JP2004 versie6 3" xfId="1669"/>
    <cellStyle name="_Consolidatie set P&amp;L omzet BU VT JP2004 versie6_20080530 Consolidatie Businessplan v12" xfId="1670"/>
    <cellStyle name="_Consolidatie set P&amp;L omzet BU VT JP2004 versie6_20080530 Consolidatie Businessplan v12 2" xfId="1671"/>
    <cellStyle name="_Consolidatie set P&amp;L omzet BU VT JP2004 versie6_20080530 Consolidatie Businessplan v12_Blad2" xfId="1672"/>
    <cellStyle name="_Consolidatie set P&amp;L omzet BU VT JP2004 versie6_20080530 Consolidatie Businessplan v12_Blad2 2" xfId="1673"/>
    <cellStyle name="_Consolidatie set P&amp;L omzet BU VT JP2004 versie6_20080530 Consolidatie Businessplan v12_Blad2_JP2011" xfId="1674"/>
    <cellStyle name="_Consolidatie set P&amp;L omzet BU VT JP2004 versie6_20080530 Consolidatie Businessplan v12_JP2011" xfId="1675"/>
    <cellStyle name="_Consolidatie set P&amp;L omzet BU VT JP2004 versie6_20080530 Consolidatie Businessplan v12_Model Plan 2012" xfId="1676"/>
    <cellStyle name="_Consolidatie set P&amp;L omzet BU VT JP2004 versie6_20080605 Consolidatie Businessplan v15" xfId="1677"/>
    <cellStyle name="_Consolidatie set P&amp;L omzet BU VT JP2004 versie6_20080605 Consolidatie Businessplan v15 2" xfId="1678"/>
    <cellStyle name="_Consolidatie set P&amp;L omzet BU VT JP2004 versie6_20080605 Consolidatie Businessplan v15_Blad2" xfId="1679"/>
    <cellStyle name="_Consolidatie set P&amp;L omzet BU VT JP2004 versie6_20080605 Consolidatie Businessplan v15_Blad2 2" xfId="1680"/>
    <cellStyle name="_Consolidatie set P&amp;L omzet BU VT JP2004 versie6_20080605 Consolidatie Businessplan v15_Blad2_JP2011" xfId="1681"/>
    <cellStyle name="_Consolidatie set P&amp;L omzet BU VT JP2004 versie6_20080605 Consolidatie Businessplan v15_JP2011" xfId="1682"/>
    <cellStyle name="_Consolidatie set P&amp;L omzet BU VT JP2004 versie6_20080605 Consolidatie Businessplan v15_Model Plan 2012" xfId="1683"/>
    <cellStyle name="_Consolidatie set P&amp;L omzet BU VT JP2004 versie6_20080605 Consolidatie Businessplan v19" xfId="1684"/>
    <cellStyle name="_Consolidatie set P&amp;L omzet BU VT JP2004 versie6_20080605 Consolidatie Businessplan v19 2" xfId="1685"/>
    <cellStyle name="_Consolidatie set P&amp;L omzet BU VT JP2004 versie6_20080605 Consolidatie Businessplan v19_Blad2" xfId="1686"/>
    <cellStyle name="_Consolidatie set P&amp;L omzet BU VT JP2004 versie6_20080605 Consolidatie Businessplan v19_Blad2 2" xfId="1687"/>
    <cellStyle name="_Consolidatie set P&amp;L omzet BU VT JP2004 versie6_20080605 Consolidatie Businessplan v19_Blad2_JP2011" xfId="1688"/>
    <cellStyle name="_Consolidatie set P&amp;L omzet BU VT JP2004 versie6_20080605 Consolidatie Businessplan v19_JP2011" xfId="1689"/>
    <cellStyle name="_Consolidatie set P&amp;L omzet BU VT JP2004 versie6_20080605 Consolidatie Businessplan v19_Model Plan 2012" xfId="1690"/>
    <cellStyle name="_Consolidatie set P&amp;L omzet BU VT JP2004 versie6_Blad2" xfId="1691"/>
    <cellStyle name="_Consolidatie set P&amp;L omzet BU VT JP2004 versie6_Blad2 2" xfId="1692"/>
    <cellStyle name="_Consolidatie set P&amp;L omzet BU VT JP2004 versie6_Blad2_JP2011" xfId="1693"/>
    <cellStyle name="_Consolidatie set P&amp;L omzet BU VT JP2004 versie6_Copy of Org tabel menu kaart" xfId="1694"/>
    <cellStyle name="_Consolidatie set P&amp;L omzet BU VT JP2004 versie6_Entity structuur 2011" xfId="1695"/>
    <cellStyle name="_Consolidatie set P&amp;L omzet BU VT JP2004 versie6_EVPN Model_20102601_v0.1" xfId="197"/>
    <cellStyle name="_Consolidatie set P&amp;L omzet BU VT JP2004 versie6_FC categoraal" xfId="1696"/>
    <cellStyle name="_Consolidatie set P&amp;L omzet BU VT JP2004 versie6_GDC nieuwe pfc cc jan  2011 v4" xfId="1697"/>
    <cellStyle name="_Consolidatie set P&amp;L omzet BU VT JP2004 versie6_JP2011" xfId="1698"/>
    <cellStyle name="_Consolidatie set P&amp;L omzet BU VT JP2004 versie6_JP2011 2" xfId="1699"/>
    <cellStyle name="_Consolidatie set P&amp;L omzet BU VT JP2004 versie6_JP2011_1" xfId="1700"/>
    <cellStyle name="_Consolidatie set P&amp;L omzet BU VT JP2004 versie6_KWT IS Data 2010-10-07" xfId="1701"/>
    <cellStyle name="_Consolidatie set P&amp;L omzet BU VT JP2004 versie6_Model Plan 2012" xfId="1702"/>
    <cellStyle name="_Consolidatie set P&amp;L omzet BU VT JP2004 versie6_ND5 squeeze model  whs-whs v2.21 DWDM ILL" xfId="1703"/>
    <cellStyle name="_Consolidatie set P&amp;L omzet BU VT JP2004 versie6_Preclosing" xfId="1704"/>
    <cellStyle name="_Consolidatie set P&amp;L omzet BU VT JP2004 versie6_Preclosing 2" xfId="1705"/>
    <cellStyle name="_Consolidatie set P&amp;L omzet BU VT JP2004 versie6_Preclosing jan11" xfId="1706"/>
    <cellStyle name="_Consolidatie set P&amp;L omzet BU VT JP2004 versie6_Preclosing_1" xfId="1707"/>
    <cellStyle name="_Consolidatie set P&amp;L omzet BU VT JP2004 versie6_Preclosing_2" xfId="1708"/>
    <cellStyle name="_Consolidatie set P&amp;L omzet BU VT JP2004 versie6_Preclosing_3" xfId="1709"/>
    <cellStyle name="_Consolidatie set P&amp;L omzet BU VT JP2004 versie6_Preclosing_FC categoraal" xfId="1710"/>
    <cellStyle name="_Consolidatie set P&amp;L omzet BU VT JP2004 versie6_Sheet1" xfId="1711"/>
    <cellStyle name="_Consolidatie set P&amp;L omzet BU VT JP2004 versie6_Sheet1_1" xfId="1712"/>
    <cellStyle name="_Consolidatie set P&amp;L omzet BU VT JP2004 versie6_Sheet1_1 2" xfId="1713"/>
    <cellStyle name="_Consolidatie set P&amp;L omzet BU VT JP2004 versie6_Sheet1_1_FC categoraal" xfId="1714"/>
    <cellStyle name="_Consolidatie set P&amp;L omzet BU VT JP2004 versie6_Sheet1_2" xfId="1715"/>
    <cellStyle name="_Consolidatie set P&amp;L omzet BU VT JP2004 versie6_Sheet1_2 2" xfId="1716"/>
    <cellStyle name="_Consolidatie set P&amp;L omzet BU VT JP2004 versie6_Sheet2" xfId="1717"/>
    <cellStyle name="_Consolidatie set P&amp;L omzet BU VT JP2004 versie6_ZM IS Data Tarievenboek 2010-03-11" xfId="198"/>
    <cellStyle name="_Conversie" xfId="1718"/>
    <cellStyle name="_Copy of PSN - 08 AN input 8 Nov" xfId="1719"/>
    <cellStyle name="_Corus - 08 V1" xfId="1720"/>
    <cellStyle name="_COVENTRY BS - 08 V1" xfId="1721"/>
    <cellStyle name="_CP COS Jan 08" xfId="1722"/>
    <cellStyle name="_CPS EDC schakelingen 2007-2011" xfId="199"/>
    <cellStyle name="_CS telefonie SOLL 1309 v5 obv aangepaste maandpercentages" xfId="1723"/>
    <cellStyle name="_CSLLS_2004HJ_45" xfId="200"/>
    <cellStyle name="_CSLLS_2004HJ_45 2" xfId="1724"/>
    <cellStyle name="_CSLLS_2004HJ_45 2 2" xfId="1725"/>
    <cellStyle name="_CSLLS_2004HJ_45_EVPN Model_20102601_v0.1" xfId="201"/>
    <cellStyle name="_CSLLS_2004HJ_45_KWT IS Data 2010-10-07" xfId="1726"/>
    <cellStyle name="_CSLLS_2004HJ_45_ND5 squeeze model  whs-whs v2.21 DWDM ILL" xfId="1727"/>
    <cellStyle name="_CSLLS_2004HJ_45_ZM IS Data Tarievenboek 2010-03-11" xfId="202"/>
    <cellStyle name="_CSLLS_JR2004_wk16 IFRS" xfId="203"/>
    <cellStyle name="_CSLLS_JR2004_wk16 IFRS 2" xfId="1728"/>
    <cellStyle name="_CSLLS_JR2004_wk16 IFRS 2 2" xfId="1729"/>
    <cellStyle name="_CSLLS_JR2004_wk16 IFRS_EVPN Model_20102601_v0.1" xfId="204"/>
    <cellStyle name="_CSLLS_JR2004_wk16 IFRS_KWT IS Data 2010-10-07" xfId="1730"/>
    <cellStyle name="_CSLLS_JR2004_wk16 IFRS_ND5 squeeze model  whs-whs v2.21 DWDM ILL" xfId="1731"/>
    <cellStyle name="_CSLLS_JR2004_wk16 IFRS_ZM IS Data Tarievenboek 2010-03-11" xfId="205"/>
    <cellStyle name="_cswvs_18_2003JR" xfId="206"/>
    <cellStyle name="_CSWVS_JR2004_wk10_vs2" xfId="207"/>
    <cellStyle name="_CSWVS_JR2004_wk12C" xfId="208"/>
    <cellStyle name="_CSWVS_JR2004_wk17A IFRS" xfId="209"/>
    <cellStyle name="_CUNNINGHAM LINDSAY - 08" xfId="1732"/>
    <cellStyle name="_DA'd Codes" xfId="210"/>
    <cellStyle name="_DA'd Codes 2" xfId="211"/>
    <cellStyle name="_DA'd Codes 3" xfId="1733"/>
    <cellStyle name="_DA'd Codes_ND5 squeeze model  whs-whs v2.21 DWDM ILL" xfId="1734"/>
    <cellStyle name="_DCF model 2009 FINAL (2)" xfId="1735"/>
    <cellStyle name="_DCF rekenschema BW Haaglanden nieuw" xfId="1736"/>
    <cellStyle name="_DCS Bridge actualv v Budget Feb 08" xfId="1737"/>
    <cellStyle name="_Dell MRP SEPT 2007 v1" xfId="1738"/>
    <cellStyle name="_Dell MRP SEPT 2007 v2" xfId="1739"/>
    <cellStyle name="_DERBYSHIRE - 08 LW v1" xfId="1740"/>
    <cellStyle name="_DEUTSCHE BANK - 08 (Nikolai Lakovic)" xfId="1741"/>
    <cellStyle name="_Diensten FC 2006 P11  MLO" xfId="1742"/>
    <cellStyle name="_Diensten FC 2006 P11  MLO_ICS plan 2010 origineel v9 10-09" xfId="1743"/>
    <cellStyle name="_Diensten FC 2006 P11  MLO_JP2011" xfId="1744"/>
    <cellStyle name="_Diensten FC 2006 P11  MLO_JP2011 2" xfId="1745"/>
    <cellStyle name="_Diensten FC 2006 P11  MLO_Maand Capex" xfId="1746"/>
    <cellStyle name="_Diensten FC 2006 P11  MLO_Maand Capex_JP2011" xfId="1747"/>
    <cellStyle name="_Diensten FC 2006 P11  MLO_Maand Capex_JP2011 2" xfId="1748"/>
    <cellStyle name="_Diensten FC 2006 P11  MLO_ML_Generic_1 1 input Capex incl maandplan_v2" xfId="1749"/>
    <cellStyle name="_Diensten FC 2006 P11  MLO_ML_Generic_1 1 input Capex incl maandplan_v2 2" xfId="1750"/>
    <cellStyle name="_Diensten FC 2006 P11  MLO_Model Plan 2012" xfId="1751"/>
    <cellStyle name="_DigiStream JP 2006 externe omzet_20051024" xfId="212"/>
    <cellStyle name="_DigiStream JP 2006 externe omzet_20051024 2" xfId="1752"/>
    <cellStyle name="_DigiStream JP 2006 externe omzet_20051024_Economy IPVPN - Centrale Aansluiting 20102601_v0.1 test EA" xfId="213"/>
    <cellStyle name="_DigiStream JP 2006 externe omzet_20051024_Epacity EVPN_20102601_v0.1 test EA" xfId="214"/>
    <cellStyle name="_DigiStream JP 2006 externe omzet_20051024_IP VPN Model 20100315_v1.0" xfId="215"/>
    <cellStyle name="_DigiStream JP 2006 externe omzet_20051024_KWT IS Data 2010-10-07" xfId="1753"/>
    <cellStyle name="_DigiStream JP 2006 externe omzet_20051024_LPM EVPN 20100126_v0.1 test PB" xfId="216"/>
    <cellStyle name="_DigiStream JP 2006 externe omzet_20051024_LPM EVPN 20101013 Concept" xfId="217"/>
    <cellStyle name="_DigiStream JP 2006 externe omzet_20051024_LPM EVPN 20101118 concept" xfId="218"/>
    <cellStyle name="_DigiStream JP 2006 externe omzet_20051024_LPM IP VPN + ONE  obv prijslijst 10.1 + 6.2 dd 20101015 Concept" xfId="219"/>
    <cellStyle name="_DigiStream JP 2006 externe omzet_20051024_LPM IP VPN + ONE 20110104" xfId="220"/>
    <cellStyle name="_DigiStream JP 2006 externe omzet_20051024_LPM IP VPN 20100614 obv prijslijst 10.1 Concept incl additionele asn" xfId="221"/>
    <cellStyle name="_DigiStream JP 2006 externe omzet_20051024_LPM PL 20101014 Concept" xfId="1754"/>
    <cellStyle name="_DigiStream JP 2006 externe omzet_20051024_LPM PL 20101028 obv LRIC inkoop" xfId="1755"/>
    <cellStyle name="_DigiStream JP 2006 externe omzet_20051024_LPM Zakelijk DSL 20100520 inclusief XS4ALL na 15 mei 2010 Concept" xfId="222"/>
    <cellStyle name="_DigiStream JP 2006 externe omzet_20051024_LPM Zakelijk Glas bedrijventerreinen_20100401_v1.0 test PB" xfId="223"/>
    <cellStyle name="_DigiStream JP 2006 externe omzet_20051024_LPM Zakelijk Glas Stedelijk 20100617 Concept" xfId="224"/>
    <cellStyle name="_DigiStream JP 2006 externe omzet_20051024_LPM Zakelijk Glas Stedelijk 20101013 Concept" xfId="225"/>
    <cellStyle name="_DigiStream JP 2006 externe omzet_20051024_Menucard_Staff_Master_2010-09-12" xfId="1756"/>
    <cellStyle name="_DigiStream JP 2006 externe omzet_20051024_ND5 squeeze model  whs-whs v2.21 DWDM ILL" xfId="1757"/>
    <cellStyle name="_DigiStream JP 2006 externe omzet_20051024_toets DSL 2010-11-18 obv LPM IP VPN + ONE 20101028" xfId="226"/>
    <cellStyle name="_DigiStream JP 2006 externe omzet_20051024_toets DSL 2010-11-22 obv LPM IP VPN + ONE 20101028" xfId="227"/>
    <cellStyle name="_DigiStream JP 2006 externe omzet_20051024_Zakelijk DSL Model 20100416_v1.1_inclusief XS4ALL" xfId="228"/>
    <cellStyle name="_DigiStream JP 2006 externe omzet_20051024_Zakelijk Glas Stedelijk_2010_v0.1 test PB" xfId="229"/>
    <cellStyle name="_DigiStream JP 2006 externe omzet_20051024_ZM IS Data Tarievenboek 2010-03-11" xfId="230"/>
    <cellStyle name="_Discussie maandverdeling" xfId="1758"/>
    <cellStyle name="_Discussie maandverdeling 2" xfId="1759"/>
    <cellStyle name="_Discussie maandverdeling_20080530 Consolidatie Businessplan v12" xfId="1760"/>
    <cellStyle name="_Discussie maandverdeling_20080530 Consolidatie Businessplan v12 2" xfId="1761"/>
    <cellStyle name="_Discussie maandverdeling_20080530 Consolidatie Businessplan v12_Blad2" xfId="1762"/>
    <cellStyle name="_Discussie maandverdeling_20080530 Consolidatie Businessplan v12_Blad2 2" xfId="1763"/>
    <cellStyle name="_Discussie maandverdeling_20080530 Consolidatie Businessplan v12_Blad2_JP2011" xfId="1764"/>
    <cellStyle name="_Discussie maandverdeling_20080530 Consolidatie Businessplan v12_JP2011" xfId="1765"/>
    <cellStyle name="_Discussie maandverdeling_20080530 Consolidatie Businessplan v12_Model Plan 2012" xfId="1766"/>
    <cellStyle name="_Discussie maandverdeling_20080605 Consolidatie Businessplan v15" xfId="1767"/>
    <cellStyle name="_Discussie maandverdeling_20080605 Consolidatie Businessplan v15 2" xfId="1768"/>
    <cellStyle name="_Discussie maandverdeling_20080605 Consolidatie Businessplan v15_Blad2" xfId="1769"/>
    <cellStyle name="_Discussie maandverdeling_20080605 Consolidatie Businessplan v15_Blad2 2" xfId="1770"/>
    <cellStyle name="_Discussie maandverdeling_20080605 Consolidatie Businessplan v15_Blad2_JP2011" xfId="1771"/>
    <cellStyle name="_Discussie maandverdeling_20080605 Consolidatie Businessplan v15_JP2011" xfId="1772"/>
    <cellStyle name="_Discussie maandverdeling_20080605 Consolidatie Businessplan v15_Model Plan 2012" xfId="1773"/>
    <cellStyle name="_Discussie maandverdeling_20080605 Consolidatie Businessplan v19" xfId="1774"/>
    <cellStyle name="_Discussie maandverdeling_20080605 Consolidatie Businessplan v19 2" xfId="1775"/>
    <cellStyle name="_Discussie maandverdeling_20080605 Consolidatie Businessplan v19_Blad2" xfId="1776"/>
    <cellStyle name="_Discussie maandverdeling_20080605 Consolidatie Businessplan v19_Blad2 2" xfId="1777"/>
    <cellStyle name="_Discussie maandverdeling_20080605 Consolidatie Businessplan v19_Blad2_JP2011" xfId="1778"/>
    <cellStyle name="_Discussie maandverdeling_20080605 Consolidatie Businessplan v19_JP2011" xfId="1779"/>
    <cellStyle name="_Discussie maandverdeling_20080605 Consolidatie Businessplan v19_Model Plan 2012" xfId="1780"/>
    <cellStyle name="_Discussie maandverdeling_Blad2" xfId="1781"/>
    <cellStyle name="_Discussie maandverdeling_Blad2 2" xfId="1782"/>
    <cellStyle name="_Discussie maandverdeling_Blad2_JP2011" xfId="1783"/>
    <cellStyle name="_Discussie maandverdeling_JP2011" xfId="1784"/>
    <cellStyle name="_Discussie maandverdeling_Model Plan 2012" xfId="1785"/>
    <cellStyle name="_divisieZM-2007-1" xfId="1786"/>
    <cellStyle name="_Doc-000" xfId="231"/>
    <cellStyle name="_Doc-101" xfId="232"/>
    <cellStyle name="_Doc-101 2" xfId="233"/>
    <cellStyle name="_Doc-101 3" xfId="1787"/>
    <cellStyle name="_Doc-101_ND5 squeeze model  whs-whs v2.21 DWDM ILL" xfId="1788"/>
    <cellStyle name="_Drivermodel ZM NLB 080624 presentatie" xfId="1789"/>
    <cellStyle name="_drivers" xfId="234"/>
    <cellStyle name="_drivers 2" xfId="235"/>
    <cellStyle name="_drivers 3" xfId="1790"/>
    <cellStyle name="_drivers_20080530 Consolidatie Businessplan v12" xfId="1791"/>
    <cellStyle name="_drivers_20080530 Consolidatie Businessplan v12 2" xfId="1792"/>
    <cellStyle name="_drivers_20080530 Consolidatie Businessplan v12_Blad2" xfId="1793"/>
    <cellStyle name="_drivers_20080530 Consolidatie Businessplan v12_Blad2 2" xfId="1794"/>
    <cellStyle name="_drivers_20080530 Consolidatie Businessplan v12_Blad2_JP2011" xfId="1795"/>
    <cellStyle name="_drivers_20080530 Consolidatie Businessplan v12_JP2011" xfId="1796"/>
    <cellStyle name="_drivers_20080530 Consolidatie Businessplan v12_Model Plan 2012" xfId="1797"/>
    <cellStyle name="_drivers_20080605 Consolidatie Businessplan v15" xfId="1798"/>
    <cellStyle name="_drivers_20080605 Consolidatie Businessplan v15 2" xfId="1799"/>
    <cellStyle name="_drivers_20080605 Consolidatie Businessplan v15_Blad2" xfId="1800"/>
    <cellStyle name="_drivers_20080605 Consolidatie Businessplan v15_Blad2 2" xfId="1801"/>
    <cellStyle name="_drivers_20080605 Consolidatie Businessplan v15_Blad2_JP2011" xfId="1802"/>
    <cellStyle name="_drivers_20080605 Consolidatie Businessplan v15_JP2011" xfId="1803"/>
    <cellStyle name="_drivers_20080605 Consolidatie Businessplan v15_Model Plan 2012" xfId="1804"/>
    <cellStyle name="_drivers_20080605 Consolidatie Businessplan v19" xfId="1805"/>
    <cellStyle name="_drivers_20080605 Consolidatie Businessplan v19 2" xfId="1806"/>
    <cellStyle name="_drivers_20080605 Consolidatie Businessplan v19_Blad2" xfId="1807"/>
    <cellStyle name="_drivers_20080605 Consolidatie Businessplan v19_Blad2 2" xfId="1808"/>
    <cellStyle name="_drivers_20080605 Consolidatie Businessplan v19_Blad2_JP2011" xfId="1809"/>
    <cellStyle name="_drivers_20080605 Consolidatie Businessplan v19_JP2011" xfId="1810"/>
    <cellStyle name="_drivers_20080605 Consolidatie Businessplan v19_Model Plan 2012" xfId="1811"/>
    <cellStyle name="_drivers_Blad2" xfId="1812"/>
    <cellStyle name="_drivers_Blad2 2" xfId="1813"/>
    <cellStyle name="_drivers_Blad2_JP2011" xfId="1814"/>
    <cellStyle name="_drivers_JP2011" xfId="1815"/>
    <cellStyle name="_drivers_Model Plan 2012" xfId="1816"/>
    <cellStyle name="_drivers_ND5 squeeze model  whs-whs v2.21 DWDM ILL" xfId="1817"/>
    <cellStyle name="_DSL weekrapp wk20 2005" xfId="236"/>
    <cellStyle name="_DSL weekrapp wk20 2005 2" xfId="237"/>
    <cellStyle name="_DSL weekrapp wk20 2005 3" xfId="1818"/>
    <cellStyle name="_DSL weekrapp wk20 2005_ND5 squeeze model  whs-whs v2.21 DWDM ILL" xfId="1819"/>
    <cellStyle name="_DSM - 08 MW 3 Nov" xfId="1820"/>
    <cellStyle name="_DSM pricingsheet per country 3 0" xfId="1821"/>
    <cellStyle name="_DSM pricingsheet per country 3 0_ManInput" xfId="1822"/>
    <cellStyle name="_DSM pricingsheet per country 3 0_ManInput_Sheet1" xfId="1823"/>
    <cellStyle name="_dsmp forecast 13 oct" xfId="1824"/>
    <cellStyle name="_DWDM ILL tarief update 28-3-2011" xfId="1825"/>
    <cellStyle name="_DWDM ILL tariefvoorstel 30-9-09" xfId="1826"/>
    <cellStyle name="_Economy IP-VPN" xfId="238"/>
    <cellStyle name="_Economy IP-VPN_ZM IS Data Tarievenboek 2010-03-11" xfId="239"/>
    <cellStyle name="_eliminaties_VT" xfId="240"/>
    <cellStyle name="_eliminaties_VT 2" xfId="1827"/>
    <cellStyle name="_eliminaties_VT 2 2" xfId="1828"/>
    <cellStyle name="_EMEA BC Model_Apr 01 - v1" xfId="241"/>
    <cellStyle name="_EMEA BC Model_Apr 01 - v1 2" xfId="242"/>
    <cellStyle name="_EMEA BC Model_Apr 01 - v1 3" xfId="1829"/>
    <cellStyle name="_EMEA BC Model_Apr 01 - v1_ND5 squeeze model  whs-whs v2.21 DWDM ILL" xfId="1830"/>
    <cellStyle name="_ENS Businessplan (short) 2008-2010 (20071105) - Ingeleverd" xfId="1831"/>
    <cellStyle name="_ENS Businessplan (short) 2008-2010 (20071105) - Ingeleverd 2" xfId="1832"/>
    <cellStyle name="_ENS Businessplan (short) 2008-2010 (20071105) - Ingeleverd_Blad2" xfId="1833"/>
    <cellStyle name="_ENS Businessplan (short) 2008-2010 (20071105) - Ingeleverd_Blad2 2" xfId="1834"/>
    <cellStyle name="_ENS Businessplan (short) 2008-2010 (20071105) - Ingeleverd_Blad2_JP2011" xfId="1835"/>
    <cellStyle name="_ENS Businessplan (short) 2008-2010 (20071105) - Ingeleverd_JP2011" xfId="1836"/>
    <cellStyle name="_ENS Businessplan (short) 2008-2010 (20071105) - Ingeleverd_Model Plan 2012" xfId="1837"/>
    <cellStyle name="_ENS VAS items_3" xfId="243"/>
    <cellStyle name="_ENS VAS items_3 2" xfId="1838"/>
    <cellStyle name="_ENS VAS items_3 2 2" xfId="1839"/>
    <cellStyle name="_Excel bijlage ML BD maart" xfId="1840"/>
    <cellStyle name="_excelopexversie1" xfId="244"/>
    <cellStyle name="_excelopexversie1 2" xfId="1841"/>
    <cellStyle name="_excelopexversie1 2 2" xfId="1842"/>
    <cellStyle name="_excelopexversie1_EVPN Model_20102601_v0.1" xfId="245"/>
    <cellStyle name="_excelopexversie1_KWT IS Data 2010-10-07" xfId="1843"/>
    <cellStyle name="_excelopexversie1_ND5 squeeze model  whs-whs v2.21 DWDM ILL" xfId="1844"/>
    <cellStyle name="_excelopexversie1_ZM IS Data Tarievenboek 2010-03-11" xfId="246"/>
    <cellStyle name="_Export" xfId="247"/>
    <cellStyle name="_Export 2" xfId="248"/>
    <cellStyle name="_Export 3" xfId="1845"/>
    <cellStyle name="_Export_ND5 squeeze model  whs-whs v2.21 DWDM ILL" xfId="1846"/>
    <cellStyle name="_Externe omzet&amp;kosten" xfId="249"/>
    <cellStyle name="_Externe omzet&amp;kosten 2" xfId="250"/>
    <cellStyle name="_Externe omzet&amp;kosten 3" xfId="1847"/>
    <cellStyle name="_Externe omzet&amp;kosten_ND5 squeeze model  whs-whs v2.21 DWDM ILL" xfId="1848"/>
    <cellStyle name="_flashformat2005" xfId="251"/>
    <cellStyle name="_flashformat2005 2" xfId="1849"/>
    <cellStyle name="_flashformat2005 2 2" xfId="1850"/>
    <cellStyle name="_flashformat2006" xfId="252"/>
    <cellStyle name="_flashformat2006 2" xfId="1851"/>
    <cellStyle name="_flashformat2006 2 2" xfId="1852"/>
    <cellStyle name="_Ford - 08 V1" xfId="1853"/>
    <cellStyle name="_Forecast IC JEV_v5" xfId="1854"/>
    <cellStyle name="_Forecast IC JEV_v5 2" xfId="1855"/>
    <cellStyle name="_Forecast IC JEV_v5_Blad2" xfId="1856"/>
    <cellStyle name="_Forecast IC JEV_v5_Blad2 2" xfId="1857"/>
    <cellStyle name="_Forecast IC JEV_v5_Blad2_JP2011" xfId="1858"/>
    <cellStyle name="_Forecast IC JEV_v5_JP2011" xfId="1859"/>
    <cellStyle name="_Forecast IC JEV_v5_Model Plan 2012" xfId="1860"/>
    <cellStyle name="_Forecast p1-2007" xfId="1861"/>
    <cellStyle name="_Format_BBSC Entercom 2003" xfId="1862"/>
    <cellStyle name="_Format_BBSC Entercom 2003_090909 GTN - ZM master_update-GTN" xfId="1863"/>
    <cellStyle name="_Format_BBSC Entercom 2003_Blad1" xfId="1864"/>
    <cellStyle name="_Format_BBSC Entercom 2003_Blad1 2" xfId="1865"/>
    <cellStyle name="_Format_BBSC Entercom 2003_Blad1_Blad2" xfId="1866"/>
    <cellStyle name="_Format_BBSC Entercom 2003_Blad1_Blad2 2" xfId="1867"/>
    <cellStyle name="_Format_BBSC Entercom 2003_Blad1_Blad2_JP2011" xfId="1868"/>
    <cellStyle name="_Format_BBSC Entercom 2003_Blad1_JP2011" xfId="1869"/>
    <cellStyle name="_Format_BBSC Entercom 2003_Blad1_Menucard_Staff_Master_2010-09-12" xfId="1870"/>
    <cellStyle name="_Format_BBSC Entercom 2003_Blad1_Model Plan 2012" xfId="1871"/>
    <cellStyle name="_Format_BBSC Entercom 2003_Menucard_Staff_Master_2010-09-12" xfId="1872"/>
    <cellStyle name="_FTE Targets ZM 2006 18-04" xfId="1873"/>
    <cellStyle name="_Fttc en FTTH berekening" xfId="253"/>
    <cellStyle name="_funnel OIT" xfId="254"/>
    <cellStyle name="_funnel OIT 2" xfId="255"/>
    <cellStyle name="_funnel OIT 2 2" xfId="1874"/>
    <cellStyle name="_funnel OIT 3" xfId="1875"/>
    <cellStyle name="_funnel OIT_Blad2" xfId="1876"/>
    <cellStyle name="_funnel OIT_Blad2 2" xfId="1877"/>
    <cellStyle name="_funnel OIT_Blad2_JP2011" xfId="1878"/>
    <cellStyle name="_funnel OIT_EVPN Model_20102601_v0.1" xfId="256"/>
    <cellStyle name="_funnel OIT_JP2011" xfId="1879"/>
    <cellStyle name="_funnel OIT_KWT IS Data 2010-10-07" xfId="1880"/>
    <cellStyle name="_funnel OIT_Model Plan 2012" xfId="1881"/>
    <cellStyle name="_funnel OIT_ND5 squeeze model  whs-whs v2.21 DWDM ILL" xfId="1882"/>
    <cellStyle name="_funnel OIT_ZM IS Data Tarievenboek 2010-03-11" xfId="257"/>
    <cellStyle name="_G4S - 08 TEMPLATE (2)" xfId="1883"/>
    <cellStyle name="_Getronics UK 2008 Revenue Forecast FC0 v2F" xfId="1884"/>
    <cellStyle name="_go to mkt view 092302" xfId="258"/>
    <cellStyle name="_go to mkt view 092302 2" xfId="259"/>
    <cellStyle name="_go to mkt view 092302 3" xfId="1885"/>
    <cellStyle name="_go to mkt view 092302_ND5 squeeze model  whs-whs v2.21 DWDM ILL" xfId="1886"/>
    <cellStyle name="_go-to-mkt fin file 092502" xfId="260"/>
    <cellStyle name="_go-to-mkt fin file 092502 2" xfId="261"/>
    <cellStyle name="_go-to-mkt fin file 092502 3" xfId="1887"/>
    <cellStyle name="_go-to-mkt fin file 092502_ND5 squeeze model  whs-whs v2.21 DWDM ILL" xfId="1888"/>
    <cellStyle name="_GPMO Management reporting Barclays May 07 v 0 1 SO" xfId="1889"/>
    <cellStyle name="_GUNS Number and Customer Name" xfId="1890"/>
    <cellStyle name="_HBOS - 08 V1" xfId="1891"/>
    <cellStyle name="_High level BP 2007 - 2010 Dummyversie 15 april 2008" xfId="1892"/>
    <cellStyle name="_hosting 2008" xfId="1893"/>
    <cellStyle name="_hosting 2008 aangepast in ex v2 (3)" xfId="1894"/>
    <cellStyle name="_IC rev-cost-deltas aug-07 JEV 24sept07" xfId="1895"/>
    <cellStyle name="_IC rev-cost-deltas aug-07 JEV 24sept07 2" xfId="1896"/>
    <cellStyle name="_IC rev-cost-deltas aug-07 JEV 24sept07_Blad2" xfId="1897"/>
    <cellStyle name="_IC rev-cost-deltas aug-07 JEV 24sept07_Blad2 2" xfId="1898"/>
    <cellStyle name="_IC rev-cost-deltas aug-07 JEV 24sept07_Blad2_JP2011" xfId="1899"/>
    <cellStyle name="_IC rev-cost-deltas aug-07 JEV 24sept07_JP2011" xfId="1900"/>
    <cellStyle name="_IC rev-cost-deltas aug-07 JEV 24sept07_Model Plan 2012" xfId="1901"/>
    <cellStyle name="_IC revenue-exp (2)" xfId="1902"/>
    <cellStyle name="_IC revenue-exp (2) 2" xfId="1903"/>
    <cellStyle name="_IC revenue-exp (2)_Blad2" xfId="1904"/>
    <cellStyle name="_IC revenue-exp (2)_Blad2 2" xfId="1905"/>
    <cellStyle name="_IC revenue-exp (2)_Blad2_JP2011" xfId="1906"/>
    <cellStyle name="_IC revenue-exp (2)_ICS plan 2010 origineel v9 10-09" xfId="1907"/>
    <cellStyle name="_IC revenue-exp (2)_JP2011" xfId="1908"/>
    <cellStyle name="_IC revenue-exp (2)_Maand Capex" xfId="1909"/>
    <cellStyle name="_IC revenue-exp (2)_Maand Capex 2" xfId="1910"/>
    <cellStyle name="_IC revenue-exp (2)_Maand Capex_Blad2" xfId="1911"/>
    <cellStyle name="_IC revenue-exp (2)_Maand Capex_Blad2 2" xfId="1912"/>
    <cellStyle name="_IC revenue-exp (2)_Maand Capex_Blad2_JP2011" xfId="1913"/>
    <cellStyle name="_IC revenue-exp (2)_Maand Capex_JP2011" xfId="1914"/>
    <cellStyle name="_IC revenue-exp (2)_ML_Generic_1 1 input Capex incl maandplan_v2" xfId="1915"/>
    <cellStyle name="_IC revenue-exp (2)_Model Plan 2012" xfId="1916"/>
    <cellStyle name="_ICELAND - 08 LW v1" xfId="1917"/>
    <cellStyle name="_IC's JP 2007 070104 RF - concept" xfId="1918"/>
    <cellStyle name="_IC's JP 2007 070104 RF - concept 2" xfId="1919"/>
    <cellStyle name="_IC's JP 2007 070104 RF - concept_Blad2" xfId="1920"/>
    <cellStyle name="_IC's JP 2007 070104 RF - concept_Blad2 2" xfId="1921"/>
    <cellStyle name="_IC's JP 2007 070104 RF - concept_Blad2_JP2011" xfId="1922"/>
    <cellStyle name="_IC's JP 2007 070104 RF - concept_JP2011" xfId="1923"/>
    <cellStyle name="_IC's JP 2007 070104 RF - concept_Model Plan 2012" xfId="1924"/>
    <cellStyle name="_ICT template (3)" xfId="1925"/>
    <cellStyle name="_ICT_Serv_BP2008-2010_versie uitvraag_AMS" xfId="1926"/>
    <cellStyle name="_ICT_Serv_BP2008-2010_versie uitvraag_AMS 2" xfId="1927"/>
    <cellStyle name="_ICT_Serv_BP2008-2010_versie uitvraag_AMS_Blad2" xfId="1928"/>
    <cellStyle name="_ICT_Serv_BP2008-2010_versie uitvraag_AMS_Blad2 2" xfId="1929"/>
    <cellStyle name="_ICT_Serv_BP2008-2010_versie uitvraag_AMS_Blad2_JP2011" xfId="1930"/>
    <cellStyle name="_ICT_Serv_BP2008-2010_versie uitvraag_AMS_JP2011" xfId="1931"/>
    <cellStyle name="_ICT_Serv_BP2008-2010_versie uitvraag_AMS_Model Plan 2012" xfId="1932"/>
    <cellStyle name="_IFRSre029" xfId="262"/>
    <cellStyle name="_ILL sales tool juni 08 V1.0 (juli08 tm dec08) met standaard digitaal" xfId="263"/>
    <cellStyle name="_INEOS - 08 TEMPLATE sdm UPDATES" xfId="1933"/>
    <cellStyle name="_Info profiel Q4" xfId="1934"/>
    <cellStyle name="_Info profiel Q4 2" xfId="1935"/>
    <cellStyle name="_Info profiel Q4_FC categoraal" xfId="1936"/>
    <cellStyle name="_Info profiel Q4_GDC nieuwe pfc cc jan  2011 v4" xfId="1937"/>
    <cellStyle name="_Info profiel Q4_JP2011" xfId="1938"/>
    <cellStyle name="_Info profiel Q4_JP2011 2" xfId="1939"/>
    <cellStyle name="_Info profiel Q4_JP2011_1" xfId="1940"/>
    <cellStyle name="_Info profiel Q4_Preclosing" xfId="1941"/>
    <cellStyle name="_Info profiel Q4_Preclosing 2" xfId="1942"/>
    <cellStyle name="_Info profiel Q4_Preclosing jan11" xfId="1943"/>
    <cellStyle name="_Info profiel Q4_Preclosing_1" xfId="1944"/>
    <cellStyle name="_Info profiel Q4_Preclosing_2" xfId="1945"/>
    <cellStyle name="_Info profiel Q4_Preclosing_3" xfId="1946"/>
    <cellStyle name="_Info profiel Q4_Preclosing_FC categoraal" xfId="1947"/>
    <cellStyle name="_Info profiel Q4_Sheet1" xfId="1948"/>
    <cellStyle name="_Info profiel Q4_Sheet1_1" xfId="1949"/>
    <cellStyle name="_Info profiel Q4_Sheet1_1 2" xfId="1950"/>
    <cellStyle name="_Info profiel Q4_Sheet1_1_FC categoraal" xfId="1951"/>
    <cellStyle name="_Info profiel Q4_Sheet1_2" xfId="1952"/>
    <cellStyle name="_Info profiel Q4_Sheet1_2 2" xfId="1953"/>
    <cellStyle name="_Info profiel Q4_Sheet2" xfId="1954"/>
    <cellStyle name="_info uitvraag BU CS mei  2005" xfId="1955"/>
    <cellStyle name="_info uitvraag BU CS mei  2005_Book2" xfId="1956"/>
    <cellStyle name="_info uitvraag BU CS mei  2005_Book3" xfId="1957"/>
    <cellStyle name="_info uitvraag BU CS mei  2005_ICS KPI" xfId="1958"/>
    <cellStyle name="_info uitvraag BU CS mei 2004" xfId="264"/>
    <cellStyle name="_info uitvraag BU CS mei 2004_LPM PL 20101014 Concept" xfId="1959"/>
    <cellStyle name="_info uitvraag BU CS mei 2004_LPM PL 20101028 obv LRIC inkoop" xfId="1960"/>
    <cellStyle name="_info uitvraag BU CS mei 2004_ND5 squeeze model  whs-whs v2.21 DWDM ILL" xfId="1961"/>
    <cellStyle name="_info uitvraag BU CS september 2004" xfId="1962"/>
    <cellStyle name="_info uitvraag BU CS september 2004_Book2" xfId="1963"/>
    <cellStyle name="_info uitvraag BU CS september 2004_Book3" xfId="1964"/>
    <cellStyle name="_info uitvraag BU CS september 2004_ICS KPI" xfId="1965"/>
    <cellStyle name="_informatie profiel extern omzet per kwartaal" xfId="1966"/>
    <cellStyle name="_informatie profiel extern omzet per kwartaal 2" xfId="1967"/>
    <cellStyle name="_informatie profiel extern omzet per kwartaal_FC categoraal" xfId="1968"/>
    <cellStyle name="_informatie profiel extern omzet per kwartaal_GDC nieuwe pfc cc jan  2011 v4" xfId="1969"/>
    <cellStyle name="_informatie profiel extern omzet per kwartaal_JP2011" xfId="1970"/>
    <cellStyle name="_informatie profiel extern omzet per kwartaal_JP2011 2" xfId="1971"/>
    <cellStyle name="_informatie profiel extern omzet per kwartaal_JP2011_1" xfId="1972"/>
    <cellStyle name="_informatie profiel extern omzet per kwartaal_Preclosing" xfId="1973"/>
    <cellStyle name="_informatie profiel extern omzet per kwartaal_Preclosing 2" xfId="1974"/>
    <cellStyle name="_informatie profiel extern omzet per kwartaal_Preclosing jan11" xfId="1975"/>
    <cellStyle name="_informatie profiel extern omzet per kwartaal_Preclosing_1" xfId="1976"/>
    <cellStyle name="_informatie profiel extern omzet per kwartaal_Preclosing_2" xfId="1977"/>
    <cellStyle name="_informatie profiel extern omzet per kwartaal_Preclosing_3" xfId="1978"/>
    <cellStyle name="_informatie profiel extern omzet per kwartaal_Preclosing_FC categoraal" xfId="1979"/>
    <cellStyle name="_informatie profiel extern omzet per kwartaal_Sheet1" xfId="1980"/>
    <cellStyle name="_informatie profiel extern omzet per kwartaal_Sheet1_1" xfId="1981"/>
    <cellStyle name="_informatie profiel extern omzet per kwartaal_Sheet1_1 2" xfId="1982"/>
    <cellStyle name="_informatie profiel extern omzet per kwartaal_Sheet1_1_FC categoraal" xfId="1983"/>
    <cellStyle name="_informatie profiel extern omzet per kwartaal_Sheet1_2" xfId="1984"/>
    <cellStyle name="_informatie profiel extern omzet per kwartaal_Sheet1_2 2" xfId="1985"/>
    <cellStyle name="_informatie profiel extern omzet per kwartaal_Sheet2" xfId="1986"/>
    <cellStyle name="_Informatieprofiel nieuw format" xfId="1987"/>
    <cellStyle name="_Informatieprofiel nieuw format 2" xfId="1988"/>
    <cellStyle name="_Informatieprofiel nieuw format_FC categoraal" xfId="1989"/>
    <cellStyle name="_Informatieprofiel nieuw format_GDC nieuwe pfc cc jan  2011 v4" xfId="1990"/>
    <cellStyle name="_Informatieprofiel nieuw format_JP2011" xfId="1991"/>
    <cellStyle name="_Informatieprofiel nieuw format_JP2011 2" xfId="1992"/>
    <cellStyle name="_Informatieprofiel nieuw format_JP2011_1" xfId="1993"/>
    <cellStyle name="_Informatieprofiel nieuw format_Preclosing" xfId="1994"/>
    <cellStyle name="_Informatieprofiel nieuw format_Preclosing 2" xfId="1995"/>
    <cellStyle name="_Informatieprofiel nieuw format_Preclosing jan11" xfId="1996"/>
    <cellStyle name="_Informatieprofiel nieuw format_Preclosing_1" xfId="1997"/>
    <cellStyle name="_Informatieprofiel nieuw format_Preclosing_2" xfId="1998"/>
    <cellStyle name="_Informatieprofiel nieuw format_Preclosing_3" xfId="1999"/>
    <cellStyle name="_Informatieprofiel nieuw format_Preclosing_FC categoraal" xfId="2000"/>
    <cellStyle name="_Informatieprofiel nieuw format_Sheet1" xfId="2001"/>
    <cellStyle name="_Informatieprofiel nieuw format_Sheet1_1" xfId="2002"/>
    <cellStyle name="_Informatieprofiel nieuw format_Sheet1_1 2" xfId="2003"/>
    <cellStyle name="_Informatieprofiel nieuw format_Sheet1_1_FC categoraal" xfId="2004"/>
    <cellStyle name="_Informatieprofiel nieuw format_Sheet1_2" xfId="2005"/>
    <cellStyle name="_Informatieprofiel nieuw format_Sheet1_2 2" xfId="2006"/>
    <cellStyle name="_Informatieprofiel nieuw format_Sheet2" xfId="2007"/>
    <cellStyle name="_informatieprofiel trend en kosten " xfId="2008"/>
    <cellStyle name="_informatieprofiel trend en kosten  2" xfId="2009"/>
    <cellStyle name="_informatieprofiel trend en kosten _FC categoraal" xfId="2010"/>
    <cellStyle name="_informatieprofiel trend en kosten _GDC nieuwe pfc cc jan  2011 v4" xfId="2011"/>
    <cellStyle name="_informatieprofiel trend en kosten _JP2011" xfId="2012"/>
    <cellStyle name="_informatieprofiel trend en kosten _JP2011 2" xfId="2013"/>
    <cellStyle name="_informatieprofiel trend en kosten _JP2011_1" xfId="2014"/>
    <cellStyle name="_informatieprofiel trend en kosten _Preclosing" xfId="2015"/>
    <cellStyle name="_informatieprofiel trend en kosten _Preclosing 2" xfId="2016"/>
    <cellStyle name="_informatieprofiel trend en kosten _Preclosing jan11" xfId="2017"/>
    <cellStyle name="_informatieprofiel trend en kosten _Preclosing_1" xfId="2018"/>
    <cellStyle name="_informatieprofiel trend en kosten _Preclosing_2" xfId="2019"/>
    <cellStyle name="_informatieprofiel trend en kosten _Preclosing_3" xfId="2020"/>
    <cellStyle name="_informatieprofiel trend en kosten _Preclosing_FC categoraal" xfId="2021"/>
    <cellStyle name="_informatieprofiel trend en kosten _Sheet1" xfId="2022"/>
    <cellStyle name="_informatieprofiel trend en kosten _Sheet1_1" xfId="2023"/>
    <cellStyle name="_informatieprofiel trend en kosten _Sheet1_1 2" xfId="2024"/>
    <cellStyle name="_informatieprofiel trend en kosten _Sheet1_1_FC categoraal" xfId="2025"/>
    <cellStyle name="_informatieprofiel trend en kosten _Sheet1_2" xfId="2026"/>
    <cellStyle name="_informatieprofiel trend en kosten _Sheet1_2 2" xfId="2027"/>
    <cellStyle name="_informatieprofiel trend en kosten _Sheet2" xfId="2028"/>
    <cellStyle name="_informatieprofielen PMG sept 2004" xfId="2029"/>
    <cellStyle name="_informatieprofielen PMG sept 2004 2" xfId="2030"/>
    <cellStyle name="_informatieprofielen PMG sept 2004_FC categoraal" xfId="2031"/>
    <cellStyle name="_informatieprofielen PMG sept 2004_GDC nieuwe pfc cc jan  2011 v4" xfId="2032"/>
    <cellStyle name="_informatieprofielen PMG sept 2004_JP2011" xfId="2033"/>
    <cellStyle name="_informatieprofielen PMG sept 2004_JP2011 2" xfId="2034"/>
    <cellStyle name="_informatieprofielen PMG sept 2004_JP2011_1" xfId="2035"/>
    <cellStyle name="_informatieprofielen PMG sept 2004_Preclosing" xfId="2036"/>
    <cellStyle name="_informatieprofielen PMG sept 2004_Preclosing 2" xfId="2037"/>
    <cellStyle name="_informatieprofielen PMG sept 2004_Preclosing jan11" xfId="2038"/>
    <cellStyle name="_informatieprofielen PMG sept 2004_Preclosing_1" xfId="2039"/>
    <cellStyle name="_informatieprofielen PMG sept 2004_Preclosing_2" xfId="2040"/>
    <cellStyle name="_informatieprofielen PMG sept 2004_Preclosing_3" xfId="2041"/>
    <cellStyle name="_informatieprofielen PMG sept 2004_Preclosing_FC categoraal" xfId="2042"/>
    <cellStyle name="_informatieprofielen PMG sept 2004_Sheet1" xfId="2043"/>
    <cellStyle name="_informatieprofielen PMG sept 2004_Sheet1_1" xfId="2044"/>
    <cellStyle name="_informatieprofielen PMG sept 2004_Sheet1_1 2" xfId="2045"/>
    <cellStyle name="_informatieprofielen PMG sept 2004_Sheet1_1_FC categoraal" xfId="2046"/>
    <cellStyle name="_informatieprofielen PMG sept 2004_Sheet1_2" xfId="2047"/>
    <cellStyle name="_informatieprofielen PMG sept 2004_Sheet1_2 2" xfId="2048"/>
    <cellStyle name="_informatieprofielen PMG sept 2004_Sheet2" xfId="2049"/>
    <cellStyle name="_informatieprofielen Q3-2004" xfId="2050"/>
    <cellStyle name="_informatieprofielen Q3-2004 2" xfId="2051"/>
    <cellStyle name="_informatieprofielen Q3-2004_FC categoraal" xfId="2052"/>
    <cellStyle name="_informatieprofielen Q3-2004_GDC nieuwe pfc cc jan  2011 v4" xfId="2053"/>
    <cellStyle name="_informatieprofielen Q3-2004_JP2011" xfId="2054"/>
    <cellStyle name="_informatieprofielen Q3-2004_JP2011 2" xfId="2055"/>
    <cellStyle name="_informatieprofielen Q3-2004_JP2011_1" xfId="2056"/>
    <cellStyle name="_informatieprofielen Q3-2004_Preclosing" xfId="2057"/>
    <cellStyle name="_informatieprofielen Q3-2004_Preclosing 2" xfId="2058"/>
    <cellStyle name="_informatieprofielen Q3-2004_Preclosing jan11" xfId="2059"/>
    <cellStyle name="_informatieprofielen Q3-2004_Preclosing_1" xfId="2060"/>
    <cellStyle name="_informatieprofielen Q3-2004_Preclosing_2" xfId="2061"/>
    <cellStyle name="_informatieprofielen Q3-2004_Preclosing_3" xfId="2062"/>
    <cellStyle name="_informatieprofielen Q3-2004_Preclosing_FC categoraal" xfId="2063"/>
    <cellStyle name="_informatieprofielen Q3-2004_Sheet1" xfId="2064"/>
    <cellStyle name="_informatieprofielen Q3-2004_Sheet1_1" xfId="2065"/>
    <cellStyle name="_informatieprofielen Q3-2004_Sheet1_1 2" xfId="2066"/>
    <cellStyle name="_informatieprofielen Q3-2004_Sheet1_1_FC categoraal" xfId="2067"/>
    <cellStyle name="_informatieprofielen Q3-2004_Sheet1_2" xfId="2068"/>
    <cellStyle name="_informatieprofielen Q3-2004_Sheet1_2 2" xfId="2069"/>
    <cellStyle name="_informatieprofielen Q3-2004_Sheet2" xfId="2070"/>
    <cellStyle name="_informatieprofielen vast nieuwe layout" xfId="2071"/>
    <cellStyle name="_informatieprofielen vast nieuwe layout 2" xfId="2072"/>
    <cellStyle name="_informatieprofielen vast nieuwe layout Bu BB" xfId="2073"/>
    <cellStyle name="_informatieprofielen vast nieuwe layout Bu BB 2" xfId="2074"/>
    <cellStyle name="_informatieprofielen vast nieuwe layout Bu BB_FC categoraal" xfId="2075"/>
    <cellStyle name="_informatieprofielen vast nieuwe layout Bu BB_GDC nieuwe pfc cc jan  2011 v4" xfId="2076"/>
    <cellStyle name="_informatieprofielen vast nieuwe layout Bu BB_JP2011" xfId="2077"/>
    <cellStyle name="_informatieprofielen vast nieuwe layout Bu BB_JP2011 2" xfId="2078"/>
    <cellStyle name="_informatieprofielen vast nieuwe layout Bu BB_JP2011_1" xfId="2079"/>
    <cellStyle name="_informatieprofielen vast nieuwe layout Bu BB_Preclosing" xfId="2080"/>
    <cellStyle name="_informatieprofielen vast nieuwe layout Bu BB_Preclosing 2" xfId="2081"/>
    <cellStyle name="_informatieprofielen vast nieuwe layout Bu BB_Preclosing jan11" xfId="2082"/>
    <cellStyle name="_informatieprofielen vast nieuwe layout Bu BB_Preclosing_1" xfId="2083"/>
    <cellStyle name="_informatieprofielen vast nieuwe layout Bu BB_Preclosing_2" xfId="2084"/>
    <cellStyle name="_informatieprofielen vast nieuwe layout Bu BB_Preclosing_3" xfId="2085"/>
    <cellStyle name="_informatieprofielen vast nieuwe layout Bu BB_Preclosing_FC categoraal" xfId="2086"/>
    <cellStyle name="_informatieprofielen vast nieuwe layout Bu BB_Sheet1" xfId="2087"/>
    <cellStyle name="_informatieprofielen vast nieuwe layout Bu BB_Sheet1_1" xfId="2088"/>
    <cellStyle name="_informatieprofielen vast nieuwe layout Bu BB_Sheet1_1 2" xfId="2089"/>
    <cellStyle name="_informatieprofielen vast nieuwe layout Bu BB_Sheet1_1_FC categoraal" xfId="2090"/>
    <cellStyle name="_informatieprofielen vast nieuwe layout Bu BB_Sheet1_2" xfId="2091"/>
    <cellStyle name="_informatieprofielen vast nieuwe layout Bu BB_Sheet1_2 2" xfId="2092"/>
    <cellStyle name="_informatieprofielen vast nieuwe layout Bu BB_Sheet2" xfId="2093"/>
    <cellStyle name="_informatieprofielen vast nieuwe layout_FC categoraal" xfId="2094"/>
    <cellStyle name="_informatieprofielen vast nieuwe layout_GDC nieuwe pfc cc jan  2011 v4" xfId="2095"/>
    <cellStyle name="_informatieprofielen vast nieuwe layout_JP2011" xfId="2096"/>
    <cellStyle name="_informatieprofielen vast nieuwe layout_JP2011 2" xfId="2097"/>
    <cellStyle name="_informatieprofielen vast nieuwe layout_JP2011_1" xfId="2098"/>
    <cellStyle name="_informatieprofielen vast nieuwe layout_Preclosing" xfId="2099"/>
    <cellStyle name="_informatieprofielen vast nieuwe layout_Preclosing 2" xfId="2100"/>
    <cellStyle name="_informatieprofielen vast nieuwe layout_Preclosing jan11" xfId="2101"/>
    <cellStyle name="_informatieprofielen vast nieuwe layout_Preclosing_1" xfId="2102"/>
    <cellStyle name="_informatieprofielen vast nieuwe layout_Preclosing_2" xfId="2103"/>
    <cellStyle name="_informatieprofielen vast nieuwe layout_Preclosing_3" xfId="2104"/>
    <cellStyle name="_informatieprofielen vast nieuwe layout_Preclosing_FC categoraal" xfId="2105"/>
    <cellStyle name="_informatieprofielen vast nieuwe layout_Sheet1" xfId="2106"/>
    <cellStyle name="_informatieprofielen vast nieuwe layout_Sheet1_1" xfId="2107"/>
    <cellStyle name="_informatieprofielen vast nieuwe layout_Sheet1_1 2" xfId="2108"/>
    <cellStyle name="_informatieprofielen vast nieuwe layout_Sheet1_1_FC categoraal" xfId="2109"/>
    <cellStyle name="_informatieprofielen vast nieuwe layout_Sheet1_2" xfId="2110"/>
    <cellStyle name="_informatieprofielen vast nieuwe layout_Sheet1_2 2" xfId="2111"/>
    <cellStyle name="_informatieprofielen vast nieuwe layout_Sheet2" xfId="2112"/>
    <cellStyle name="_INNOSPEC - 08 (Forecast)v2" xfId="2113"/>
    <cellStyle name="_Input IK 02-06-2006 II (2)" xfId="265"/>
    <cellStyle name="_Input IK 02-06-2006 II (2) 2" xfId="266"/>
    <cellStyle name="_Input IK 02-06-2006 II (2) 3" xfId="2114"/>
    <cellStyle name="_Input IK 02-06-2006 II (2)_ND5 squeeze model  whs-whs v2.21 DWDM ILL" xfId="2115"/>
    <cellStyle name="_INPUT ILL JP 2005 ILL_v1" xfId="267"/>
    <cellStyle name="_INPUT ILL JP 2005 ILL_v1_LPM PL 20101014 Concept" xfId="2116"/>
    <cellStyle name="_INPUT ILL JP 2005 ILL_v1_LPM PL 20101028 obv LRIC inkoop" xfId="2117"/>
    <cellStyle name="_INPUT ILL JP 2005 ILL_v1_ND5 squeeze model  whs-whs v2.21 DWDM ILL" xfId="2118"/>
    <cellStyle name="_Input omzet ACTIEF JP 2005" xfId="268"/>
    <cellStyle name="_Input omzet ACTIEF JP 2005 2" xfId="269"/>
    <cellStyle name="_Input omzet ACTIEF JP 2005 3" xfId="2119"/>
    <cellStyle name="_Input omzet ACTIEF JP 2005 versie 2" xfId="270"/>
    <cellStyle name="_Input omzet ACTIEF JP 2005 versie 2 2" xfId="271"/>
    <cellStyle name="_Input omzet ACTIEF JP 2005 versie 2 3" xfId="2120"/>
    <cellStyle name="_Input omzet ACTIEF JP 2005 versie 2_ND5 squeeze model  whs-whs v2.21 DWDM ILL" xfId="2121"/>
    <cellStyle name="_Input omzet ACTIEF JP 2005_ND5 squeeze model  whs-whs v2.21 DWDM ILL" xfId="2122"/>
    <cellStyle name="_Interne verrekening SLA2007 WO BO LEV BS - ZM NS CS versie 05-2007" xfId="272"/>
    <cellStyle name="_Interne verrekening SLA2007 WO BO LEV BS - ZM NS CS versie 05-2007 (2)" xfId="273"/>
    <cellStyle name="_Invul 1" xfId="2123"/>
    <cellStyle name="_IP TV 2006 v15 baseplan 3 incl jev 10 000" xfId="2124"/>
    <cellStyle name="_IP-Edge BP 2008-2011 v0.6" xfId="274"/>
    <cellStyle name="_IS Bridge actualv v Budget Feb08" xfId="2125"/>
    <cellStyle name="_IS intercompanies from GR BP 2008-2010 invoersheet RE004 Voice Services Joost" xfId="2126"/>
    <cellStyle name="_IS intercompanies from GR BP 2008-2010 invoersheet RE004 Voice Services Joost 2" xfId="2127"/>
    <cellStyle name="_IS intercompanies from GR BP 2008-2010 invoersheet RE004 Voice Services Joost_Blad2" xfId="2128"/>
    <cellStyle name="_IS intercompanies from GR BP 2008-2010 invoersheet RE004 Voice Services Joost_Blad2 2" xfId="2129"/>
    <cellStyle name="_IS intercompanies from GR BP 2008-2010 invoersheet RE004 Voice Services Joost_Blad2_JP2011" xfId="2130"/>
    <cellStyle name="_IS intercompanies from GR BP 2008-2010 invoersheet RE004 Voice Services Joost_JP2011" xfId="2131"/>
    <cellStyle name="_IS intercompanies from GR BP 2008-2010 invoersheet RE004 Voice Services Joost_Model Plan 2012" xfId="2132"/>
    <cellStyle name="_IS PLAN 2007 BU AMS V4" xfId="2133"/>
    <cellStyle name="_IS PLAN 2007 BU AMS V4_ICS plan 2010 origineel v9 10-09" xfId="2134"/>
    <cellStyle name="_IS PLAN 2007 BU AMS V4_JP2011" xfId="2135"/>
    <cellStyle name="_IS PLAN 2007 BU AMS V4_JP2011 2" xfId="2136"/>
    <cellStyle name="_IS PLAN 2007 BU AMS V4_Maand Capex" xfId="2137"/>
    <cellStyle name="_IS PLAN 2007 BU AMS V4_Maand Capex_JP2011" xfId="2138"/>
    <cellStyle name="_IS PLAN 2007 BU AMS V4_Maand Capex_JP2011 2" xfId="2139"/>
    <cellStyle name="_IS PLAN 2007 BU AMS V4_ML_Generic_1 1 input Capex incl maandplan_v2" xfId="2140"/>
    <cellStyle name="_IS PLAN 2007 BU AMS V4_ML_Generic_1 1 input Capex incl maandplan_v2 2" xfId="2141"/>
    <cellStyle name="_IS PLAN 2007 BU AMS V4_Model Plan 2012" xfId="2142"/>
    <cellStyle name="_IssuesBP2005-2008analoog" xfId="275"/>
    <cellStyle name="_Jaarplan 2003 nieuwe org. wvs 10022003" xfId="276"/>
    <cellStyle name="_Jaarplan 2003 nieuwe org. wvs 10022003 2" xfId="277"/>
    <cellStyle name="_Jaarplan 2003 nieuwe org. wvs 10022003 3" xfId="2143"/>
    <cellStyle name="_Jaarplan 2003 nieuwe org. wvs 10022003_ND5 squeeze model  whs-whs v2.21 DWDM ILL" xfId="2144"/>
    <cellStyle name="_jaarplan zm 2005 versie 10 (schoon)" xfId="278"/>
    <cellStyle name="_jaarplan zm 2005 versie 10 (schoon) 2" xfId="279"/>
    <cellStyle name="_jaarplan zm 2005 versie 10 (schoon) 3" xfId="2145"/>
    <cellStyle name="_jaarplan zm 2005 versie 10 (schoon)_Blad2" xfId="2146"/>
    <cellStyle name="_jaarplan zm 2005 versie 10 (schoon)_Blad2 2" xfId="2147"/>
    <cellStyle name="_jaarplan zm 2005 versie 10 (schoon)_Blad2_JP2011" xfId="2148"/>
    <cellStyle name="_jaarplan zm 2005 versie 10 (schoon)_JP2011" xfId="2149"/>
    <cellStyle name="_jaarplan zm 2005 versie 10 (schoon)_Model Plan 2012" xfId="2150"/>
    <cellStyle name="_jaarplan zm 2005 versie 10 (schoon)_ND5 squeeze model  whs-whs v2.21 DWDM ILL" xfId="2151"/>
    <cellStyle name="_jev 2004 augustus" xfId="280"/>
    <cellStyle name="_jev 2004 augustus 2" xfId="2152"/>
    <cellStyle name="_JEV 2006-01v5" xfId="281"/>
    <cellStyle name="_JEV 2006-01v5 2" xfId="282"/>
    <cellStyle name="_JEV 2006-01v5 3" xfId="2153"/>
    <cellStyle name="_JEV 2006-01v5_ND5 squeeze model  whs-whs v2.21 DWDM ILL" xfId="2154"/>
    <cellStyle name="_JEV 2007 Q3 CO" xfId="2155"/>
    <cellStyle name="_JEV 2007 totaal Cybercenters" xfId="2156"/>
    <cellStyle name="_JEV apr07" xfId="2157"/>
    <cellStyle name="_JEV apr07 2" xfId="2158"/>
    <cellStyle name="_JEV april" xfId="283"/>
    <cellStyle name="_JEV april 2" xfId="284"/>
    <cellStyle name="_JEV april 3" xfId="2159"/>
    <cellStyle name="_JEV april_20080530 Consolidatie Businessplan v12" xfId="2160"/>
    <cellStyle name="_JEV april_20080530 Consolidatie Businessplan v12 2" xfId="2161"/>
    <cellStyle name="_JEV april_20080530 Consolidatie Businessplan v12_Blad2" xfId="2162"/>
    <cellStyle name="_JEV april_20080530 Consolidatie Businessplan v12_Blad2 2" xfId="2163"/>
    <cellStyle name="_JEV april_20080530 Consolidatie Businessplan v12_Blad2_JP2011" xfId="2164"/>
    <cellStyle name="_JEV april_20080530 Consolidatie Businessplan v12_JP2011" xfId="2165"/>
    <cellStyle name="_JEV april_20080530 Consolidatie Businessplan v12_Model Plan 2012" xfId="2166"/>
    <cellStyle name="_JEV april_20080605 Consolidatie Businessplan v15" xfId="2167"/>
    <cellStyle name="_JEV april_20080605 Consolidatie Businessplan v15 2" xfId="2168"/>
    <cellStyle name="_JEV april_20080605 Consolidatie Businessplan v15_Blad2" xfId="2169"/>
    <cellStyle name="_JEV april_20080605 Consolidatie Businessplan v15_Blad2 2" xfId="2170"/>
    <cellStyle name="_JEV april_20080605 Consolidatie Businessplan v15_Blad2_JP2011" xfId="2171"/>
    <cellStyle name="_JEV april_20080605 Consolidatie Businessplan v15_JP2011" xfId="2172"/>
    <cellStyle name="_JEV april_20080605 Consolidatie Businessplan v15_Model Plan 2012" xfId="2173"/>
    <cellStyle name="_JEV april_20080605 Consolidatie Businessplan v19" xfId="2174"/>
    <cellStyle name="_JEV april_20080605 Consolidatie Businessplan v19 2" xfId="2175"/>
    <cellStyle name="_JEV april_20080605 Consolidatie Businessplan v19_Blad2" xfId="2176"/>
    <cellStyle name="_JEV april_20080605 Consolidatie Businessplan v19_Blad2 2" xfId="2177"/>
    <cellStyle name="_JEV april_20080605 Consolidatie Businessplan v19_Blad2_JP2011" xfId="2178"/>
    <cellStyle name="_JEV april_20080605 Consolidatie Businessplan v19_JP2011" xfId="2179"/>
    <cellStyle name="_JEV april_20080605 Consolidatie Businessplan v19_Model Plan 2012" xfId="2180"/>
    <cellStyle name="_JEV april_Blad2" xfId="2181"/>
    <cellStyle name="_JEV april_Blad2 2" xfId="2182"/>
    <cellStyle name="_JEV april_Blad2_JP2011" xfId="2183"/>
    <cellStyle name="_JEV april_JP2011" xfId="2184"/>
    <cellStyle name="_JEV april_Model Plan 2012" xfId="2185"/>
    <cellStyle name="_JEV april_ND5 squeeze model  whs-whs v2.21 DWDM ILL" xfId="2186"/>
    <cellStyle name="_JEV CM tbv Businessplan 2004" xfId="285"/>
    <cellStyle name="_JEV CM tbv Businessplan 2004 2" xfId="286"/>
    <cellStyle name="_JEV CM tbv Businessplan 2004 3" xfId="2187"/>
    <cellStyle name="_JEV CM tbv Businessplan 2004_ND5 squeeze model  whs-whs v2.21 DWDM ILL" xfId="2188"/>
    <cellStyle name="_JEV model 2005  versie 3" xfId="287"/>
    <cellStyle name="_JEV model 2005  versie 3 2" xfId="288"/>
    <cellStyle name="_JEV model 2005  versie 3 3" xfId="2189"/>
    <cellStyle name="_JEV model 2005  versie 3_Blad2" xfId="2190"/>
    <cellStyle name="_JEV model 2005  versie 3_Blad2 2" xfId="2191"/>
    <cellStyle name="_JEV model 2005  versie 3_Blad2_JP2011" xfId="2192"/>
    <cellStyle name="_JEV model 2005  versie 3_JP2011" xfId="2193"/>
    <cellStyle name="_JEV model 2005  versie 3_Model Plan 2012" xfId="2194"/>
    <cellStyle name="_JEV model 2005  versie 3_ND5 squeeze model  whs-whs v2.21 DWDM ILL" xfId="2195"/>
    <cellStyle name="_JEV Nov Portfoliomanagement versie 0.5" xfId="289"/>
    <cellStyle name="_JEV Nov Portfoliomanagement versie 0.5 2" xfId="290"/>
    <cellStyle name="_JEV Nov Portfoliomanagement versie 0.5 3" xfId="2196"/>
    <cellStyle name="_JEV Nov Portfoliomanagement versie 0.5_20080530 Consolidatie Businessplan v12" xfId="2197"/>
    <cellStyle name="_JEV Nov Portfoliomanagement versie 0.5_20080530 Consolidatie Businessplan v12 2" xfId="2198"/>
    <cellStyle name="_JEV Nov Portfoliomanagement versie 0.5_20080530 Consolidatie Businessplan v12_Blad2" xfId="2199"/>
    <cellStyle name="_JEV Nov Portfoliomanagement versie 0.5_20080530 Consolidatie Businessplan v12_Blad2 2" xfId="2200"/>
    <cellStyle name="_JEV Nov Portfoliomanagement versie 0.5_20080530 Consolidatie Businessplan v12_Blad2_JP2011" xfId="2201"/>
    <cellStyle name="_JEV Nov Portfoliomanagement versie 0.5_20080530 Consolidatie Businessplan v12_JP2011" xfId="2202"/>
    <cellStyle name="_JEV Nov Portfoliomanagement versie 0.5_20080530 Consolidatie Businessplan v12_Model Plan 2012" xfId="2203"/>
    <cellStyle name="_JEV Nov Portfoliomanagement versie 0.5_20080605 Consolidatie Businessplan v15" xfId="2204"/>
    <cellStyle name="_JEV Nov Portfoliomanagement versie 0.5_20080605 Consolidatie Businessplan v15 2" xfId="2205"/>
    <cellStyle name="_JEV Nov Portfoliomanagement versie 0.5_20080605 Consolidatie Businessplan v15_Blad2" xfId="2206"/>
    <cellStyle name="_JEV Nov Portfoliomanagement versie 0.5_20080605 Consolidatie Businessplan v15_Blad2 2" xfId="2207"/>
    <cellStyle name="_JEV Nov Portfoliomanagement versie 0.5_20080605 Consolidatie Businessplan v15_Blad2_JP2011" xfId="2208"/>
    <cellStyle name="_JEV Nov Portfoliomanagement versie 0.5_20080605 Consolidatie Businessplan v15_JP2011" xfId="2209"/>
    <cellStyle name="_JEV Nov Portfoliomanagement versie 0.5_20080605 Consolidatie Businessplan v15_Model Plan 2012" xfId="2210"/>
    <cellStyle name="_JEV Nov Portfoliomanagement versie 0.5_20080605 Consolidatie Businessplan v19" xfId="2211"/>
    <cellStyle name="_JEV Nov Portfoliomanagement versie 0.5_20080605 Consolidatie Businessplan v19 2" xfId="2212"/>
    <cellStyle name="_JEV Nov Portfoliomanagement versie 0.5_20080605 Consolidatie Businessplan v19_Blad2" xfId="2213"/>
    <cellStyle name="_JEV Nov Portfoliomanagement versie 0.5_20080605 Consolidatie Businessplan v19_Blad2 2" xfId="2214"/>
    <cellStyle name="_JEV Nov Portfoliomanagement versie 0.5_20080605 Consolidatie Businessplan v19_Blad2_JP2011" xfId="2215"/>
    <cellStyle name="_JEV Nov Portfoliomanagement versie 0.5_20080605 Consolidatie Businessplan v19_JP2011" xfId="2216"/>
    <cellStyle name="_JEV Nov Portfoliomanagement versie 0.5_20080605 Consolidatie Businessplan v19_Model Plan 2012" xfId="2217"/>
    <cellStyle name="_JEV Nov Portfoliomanagement versie 0.5_Blad2" xfId="2218"/>
    <cellStyle name="_JEV Nov Portfoliomanagement versie 0.5_Blad2 2" xfId="2219"/>
    <cellStyle name="_JEV Nov Portfoliomanagement versie 0.5_Blad2_JP2011" xfId="2220"/>
    <cellStyle name="_JEV Nov Portfoliomanagement versie 0.5_JP2011" xfId="2221"/>
    <cellStyle name="_JEV Nov Portfoliomanagement versie 0.5_Model Plan 2012" xfId="2222"/>
    <cellStyle name="_JEV Nov Portfoliomanagement versie 0.5_ND5 squeeze model  whs-whs v2.21 DWDM ILL" xfId="2223"/>
    <cellStyle name="_JEV SACSRC_extrapolatie aug cijfers" xfId="2224"/>
    <cellStyle name="_JEV SACSRC_extrapolatie aug cijfers 2" xfId="2225"/>
    <cellStyle name="_JEV SACSRC_extrapolatie aug cijfers_Blad2" xfId="2226"/>
    <cellStyle name="_JEV SACSRC_extrapolatie aug cijfers_Blad2 2" xfId="2227"/>
    <cellStyle name="_JEV SACSRC_extrapolatie aug cijfers_Blad2_JP2011" xfId="2228"/>
    <cellStyle name="_JEV SACSRC_extrapolatie aug cijfers_JP2011" xfId="2229"/>
    <cellStyle name="_JEV SACSRC_extrapolatie aug cijfers_Model Plan 2012" xfId="2230"/>
    <cellStyle name="_JEV2007-BP2008-2010 ambitie 19 sept bottom up" xfId="2231"/>
    <cellStyle name="_JEV2007-BP2008-2010 ambitie 19 sept bottom up 2" xfId="2232"/>
    <cellStyle name="_JEV2007-BP2008-2010 ambitie 19 sept bottom up_Blad2" xfId="2233"/>
    <cellStyle name="_JEV2007-BP2008-2010 ambitie 19 sept bottom up_Blad2 2" xfId="2234"/>
    <cellStyle name="_JEV2007-BP2008-2010 ambitie 19 sept bottom up_Blad2_JP2011" xfId="2235"/>
    <cellStyle name="_JEV2007-BP2008-2010 ambitie 19 sept bottom up_JP2011" xfId="2236"/>
    <cellStyle name="_JEV2007-BP2008-2010 ambitie 19 sept bottom up_Model Plan 2012" xfId="2237"/>
    <cellStyle name="_JEV-uitvraag Voice ZM feb06" xfId="291"/>
    <cellStyle name="_JEV-uitvraag Voice ZM feb06 2" xfId="292"/>
    <cellStyle name="_JEV-uitvraag Voice ZM feb06 3" xfId="2238"/>
    <cellStyle name="_JEV-uitvraag Voice ZM feb06_Blad2" xfId="2239"/>
    <cellStyle name="_JEV-uitvraag Voice ZM feb06_Blad2 2" xfId="2240"/>
    <cellStyle name="_JEV-uitvraag Voice ZM feb06_Blad2_JP2011" xfId="2241"/>
    <cellStyle name="_JEV-uitvraag Voice ZM feb06_JP2011" xfId="2242"/>
    <cellStyle name="_JEV-uitvraag Voice ZM feb06_Model Plan 2012" xfId="2243"/>
    <cellStyle name="_JEV-uitvraag Voice ZM feb06_ND5 squeeze model  whs-whs v2.21 DWDM ILL" xfId="2244"/>
    <cellStyle name="_Journal P02" xfId="2245"/>
    <cellStyle name="_Journal P02_GDC nieuwe pfc cc jan  2011 v4" xfId="2246"/>
    <cellStyle name="_Journal P03" xfId="2247"/>
    <cellStyle name="_Journal P03_1" xfId="2248"/>
    <cellStyle name="_Journal P03_1_GDC nieuwe pfc cc jan  2011 v4" xfId="2249"/>
    <cellStyle name="_Journal P03_1_kostenplaatsensluiten consulting" xfId="2250"/>
    <cellStyle name="_Journal P05" xfId="2251"/>
    <cellStyle name="_Journal P05_GDC nieuwe pfc cc jan  2011 v4" xfId="2252"/>
    <cellStyle name="_Journal P10" xfId="2253"/>
    <cellStyle name="_Journal P10_GDC nieuwe pfc cc jan  2011 v4" xfId="2254"/>
    <cellStyle name="_JP 2006 LLS versie 3" xfId="293"/>
    <cellStyle name="_JP 2006 LLS versie 3 2" xfId="294"/>
    <cellStyle name="_JP 2006 LLS versie 3 3" xfId="2255"/>
    <cellStyle name="_JP 2006 LLS versie 3_ND5 squeeze model  whs-whs v2.21 DWDM ILL" xfId="2256"/>
    <cellStyle name="_JP_Core_231105_NOR" xfId="295"/>
    <cellStyle name="_JP_Core_231105_NOR 2" xfId="296"/>
    <cellStyle name="_JP_Core_231105_NOR 3" xfId="2257"/>
    <cellStyle name="_JP_Core_231105_NOR_ND5 squeeze model  whs-whs v2.21 DWDM ILL" xfId="2258"/>
    <cellStyle name="_Keuzelijsten" xfId="2259"/>
    <cellStyle name="_KEV-JEV BU CS" xfId="297"/>
    <cellStyle name="_KEV-JEV BU CS vs 2" xfId="298"/>
    <cellStyle name="_KIB MTA en bijz. posten" xfId="2260"/>
    <cellStyle name="_KIB MTA en bijz. posten 2" xfId="2261"/>
    <cellStyle name="_KIB MTA en bijz. posten_FC categoraal" xfId="2262"/>
    <cellStyle name="_KIB MTA en bijz. posten_GDC nieuwe pfc cc jan  2011 v4" xfId="2263"/>
    <cellStyle name="_KIB MTA en bijz. posten_JP2011" xfId="2264"/>
    <cellStyle name="_KIB MTA en bijz. posten_JP2011 2" xfId="2265"/>
    <cellStyle name="_KIB MTA en bijz. posten_JP2011_1" xfId="2266"/>
    <cellStyle name="_KIB MTA en bijz. posten_Preclosing" xfId="2267"/>
    <cellStyle name="_KIB MTA en bijz. posten_Preclosing 2" xfId="2268"/>
    <cellStyle name="_KIB MTA en bijz. posten_Preclosing jan11" xfId="2269"/>
    <cellStyle name="_KIB MTA en bijz. posten_Preclosing_1" xfId="2270"/>
    <cellStyle name="_KIB MTA en bijz. posten_Preclosing_2" xfId="2271"/>
    <cellStyle name="_KIB MTA en bijz. posten_Preclosing_3" xfId="2272"/>
    <cellStyle name="_KIB MTA en bijz. posten_Preclosing_FC categoraal" xfId="2273"/>
    <cellStyle name="_KIB MTA en bijz. posten_Sheet1" xfId="2274"/>
    <cellStyle name="_KIB MTA en bijz. posten_Sheet1_1" xfId="2275"/>
    <cellStyle name="_KIB MTA en bijz. posten_Sheet1_1 2" xfId="2276"/>
    <cellStyle name="_KIB MTA en bijz. posten_Sheet1_1_FC categoraal" xfId="2277"/>
    <cellStyle name="_KIB MTA en bijz. posten_Sheet1_2" xfId="2278"/>
    <cellStyle name="_KIB MTA en bijz. posten_Sheet1_2 2" xfId="2279"/>
    <cellStyle name="_KIB MTA en bijz. posten_Sheet2" xfId="2280"/>
    <cellStyle name="_Klant P&amp;L" xfId="2281"/>
    <cellStyle name="_Klant P&amp;L 2" xfId="2282"/>
    <cellStyle name="_Klant P&amp;L_Blad2" xfId="2283"/>
    <cellStyle name="_Klant P&amp;L_Blad2 2" xfId="2284"/>
    <cellStyle name="_Klant P&amp;L_Blad2_JP2011" xfId="2285"/>
    <cellStyle name="_Klant P&amp;L_JP2011" xfId="2286"/>
    <cellStyle name="_Klant P&amp;L_Model Plan 2012" xfId="2287"/>
    <cellStyle name="_Klantcase INVULASSISTENT 2007-06-01_1 (2)" xfId="2288"/>
    <cellStyle name="_Klantcase INVULASSISTENT 2007-06-01_1 (2) 2" xfId="2289"/>
    <cellStyle name="_Klantcase INVULASSISTENT 2007-06-01_1 (2)_Blad2" xfId="2290"/>
    <cellStyle name="_Klantcase INVULASSISTENT 2007-06-01_1 (2)_Blad2 2" xfId="2291"/>
    <cellStyle name="_Klantcase INVULASSISTENT 2007-06-01_1 (2)_Blad2_JP2011" xfId="2292"/>
    <cellStyle name="_Klantcase INVULASSISTENT 2007-06-01_1 (2)_JP2011" xfId="2293"/>
    <cellStyle name="_Klantcase INVULASSISTENT 2007-06-01_1 (2)_Model Plan 2012" xfId="2294"/>
    <cellStyle name="_Klantcase INVULTOOL" xfId="299"/>
    <cellStyle name="_Klantcase INVULTOOL 2" xfId="2295"/>
    <cellStyle name="_Klantcase INVULTOOL 2 2" xfId="2296"/>
    <cellStyle name="_KOKOS-BP0709 met mngt fee" xfId="300"/>
    <cellStyle name="_KOKOS-BP0709 operations versie 26 9 06 excl MF VN" xfId="301"/>
    <cellStyle name="_Kopie van BP LLS 2005 v101  ronde 6" xfId="302"/>
    <cellStyle name="_Kopie van BP LLS 2005 v101  ronde 6 2" xfId="303"/>
    <cellStyle name="_Kopie van BP LLS 2005 v101  ronde 6 3" xfId="2297"/>
    <cellStyle name="_Kopie van BP LLS 2005 v101  ronde 6_ND5 squeeze model  whs-whs v2.21 DWDM ILL" xfId="2298"/>
    <cellStyle name="_Kopie van Kostenboom CCA 2007 DEF (excl gebouw)" xfId="2299"/>
    <cellStyle name="_Kopie van Uitkoppelsqueezing tov xDF_WBA CM ACTIE 20090629 (2)" xfId="304"/>
    <cellStyle name="_Kosten DWDM" xfId="305"/>
    <cellStyle name="_kosten model 2005" xfId="306"/>
    <cellStyle name="_kosten model 2005_LPM PL 20101014 Concept" xfId="2300"/>
    <cellStyle name="_kosten model 2005_LPM PL 20101028 obv LRIC inkoop" xfId="2301"/>
    <cellStyle name="_kosten model 2005_ND5 squeeze model  whs-whs v2.21 DWDM ILL" xfId="2302"/>
    <cellStyle name="_Kosten per applicatie v0 4 WSO 19-09-2006" xfId="307"/>
    <cellStyle name="_Kosten per applicatie v0 4 WSO 19-09-2006 2" xfId="308"/>
    <cellStyle name="_Kosten per applicatie v0 4 WSO 19-09-2006 3" xfId="2303"/>
    <cellStyle name="_Kosten per applicatie v0 4 WSO 19-09-2006_ND5 squeeze model  whs-whs v2.21 DWDM ILL" xfId="2304"/>
    <cellStyle name="_Kostenboom CCA 2007 DEF" xfId="2305"/>
    <cellStyle name="_Kostenverdeling ETN v03" xfId="309"/>
    <cellStyle name="_Kostenverdeling ETN v03 2" xfId="310"/>
    <cellStyle name="_Kostenverdeling ETN v03 3" xfId="2306"/>
    <cellStyle name="_Kostenverdeling ETN v03_ND5 squeeze model  whs-whs v2.21 DWDM ILL" xfId="2307"/>
    <cellStyle name="_kostprijs_Ethernet_08_08v1 Coen" xfId="311"/>
    <cellStyle name="_KPN Fixed" xfId="312"/>
    <cellStyle name="_KPN Fixed 2" xfId="2308"/>
    <cellStyle name="_KPN Fixed 2 2" xfId="2309"/>
    <cellStyle name="_KPN NG Ethernet MPLS Building Blocks-v6" xfId="313"/>
    <cellStyle name="_KPN NG Ethernet MPLS Building Blocks-v6_LPM PL 20101014 Concept" xfId="2310"/>
    <cellStyle name="_KPN NG Ethernet MPLS Building Blocks-v6_LPM PL 20101028 obv LRIC inkoop" xfId="2311"/>
    <cellStyle name="_KPN NG Ethernet MPLS Building Blocks-v6_ND5 squeeze model  whs-whs v2.21 DWDM ILL" xfId="2312"/>
    <cellStyle name="_KPN ONE Hardware 4v3" xfId="2313"/>
    <cellStyle name="_KPN ONE Hardware 4v3 2" xfId="2314"/>
    <cellStyle name="_KPN ONE Hardware 4v3 2 2" xfId="2315"/>
    <cellStyle name="_KvB_Full year ZM june 08" xfId="2316"/>
    <cellStyle name="_KWT IS Data 2011-01-07" xfId="2317"/>
    <cellStyle name="_Like-for-like res" xfId="2318"/>
    <cellStyle name="_Like-for-like res 2" xfId="2319"/>
    <cellStyle name="_Like-for-like res_JP2011" xfId="2320"/>
    <cellStyle name="_LOCAL LOOP afdelingen 2004" xfId="314"/>
    <cellStyle name="_LOCAL LOOP afdelingen 2004 2" xfId="315"/>
    <cellStyle name="_LOCAL LOOP afdelingen 2004 2 2" xfId="2321"/>
    <cellStyle name="_LOCAL LOOP afdelingen 2004 3" xfId="2322"/>
    <cellStyle name="_LOCAL LOOP afdelingen 2004_Blad2" xfId="2323"/>
    <cellStyle name="_LOCAL LOOP afdelingen 2004_Blad2 2" xfId="2324"/>
    <cellStyle name="_LOCAL LOOP afdelingen 2004_Blad2_JP2011" xfId="2325"/>
    <cellStyle name="_LOCAL LOOP afdelingen 2004_EVPN Model_20102601_v0.1" xfId="316"/>
    <cellStyle name="_LOCAL LOOP afdelingen 2004_JP2011" xfId="2326"/>
    <cellStyle name="_LOCAL LOOP afdelingen 2004_KWT IS Data 2010-10-07" xfId="2327"/>
    <cellStyle name="_LOCAL LOOP afdelingen 2004_Model Plan 2012" xfId="2328"/>
    <cellStyle name="_LOCAL LOOP afdelingen 2004_ND5 squeeze model  whs-whs v2.21 DWDM ILL" xfId="2329"/>
    <cellStyle name="_LOCAL LOOP afdelingen 2004_ZM IS Data Tarievenboek 2010-03-11" xfId="317"/>
    <cellStyle name="_LOCAL LOOP ILL 2004 versie4" xfId="318"/>
    <cellStyle name="_LOCAL LOOP ILL 2004 versie4 2" xfId="319"/>
    <cellStyle name="_LOCAL LOOP ILL 2004 versie4 3" xfId="2330"/>
    <cellStyle name="_LOCAL LOOP ILL 2004 versie4_ND5 squeeze model  whs-whs v2.21 DWDM ILL" xfId="2331"/>
    <cellStyle name="_Lws Portfolio -  Tss -Preliminary 1215" xfId="320"/>
    <cellStyle name="_Lws Portfolio -  Tss -Preliminary 1215 2" xfId="321"/>
    <cellStyle name="_Lws Portfolio -  Tss -Preliminary 1215 3" xfId="2332"/>
    <cellStyle name="_Lws Portfolio -  Tss -Preliminary 1215_ND5 squeeze model  whs-whs v2.21 DWDM ILL" xfId="2333"/>
    <cellStyle name="_LWS Portfolio Comcode Alignment - Preliminary" xfId="322"/>
    <cellStyle name="_LWS Portfolio Comcode Alignment - Preliminary 2" xfId="323"/>
    <cellStyle name="_LWS Portfolio Comcode Alignment - Preliminary 3" xfId="2334"/>
    <cellStyle name="_LWS Portfolio Comcode Alignment - Preliminary_ND5 squeeze model  whs-whs v2.21 DWDM ILL" xfId="2335"/>
    <cellStyle name="_LWS Portfolio Structure for FY 2003" xfId="324"/>
    <cellStyle name="_LWS Portfolio Structure for FY 2003 2" xfId="325"/>
    <cellStyle name="_LWS Portfolio Structure for FY 2003 3" xfId="2336"/>
    <cellStyle name="_LWS Portfolio Structure for FY 2003_ND5 squeeze model  whs-whs v2.21 DWDM ILL" xfId="2337"/>
    <cellStyle name="_LWS_FIN_SUM_KPN Ethernet NG v1.4" xfId="326"/>
    <cellStyle name="_LWS_FIN_SUM_KPN Ethernet NG v1.4 2" xfId="327"/>
    <cellStyle name="_LWS_FIN_SUM_KPN Ethernet NG v1.4 3" xfId="2338"/>
    <cellStyle name="_LWS_FIN_SUM_KPN Ethernet NG v1.4_ND5 squeeze model  whs-whs v2.21 DWDM ILL" xfId="2339"/>
    <cellStyle name="_LWS_FIN_SUM_KPN Ethernet NG v1.5" xfId="328"/>
    <cellStyle name="_LWS_FIN_SUM_KPN Ethernet NG v1.5 2" xfId="329"/>
    <cellStyle name="_LWS_FIN_SUM_KPN Ethernet NG v1.5 3" xfId="2340"/>
    <cellStyle name="_LWS_FIN_SUM_KPN Ethernet NG v1.5_ND5 squeeze model  whs-whs v2.21 DWDM ILL" xfId="2341"/>
    <cellStyle name="_LWS_FIN_SUM_KPN Ethernet NG v1.6" xfId="330"/>
    <cellStyle name="_LWS_FIN_SUM_KPN Ethernet NG v1.6 2" xfId="331"/>
    <cellStyle name="_LWS_FIN_SUM_KPN Ethernet NG v1.6 3" xfId="2342"/>
    <cellStyle name="_LWS_FIN_SUM_KPN Ethernet NG v1.6_ND5 squeeze model  whs-whs v2.21 DWDM ILL" xfId="2343"/>
    <cellStyle name="_M A S" xfId="332"/>
    <cellStyle name="_M A S 2" xfId="333"/>
    <cellStyle name="_M A S 2 2" xfId="2344"/>
    <cellStyle name="_M A S 3" xfId="2345"/>
    <cellStyle name="_M A S_Blad2" xfId="2346"/>
    <cellStyle name="_M A S_Blad2 2" xfId="2347"/>
    <cellStyle name="_M A S_Blad2_JP2011" xfId="2348"/>
    <cellStyle name="_M A S_EVPN Model_20102601_v0.1" xfId="334"/>
    <cellStyle name="_M A S_JP2011" xfId="2349"/>
    <cellStyle name="_M A S_KWT IS Data 2010-10-07" xfId="2350"/>
    <cellStyle name="_M A S_Model Plan 2012" xfId="2351"/>
    <cellStyle name="_M A S_ND5 squeeze model  whs-whs v2.21 DWDM ILL" xfId="2352"/>
    <cellStyle name="_M A S_ZM IS Data Tarievenboek 2010-03-11" xfId="335"/>
    <cellStyle name="_maandverdeling JP 06 versie 2 inkoop CS" xfId="336"/>
    <cellStyle name="_maandverdeling JP 06 versie 2 inkoop CS 2" xfId="337"/>
    <cellStyle name="_maandverdeling JP 06 versie 2 inkoop CS 3" xfId="2353"/>
    <cellStyle name="_maandverdeling JP 06 versie 2 inkoop CS_20080530 Consolidatie Businessplan v12" xfId="2354"/>
    <cellStyle name="_maandverdeling JP 06 versie 2 inkoop CS_20080530 Consolidatie Businessplan v12 2" xfId="2355"/>
    <cellStyle name="_maandverdeling JP 06 versie 2 inkoop CS_20080530 Consolidatie Businessplan v12_Blad2" xfId="2356"/>
    <cellStyle name="_maandverdeling JP 06 versie 2 inkoop CS_20080530 Consolidatie Businessplan v12_Blad2 2" xfId="2357"/>
    <cellStyle name="_maandverdeling JP 06 versie 2 inkoop CS_20080530 Consolidatie Businessplan v12_Blad2_JP2011" xfId="2358"/>
    <cellStyle name="_maandverdeling JP 06 versie 2 inkoop CS_20080530 Consolidatie Businessplan v12_JP2011" xfId="2359"/>
    <cellStyle name="_maandverdeling JP 06 versie 2 inkoop CS_20080530 Consolidatie Businessplan v12_Model Plan 2012" xfId="2360"/>
    <cellStyle name="_maandverdeling JP 06 versie 2 inkoop CS_20080605 Consolidatie Businessplan v15" xfId="2361"/>
    <cellStyle name="_maandverdeling JP 06 versie 2 inkoop CS_20080605 Consolidatie Businessplan v15 2" xfId="2362"/>
    <cellStyle name="_maandverdeling JP 06 versie 2 inkoop CS_20080605 Consolidatie Businessplan v15_Blad2" xfId="2363"/>
    <cellStyle name="_maandverdeling JP 06 versie 2 inkoop CS_20080605 Consolidatie Businessplan v15_Blad2 2" xfId="2364"/>
    <cellStyle name="_maandverdeling JP 06 versie 2 inkoop CS_20080605 Consolidatie Businessplan v15_Blad2_JP2011" xfId="2365"/>
    <cellStyle name="_maandverdeling JP 06 versie 2 inkoop CS_20080605 Consolidatie Businessplan v15_JP2011" xfId="2366"/>
    <cellStyle name="_maandverdeling JP 06 versie 2 inkoop CS_20080605 Consolidatie Businessplan v15_Model Plan 2012" xfId="2367"/>
    <cellStyle name="_maandverdeling JP 06 versie 2 inkoop CS_20080605 Consolidatie Businessplan v19" xfId="2368"/>
    <cellStyle name="_maandverdeling JP 06 versie 2 inkoop CS_20080605 Consolidatie Businessplan v19 2" xfId="2369"/>
    <cellStyle name="_maandverdeling JP 06 versie 2 inkoop CS_20080605 Consolidatie Businessplan v19_Blad2" xfId="2370"/>
    <cellStyle name="_maandverdeling JP 06 versie 2 inkoop CS_20080605 Consolidatie Businessplan v19_Blad2 2" xfId="2371"/>
    <cellStyle name="_maandverdeling JP 06 versie 2 inkoop CS_20080605 Consolidatie Businessplan v19_Blad2_JP2011" xfId="2372"/>
    <cellStyle name="_maandverdeling JP 06 versie 2 inkoop CS_20080605 Consolidatie Businessplan v19_JP2011" xfId="2373"/>
    <cellStyle name="_maandverdeling JP 06 versie 2 inkoop CS_20080605 Consolidatie Businessplan v19_Model Plan 2012" xfId="2374"/>
    <cellStyle name="_maandverdeling JP 06 versie 2 inkoop CS_Blad2" xfId="2375"/>
    <cellStyle name="_maandverdeling JP 06 versie 2 inkoop CS_Blad2 2" xfId="2376"/>
    <cellStyle name="_maandverdeling JP 06 versie 2 inkoop CS_Blad2_JP2011" xfId="2377"/>
    <cellStyle name="_maandverdeling JP 06 versie 2 inkoop CS_JP2011" xfId="2378"/>
    <cellStyle name="_maandverdeling JP 06 versie 2 inkoop CS_Model Plan 2012" xfId="2379"/>
    <cellStyle name="_maandverdeling JP 06 versie 2 inkoop CS_ND5 squeeze model  whs-whs v2.21 DWDM ILL" xfId="2380"/>
    <cellStyle name="_Managed Service  PL - FC_10 v FC_12" xfId="2381"/>
    <cellStyle name="_Map1" xfId="338"/>
    <cellStyle name="_Map1 (2)" xfId="339"/>
    <cellStyle name="_Map1 (2) 2" xfId="340"/>
    <cellStyle name="_Map1 (2) 3" xfId="2382"/>
    <cellStyle name="_Map1 (2)_ND5 squeeze model  whs-whs v2.21 DWDM ILL" xfId="2383"/>
    <cellStyle name="_Map1 2" xfId="341"/>
    <cellStyle name="_Map1 3" xfId="2384"/>
    <cellStyle name="_Map1_1" xfId="342"/>
    <cellStyle name="_Map1_FC categoraal" xfId="2385"/>
    <cellStyle name="_Map1_GDC nieuwe pfc cc jan  2011 v4" xfId="2386"/>
    <cellStyle name="_Map1_JP2011" xfId="2387"/>
    <cellStyle name="_Map1_JP2011 2" xfId="2388"/>
    <cellStyle name="_Map1_JP2011_1" xfId="2389"/>
    <cellStyle name="_Map1_ND5 squeeze model  whs-whs v2.21 DWDM ILL" xfId="2390"/>
    <cellStyle name="_Map1_Preclosing" xfId="2391"/>
    <cellStyle name="_Map1_Preclosing 2" xfId="2392"/>
    <cellStyle name="_Map1_Preclosing jan11" xfId="2393"/>
    <cellStyle name="_Map1_Preclosing_1" xfId="2394"/>
    <cellStyle name="_Map1_Preclosing_2" xfId="2395"/>
    <cellStyle name="_Map1_Preclosing_3" xfId="2396"/>
    <cellStyle name="_Map1_Preclosing_FC categoraal" xfId="2397"/>
    <cellStyle name="_Map1_Sheet1" xfId="2398"/>
    <cellStyle name="_Map1_Sheet1_1" xfId="2399"/>
    <cellStyle name="_Map1_Sheet1_1 2" xfId="2400"/>
    <cellStyle name="_Map1_Sheet1_1_FC categoraal" xfId="2401"/>
    <cellStyle name="_Map1_Sheet1_2" xfId="2402"/>
    <cellStyle name="_Map1_Sheet1_2 2" xfId="2403"/>
    <cellStyle name="_Map1_Sheet2" xfId="2404"/>
    <cellStyle name="_Map11" xfId="2405"/>
    <cellStyle name="_Map11 2" xfId="2406"/>
    <cellStyle name="_Map11_FC categoraal" xfId="2407"/>
    <cellStyle name="_Map11_GDC nieuwe pfc cc jan  2011 v4" xfId="2408"/>
    <cellStyle name="_Map11_JP2011" xfId="2409"/>
    <cellStyle name="_Map11_JP2011 2" xfId="2410"/>
    <cellStyle name="_Map11_JP2011_1" xfId="2411"/>
    <cellStyle name="_Map11_Preclosing" xfId="2412"/>
    <cellStyle name="_Map11_Preclosing 2" xfId="2413"/>
    <cellStyle name="_Map11_Preclosing jan11" xfId="2414"/>
    <cellStyle name="_Map11_Preclosing_1" xfId="2415"/>
    <cellStyle name="_Map11_Preclosing_2" xfId="2416"/>
    <cellStyle name="_Map11_Preclosing_3" xfId="2417"/>
    <cellStyle name="_Map11_Preclosing_FC categoraal" xfId="2418"/>
    <cellStyle name="_Map11_Sheet1" xfId="2419"/>
    <cellStyle name="_Map11_Sheet1_1" xfId="2420"/>
    <cellStyle name="_Map11_Sheet1_1 2" xfId="2421"/>
    <cellStyle name="_Map11_Sheet1_1_FC categoraal" xfId="2422"/>
    <cellStyle name="_Map11_Sheet1_2" xfId="2423"/>
    <cellStyle name="_Map11_Sheet1_2 2" xfId="2424"/>
    <cellStyle name="_Map11_Sheet2" xfId="2425"/>
    <cellStyle name="_Map2" xfId="343"/>
    <cellStyle name="_Map2 2" xfId="344"/>
    <cellStyle name="_Map2 3" xfId="2426"/>
    <cellStyle name="_Map2_BP07-v27" xfId="345"/>
    <cellStyle name="_Map2_BP07-v27 2" xfId="346"/>
    <cellStyle name="_Map2_BP07-v27 3" xfId="2427"/>
    <cellStyle name="_Map2_BP07-v27_ND5 squeeze model  whs-whs v2.21 DWDM ILL" xfId="2428"/>
    <cellStyle name="_Map2_Interne verrekening SLA2007 WO BO LEV BS - ZM NS CS versie 05-2007" xfId="347"/>
    <cellStyle name="_Map2_Interne verrekening SLA2007 WO BO LEV BS - ZM NS CS versie 05-2007 (2)" xfId="348"/>
    <cellStyle name="_Map2_Interne verrekening SLA2007 WO BO LEV BS - ZM NS CS versie 05-2007 (2) 2" xfId="349"/>
    <cellStyle name="_Map2_Interne verrekening SLA2007 WO BO LEV BS - ZM NS CS versie 05-2007 (2) 3" xfId="2429"/>
    <cellStyle name="_Map2_Interne verrekening SLA2007 WO BO LEV BS - ZM NS CS versie 05-2007 (2)_ND5 squeeze model  whs-whs v2.21 DWDM ILL" xfId="2430"/>
    <cellStyle name="_Map2_Interne verrekening SLA2007 WO BO LEV BS - ZM NS CS versie 05-2007 2" xfId="350"/>
    <cellStyle name="_Map2_Interne verrekening SLA2007 WO BO LEV BS - ZM NS CS versie 05-2007 3" xfId="2431"/>
    <cellStyle name="_Map2_Interne verrekening SLA2007 WO BO LEV BS - ZM NS CS versie 05-2007_ND5 squeeze model  whs-whs v2.21 DWDM ILL" xfId="2432"/>
    <cellStyle name="_Map2_JEVconcept2007 16 mei Marcel_Jeff" xfId="351"/>
    <cellStyle name="_Map2_JEVconcept2007 16 mei Marcel_Jeff 2" xfId="352"/>
    <cellStyle name="_Map2_JEVconcept2007 16 mei Marcel_Jeff 3" xfId="2433"/>
    <cellStyle name="_Map2_JEVconcept2007 16 mei Marcel_Jeff_ND5 squeeze model  whs-whs v2.21 DWDM ILL" xfId="2434"/>
    <cellStyle name="_Map2_ND5 squeeze model  whs-whs v2.21 DWDM ILL" xfId="2435"/>
    <cellStyle name="_Map2_Transferpricing2005 - 2007(restate 2006(definitief13-12-2006)" xfId="353"/>
    <cellStyle name="_Map2_Transferpricing2005 - 2007(restate 2006(definitief13-12-2006) 2" xfId="354"/>
    <cellStyle name="_Map2_Transferpricing2005 - 2007(restate 2006(definitief13-12-2006) 3" xfId="2436"/>
    <cellStyle name="_Map2_Transferpricing2005 - 2007(restate 2006(definitief13-12-2006)_ND5 squeeze model  whs-whs v2.21 DWDM ILL" xfId="2437"/>
    <cellStyle name="_Map2_verrekening producten 11b-12-2006 WSO + ZM evpn lrac 5jr" xfId="355"/>
    <cellStyle name="_Map2_verrekening producten 11b-12-2006 WSO + ZM evpn lrac 5jr 2" xfId="356"/>
    <cellStyle name="_Map2_verrekening producten 11b-12-2006 WSO + ZM evpn lrac 5jr 3" xfId="2438"/>
    <cellStyle name="_Map2_verrekening producten 11b-12-2006 WSO + ZM evpn lrac 5jr_ND5 squeeze model  whs-whs v2.21 DWDM ILL" xfId="2439"/>
    <cellStyle name="_Map2_verrekening producten 4-12-2006 WSO + ZM evpn lrac 5jr" xfId="357"/>
    <cellStyle name="_Map2_verrekening producten 4-12-2006 WSO + ZM evpn lrac 5jr 2" xfId="358"/>
    <cellStyle name="_Map2_verrekening producten 4-12-2006 WSO + ZM evpn lrac 5jr 3" xfId="2440"/>
    <cellStyle name="_Map2_verrekening producten 4-12-2006 WSO + ZM evpn lrac 5jr_ND5 squeeze model  whs-whs v2.21 DWDM ILL" xfId="2441"/>
    <cellStyle name="_Map2_verrekening producten 7-12-2006 WSO + ZM evpn lrac 5jr" xfId="359"/>
    <cellStyle name="_Map2_verrekening producten 7-12-2006 WSO + ZM evpn lrac 5jr 2" xfId="360"/>
    <cellStyle name="_Map2_verrekening producten 7-12-2006 WSO + ZM evpn lrac 5jr 3" xfId="2442"/>
    <cellStyle name="_Map2_verrekening producten 7-12-2006 WSO + ZM evpn lrac 5jr_ND5 squeeze model  whs-whs v2.21 DWDM ILL" xfId="2443"/>
    <cellStyle name="_Map3" xfId="361"/>
    <cellStyle name="_Map3 2" xfId="362"/>
    <cellStyle name="_Map3 3" xfId="2444"/>
    <cellStyle name="_Map3_Active PQ" xfId="363"/>
    <cellStyle name="_Map3_ND5 squeeze model  whs-whs v2.21 DWDM ILL" xfId="2445"/>
    <cellStyle name="_Map3_prijsmix willem KPN Internet berekening 03-2006" xfId="364"/>
    <cellStyle name="_Map3_Prijsmix willem kpn-i vorig jaar" xfId="365"/>
    <cellStyle name="_markt ASL aug05" xfId="2446"/>
    <cellStyle name="_markt ASL aug05 2" xfId="2447"/>
    <cellStyle name="_markt ASL aug05_20080530 Consolidatie Businessplan v12" xfId="2448"/>
    <cellStyle name="_markt ASL aug05_20080530 Consolidatie Businessplan v12 2" xfId="2449"/>
    <cellStyle name="_markt ASL aug05_20080530 Consolidatie Businessplan v12_Blad2" xfId="2450"/>
    <cellStyle name="_markt ASL aug05_20080530 Consolidatie Businessplan v12_Blad2 2" xfId="2451"/>
    <cellStyle name="_markt ASL aug05_20080530 Consolidatie Businessplan v12_Blad2_JP2011" xfId="2452"/>
    <cellStyle name="_markt ASL aug05_20080530 Consolidatie Businessplan v12_JP2011" xfId="2453"/>
    <cellStyle name="_markt ASL aug05_20080530 Consolidatie Businessplan v12_Model Plan 2012" xfId="2454"/>
    <cellStyle name="_markt ASL aug05_20080605 Consolidatie Businessplan v15" xfId="2455"/>
    <cellStyle name="_markt ASL aug05_20080605 Consolidatie Businessplan v15 2" xfId="2456"/>
    <cellStyle name="_markt ASL aug05_20080605 Consolidatie Businessplan v15_Blad2" xfId="2457"/>
    <cellStyle name="_markt ASL aug05_20080605 Consolidatie Businessplan v15_Blad2 2" xfId="2458"/>
    <cellStyle name="_markt ASL aug05_20080605 Consolidatie Businessplan v15_Blad2_JP2011" xfId="2459"/>
    <cellStyle name="_markt ASL aug05_20080605 Consolidatie Businessplan v15_JP2011" xfId="2460"/>
    <cellStyle name="_markt ASL aug05_20080605 Consolidatie Businessplan v15_Model Plan 2012" xfId="2461"/>
    <cellStyle name="_markt ASL aug05_20080605 Consolidatie Businessplan v19" xfId="2462"/>
    <cellStyle name="_markt ASL aug05_20080605 Consolidatie Businessplan v19 2" xfId="2463"/>
    <cellStyle name="_markt ASL aug05_20080605 Consolidatie Businessplan v19_Blad2" xfId="2464"/>
    <cellStyle name="_markt ASL aug05_20080605 Consolidatie Businessplan v19_Blad2 2" xfId="2465"/>
    <cellStyle name="_markt ASL aug05_20080605 Consolidatie Businessplan v19_Blad2_JP2011" xfId="2466"/>
    <cellStyle name="_markt ASL aug05_20080605 Consolidatie Businessplan v19_JP2011" xfId="2467"/>
    <cellStyle name="_markt ASL aug05_20080605 Consolidatie Businessplan v19_Model Plan 2012" xfId="2468"/>
    <cellStyle name="_markt ASL aug05_Blad2" xfId="2469"/>
    <cellStyle name="_markt ASL aug05_Blad2 2" xfId="2470"/>
    <cellStyle name="_markt ASL aug05_Blad2_JP2011" xfId="2471"/>
    <cellStyle name="_markt ASL aug05_JP2011" xfId="2472"/>
    <cellStyle name="_markt ASL aug05_Model Plan 2012" xfId="2473"/>
    <cellStyle name="_MC-overzicht" xfId="366"/>
    <cellStyle name="_MC-overzicht 2" xfId="367"/>
    <cellStyle name="_MC-overzicht 3" xfId="2474"/>
    <cellStyle name="_MC-overzicht_ND5 squeeze model  whs-whs v2.21 DWDM ILL" xfId="2475"/>
    <cellStyle name="_MCTN naar ILL migratie 19-3-2004" xfId="368"/>
    <cellStyle name="_MCTN naar ILL migratie 19-3-2004 2" xfId="369"/>
    <cellStyle name="_MCTN naar ILL migratie 19-3-2004 3" xfId="2476"/>
    <cellStyle name="_MCTN naar ILL migratie 19-3-2004_ND5 squeeze model  whs-whs v2.21 DWDM ILL" xfId="2477"/>
    <cellStyle name="_ML VT 2004-09_Bijlagen Modellen 2004" xfId="2478"/>
    <cellStyle name="_ML VT 2004-09_Bijlagen Modellen 2004 2" xfId="2479"/>
    <cellStyle name="_ML VT 2004-09_Bijlagen Modellen 2004_FC categoraal" xfId="2480"/>
    <cellStyle name="_ML VT 2004-09_Bijlagen Modellen 2004_GDC nieuwe pfc cc jan  2011 v4" xfId="2481"/>
    <cellStyle name="_ML VT 2004-09_Bijlagen Modellen 2004_JP2011" xfId="2482"/>
    <cellStyle name="_ML VT 2004-09_Bijlagen Modellen 2004_JP2011 2" xfId="2483"/>
    <cellStyle name="_ML VT 2004-09_Bijlagen Modellen 2004_JP2011_1" xfId="2484"/>
    <cellStyle name="_ML VT 2004-09_Bijlagen Modellen 2004_Preclosing" xfId="2485"/>
    <cellStyle name="_ML VT 2004-09_Bijlagen Modellen 2004_Preclosing 2" xfId="2486"/>
    <cellStyle name="_ML VT 2004-09_Bijlagen Modellen 2004_Preclosing jan11" xfId="2487"/>
    <cellStyle name="_ML VT 2004-09_Bijlagen Modellen 2004_Preclosing_1" xfId="2488"/>
    <cellStyle name="_ML VT 2004-09_Bijlagen Modellen 2004_Preclosing_2" xfId="2489"/>
    <cellStyle name="_ML VT 2004-09_Bijlagen Modellen 2004_Preclosing_3" xfId="2490"/>
    <cellStyle name="_ML VT 2004-09_Bijlagen Modellen 2004_Preclosing_FC categoraal" xfId="2491"/>
    <cellStyle name="_ML VT 2004-09_Bijlagen Modellen 2004_Sheet1" xfId="2492"/>
    <cellStyle name="_ML VT 2004-09_Bijlagen Modellen 2004_Sheet1_1" xfId="2493"/>
    <cellStyle name="_ML VT 2004-09_Bijlagen Modellen 2004_Sheet1_1 2" xfId="2494"/>
    <cellStyle name="_ML VT 2004-09_Bijlagen Modellen 2004_Sheet1_1_FC categoraal" xfId="2495"/>
    <cellStyle name="_ML VT 2004-09_Bijlagen Modellen 2004_Sheet1_2" xfId="2496"/>
    <cellStyle name="_ML VT 2004-09_Bijlagen Modellen 2004_Sheet1_2 2" xfId="2497"/>
    <cellStyle name="_ML VT 2004-09_Bijlagen Modellen 2004_Sheet2" xfId="2498"/>
    <cellStyle name="_Ml-Financials-2005-07-JEVv5" xfId="2499"/>
    <cellStyle name="_Ml-Financials-2005-07-JEVv5 2" xfId="2500"/>
    <cellStyle name="_Ml-Financials-2005-07-JEVv5_FC categoraal" xfId="2501"/>
    <cellStyle name="_Ml-Financials-2005-07-JEVv5_GDC nieuwe pfc cc jan  2011 v4" xfId="2502"/>
    <cellStyle name="_Ml-Financials-2005-07-JEVv5_JP2011" xfId="2503"/>
    <cellStyle name="_Ml-Financials-2005-07-JEVv5_JP2011 2" xfId="2504"/>
    <cellStyle name="_Ml-Financials-2005-07-JEVv5_JP2011_1" xfId="2505"/>
    <cellStyle name="_Ml-Financials-2005-07-JEVv5_Preclosing" xfId="2506"/>
    <cellStyle name="_Ml-Financials-2005-07-JEVv5_Preclosing 2" xfId="2507"/>
    <cellStyle name="_Ml-Financials-2005-07-JEVv5_Preclosing jan11" xfId="2508"/>
    <cellStyle name="_Ml-Financials-2005-07-JEVv5_Preclosing_1" xfId="2509"/>
    <cellStyle name="_Ml-Financials-2005-07-JEVv5_Preclosing_2" xfId="2510"/>
    <cellStyle name="_Ml-Financials-2005-07-JEVv5_Preclosing_3" xfId="2511"/>
    <cellStyle name="_Ml-Financials-2005-07-JEVv5_Preclosing_FC categoraal" xfId="2512"/>
    <cellStyle name="_Ml-Financials-2005-07-JEVv5_Sheet1" xfId="2513"/>
    <cellStyle name="_Ml-Financials-2005-07-JEVv5_Sheet1_1" xfId="2514"/>
    <cellStyle name="_Ml-Financials-2005-07-JEVv5_Sheet1_1 2" xfId="2515"/>
    <cellStyle name="_Ml-Financials-2005-07-JEVv5_Sheet1_1_FC categoraal" xfId="2516"/>
    <cellStyle name="_Ml-Financials-2005-07-JEVv5_Sheet1_2" xfId="2517"/>
    <cellStyle name="_Ml-Financials-2005-07-JEVv5_Sheet1_2 2" xfId="2518"/>
    <cellStyle name="_Ml-Financials-2005-07-JEVv5_Sheet2" xfId="2519"/>
    <cellStyle name="_ModellenIenMSTotaal2004" xfId="2520"/>
    <cellStyle name="_ModellenIenMSTotaal2004 2" xfId="2521"/>
    <cellStyle name="_ModellenIenMSTotaal2004_FC categoraal" xfId="2522"/>
    <cellStyle name="_ModellenIenMSTotaal2004_GDC nieuwe pfc cc jan  2011 v4" xfId="2523"/>
    <cellStyle name="_ModellenIenMSTotaal2004_JP2011" xfId="2524"/>
    <cellStyle name="_ModellenIenMSTotaal2004_JP2011 2" xfId="2525"/>
    <cellStyle name="_ModellenIenMSTotaal2004_JP2011_1" xfId="2526"/>
    <cellStyle name="_ModellenIenMSTotaal2004_Preclosing" xfId="2527"/>
    <cellStyle name="_ModellenIenMSTotaal2004_Preclosing 2" xfId="2528"/>
    <cellStyle name="_ModellenIenMSTotaal2004_Preclosing jan11" xfId="2529"/>
    <cellStyle name="_ModellenIenMSTotaal2004_Preclosing_1" xfId="2530"/>
    <cellStyle name="_ModellenIenMSTotaal2004_Preclosing_2" xfId="2531"/>
    <cellStyle name="_ModellenIenMSTotaal2004_Preclosing_3" xfId="2532"/>
    <cellStyle name="_ModellenIenMSTotaal2004_Preclosing_FC categoraal" xfId="2533"/>
    <cellStyle name="_ModellenIenMSTotaal2004_Sheet1" xfId="2534"/>
    <cellStyle name="_ModellenIenMSTotaal2004_Sheet1_1" xfId="2535"/>
    <cellStyle name="_ModellenIenMSTotaal2004_Sheet1_1 2" xfId="2536"/>
    <cellStyle name="_ModellenIenMSTotaal2004_Sheet1_1_FC categoraal" xfId="2537"/>
    <cellStyle name="_ModellenIenMSTotaal2004_Sheet1_2" xfId="2538"/>
    <cellStyle name="_ModellenIenMSTotaal2004_Sheet1_2 2" xfId="2539"/>
    <cellStyle name="_ModellenIenMSTotaal2004_Sheet2" xfId="2540"/>
    <cellStyle name="_MPLS Versatel berekeningen 9 feb" xfId="370"/>
    <cellStyle name="_MPLS Versatel berekeningen 9 feb 2" xfId="371"/>
    <cellStyle name="_MPLS Versatel berekeningen 9 feb 3" xfId="2541"/>
    <cellStyle name="_MPLS Versatel berekeningen 9 feb_ND5 squeeze model  whs-whs v2.21 DWDM ILL" xfId="2542"/>
    <cellStyle name="_NCV issues v014" xfId="2543"/>
    <cellStyle name="_Nieuw en traditioneel BP07-09" xfId="2544"/>
    <cellStyle name="_NP- SP epacity-IAS-M-core" xfId="372"/>
    <cellStyle name="_NP- SP epacity-IAS-M-core_LPM PL 20101014 Concept" xfId="2545"/>
    <cellStyle name="_NP- SP epacity-IAS-M-core_LPM PL 20101028 obv LRIC inkoop" xfId="2546"/>
    <cellStyle name="_NP- SP epacity-IAS-M-core_Menucard_Staff_Master_2010-09-12" xfId="2547"/>
    <cellStyle name="_NP- SP epacity-IAS-M-core_ND5 squeeze model  whs-whs v2.21 DWDM ILL" xfId="2548"/>
    <cellStyle name="_NS INS Business case 2007-07-12" xfId="373"/>
    <cellStyle name="_NS INS Business case 2007-07-12 2" xfId="2549"/>
    <cellStyle name="_NS INS Business case 2007-07-12 2 2" xfId="2550"/>
    <cellStyle name="_NS klanten 20070927" xfId="2551"/>
    <cellStyle name="_Off-net verkeer2" xfId="374"/>
    <cellStyle name="_Off-net verkeer2 2" xfId="2552"/>
    <cellStyle name="_Off-net verkeer2 2 2" xfId="2553"/>
    <cellStyle name="_omzetbreakdown jan 2004" xfId="375"/>
    <cellStyle name="_omzetbreakdown jan 2004 2" xfId="2554"/>
    <cellStyle name="_omzetbreakdown jan 2004 2 2" xfId="2555"/>
    <cellStyle name="_One Businessplan - short (20070705) - Ingeleverd" xfId="2556"/>
    <cellStyle name="_One Businessplan - short (20070705) - Ingeleverd 2" xfId="2557"/>
    <cellStyle name="_One Businessplan - short (20070705) - Ingeleverd_Blad2" xfId="2558"/>
    <cellStyle name="_One Businessplan - short (20070705) - Ingeleverd_Blad2 2" xfId="2559"/>
    <cellStyle name="_One Businessplan - short (20070705) - Ingeleverd_Blad2_JP2011" xfId="2560"/>
    <cellStyle name="_One Businessplan - short (20070705) - Ingeleverd_JP2011" xfId="2561"/>
    <cellStyle name="_One Businessplan - short (20070705) - Ingeleverd_Model Plan 2012" xfId="2562"/>
    <cellStyle name="_One klanten (doc v2.3)" xfId="2563"/>
    <cellStyle name="_One Release 5.0 Office Access Pricing (doc 1.1)" xfId="2564"/>
    <cellStyle name="_onp-012 inkoopkosten jwh mobiel en 0676 gegevens 2001" xfId="376"/>
    <cellStyle name="_onp-012 inkoopkosten jwh mobiel en 0676 gegevens 2001 2" xfId="2565"/>
    <cellStyle name="_onp-012 inkoopkosten jwh mobiel en 0676 gegevens 2001 2 2" xfId="2566"/>
    <cellStyle name="_OPEX LOCAL LOOP afdelingen 2004 versie 16" xfId="377"/>
    <cellStyle name="_OPEX LOCAL LOOP afdelingen 2004 versie 16 2" xfId="378"/>
    <cellStyle name="_OPEX LOCAL LOOP afdelingen 2004 versie 16 2 2" xfId="2567"/>
    <cellStyle name="_OPEX LOCAL LOOP afdelingen 2004 versie 16 3" xfId="2568"/>
    <cellStyle name="_OPEX LOCAL LOOP afdelingen 2004 versie 16_Blad2" xfId="2569"/>
    <cellStyle name="_OPEX LOCAL LOOP afdelingen 2004 versie 16_Blad2 2" xfId="2570"/>
    <cellStyle name="_OPEX LOCAL LOOP afdelingen 2004 versie 16_Blad2_JP2011" xfId="2571"/>
    <cellStyle name="_OPEX LOCAL LOOP afdelingen 2004 versie 16_EVPN Model_20102601_v0.1" xfId="379"/>
    <cellStyle name="_OPEX LOCAL LOOP afdelingen 2004 versie 16_JP2011" xfId="2572"/>
    <cellStyle name="_OPEX LOCAL LOOP afdelingen 2004 versie 16_KWT IS Data 2010-10-07" xfId="2573"/>
    <cellStyle name="_OPEX LOCAL LOOP afdelingen 2004 versie 16_Model Plan 2012" xfId="2574"/>
    <cellStyle name="_OPEX LOCAL LOOP afdelingen 2004 versie 16_ND5 squeeze model  whs-whs v2.21 DWDM ILL" xfId="2575"/>
    <cellStyle name="_OPEX LOCAL LOOP afdelingen 2004 versie 16_ZM IS Data Tarievenboek 2010-03-11" xfId="380"/>
    <cellStyle name="_OPTA rapportage CM090701tot" xfId="381"/>
    <cellStyle name="_OPTA rapportage CM091001tot" xfId="382"/>
    <cellStyle name="_OPTA rapportage CM091014tot" xfId="383"/>
    <cellStyle name="_Opzet Jaarplan 2005" xfId="384"/>
    <cellStyle name="_Opzet Jaarplan 2005_LPM PL 20101014 Concept" xfId="2576"/>
    <cellStyle name="_Opzet Jaarplan 2005_LPM PL 20101028 obv LRIC inkoop" xfId="2577"/>
    <cellStyle name="_Opzet Jaarplan 2005_ND5 squeeze model  whs-whs v2.21 DWDM ILL" xfId="2578"/>
    <cellStyle name="_Oud KPN_HetNet_Planetportfolio OPTA" xfId="385"/>
    <cellStyle name="_Oud Nieuw historie" xfId="2579"/>
    <cellStyle name="_Oud Nieuw historie 2" xfId="2580"/>
    <cellStyle name="_Oud Nieuw historie_Blad2" xfId="2581"/>
    <cellStyle name="_Oud Nieuw historie_Blad2 2" xfId="2582"/>
    <cellStyle name="_Oud Nieuw historie_Blad2_JP2011" xfId="2583"/>
    <cellStyle name="_Oud Nieuw historie_JP2011" xfId="2584"/>
    <cellStyle name="_Oud Nieuw historie_Model Plan 2012" xfId="2585"/>
    <cellStyle name="_Overall BP 06-07-08 Rolf (V0.51)1" xfId="386"/>
    <cellStyle name="_overig opbr intern BP 2005" xfId="387"/>
    <cellStyle name="_overig opbr intern BP 2005 2" xfId="2586"/>
    <cellStyle name="_Overige invoer" xfId="2587"/>
    <cellStyle name="_Overzicht FTE Targets_budget_19-02" xfId="2588"/>
    <cellStyle name="_Overzicht kosten CPS mutatietarief" xfId="388"/>
    <cellStyle name="_Paul Top down omzetmodel uitvr LME" xfId="2589"/>
    <cellStyle name="_PC_CC naam aanpassen" xfId="2590"/>
    <cellStyle name="_PC_CC naam aanpassen_GDC nieuwe pfc cc jan  2011 v4" xfId="2591"/>
    <cellStyle name="_Personeelsoverzichten Entercom" xfId="2592"/>
    <cellStyle name="_Personeelsoverzichten Entercom dd 07-10-05 " xfId="2593"/>
    <cellStyle name="_PHILIPS - 08 (09.11.07)" xfId="2594"/>
    <cellStyle name="_PL Model 20090706 def_bijgewerkt door Nebojsa" xfId="389"/>
    <cellStyle name="_PL PFM VS functioneel jul07" xfId="2595"/>
    <cellStyle name="_PL PFM VS functioneel jul07 2" xfId="2596"/>
    <cellStyle name="_Plancijfers 2007" xfId="2597"/>
    <cellStyle name="_Plancijfers 2007 2" xfId="2598"/>
    <cellStyle name="_Plancijfers 2007_Blad2" xfId="2599"/>
    <cellStyle name="_Plancijfers 2007_Blad2 2" xfId="2600"/>
    <cellStyle name="_Plancijfers 2007_Blad2_JP2011" xfId="2601"/>
    <cellStyle name="_Plancijfers 2007_JP2011" xfId="2602"/>
    <cellStyle name="_Plancijfers 2007_Model Plan 2012" xfId="2603"/>
    <cellStyle name="_PMG Forecast 05 V1" xfId="2604"/>
    <cellStyle name="_PMG Forecast 05 V2" xfId="2605"/>
    <cellStyle name="_Portfolio Structure svc products 090502 for Kathy" xfId="390"/>
    <cellStyle name="_Portfolio Structure svc products 090502 for Kathy 2" xfId="391"/>
    <cellStyle name="_Portfolio Structure svc products 090502 for Kathy 3" xfId="2606"/>
    <cellStyle name="_Portfolio Structure svc products 090502 for Kathy_ND5 squeeze model  whs-whs v2.21 DWDM ILL" xfId="2607"/>
    <cellStyle name="_Pricing WMP 5 + nieuwe TV prijzen WBA + ITV stream only" xfId="392"/>
    <cellStyle name="_Product forecast" xfId="2608"/>
    <cellStyle name="_Product info (2)" xfId="2609"/>
    <cellStyle name="_Product info (2) 2" xfId="2610"/>
    <cellStyle name="_Product info (2)_Blad2" xfId="2611"/>
    <cellStyle name="_Product info (2)_Blad2 2" xfId="2612"/>
    <cellStyle name="_Product info (2)_Blad2_JP2011" xfId="2613"/>
    <cellStyle name="_Product info (2)_JP2011" xfId="2614"/>
    <cellStyle name="_Product info (2)_Model Plan 2012" xfId="2615"/>
    <cellStyle name="_Productierapportage CM" xfId="393"/>
    <cellStyle name="_Productierapportage CM 2" xfId="394"/>
    <cellStyle name="_Productierapportage CM 3" xfId="2616"/>
    <cellStyle name="_Productierapportage CM_20080530 Consolidatie Businessplan v12" xfId="2617"/>
    <cellStyle name="_Productierapportage CM_20080530 Consolidatie Businessplan v12 2" xfId="2618"/>
    <cellStyle name="_Productierapportage CM_20080530 Consolidatie Businessplan v12_Blad2" xfId="2619"/>
    <cellStyle name="_Productierapportage CM_20080530 Consolidatie Businessplan v12_Blad2 2" xfId="2620"/>
    <cellStyle name="_Productierapportage CM_20080530 Consolidatie Businessplan v12_Blad2_JP2011" xfId="2621"/>
    <cellStyle name="_Productierapportage CM_20080530 Consolidatie Businessplan v12_JP2011" xfId="2622"/>
    <cellStyle name="_Productierapportage CM_20080530 Consolidatie Businessplan v12_Model Plan 2012" xfId="2623"/>
    <cellStyle name="_Productierapportage CM_20080605 Consolidatie Businessplan v15" xfId="2624"/>
    <cellStyle name="_Productierapportage CM_20080605 Consolidatie Businessplan v15 2" xfId="2625"/>
    <cellStyle name="_Productierapportage CM_20080605 Consolidatie Businessplan v15_Blad2" xfId="2626"/>
    <cellStyle name="_Productierapportage CM_20080605 Consolidatie Businessplan v15_Blad2 2" xfId="2627"/>
    <cellStyle name="_Productierapportage CM_20080605 Consolidatie Businessplan v15_Blad2_JP2011" xfId="2628"/>
    <cellStyle name="_Productierapportage CM_20080605 Consolidatie Businessplan v15_JP2011" xfId="2629"/>
    <cellStyle name="_Productierapportage CM_20080605 Consolidatie Businessplan v15_Model Plan 2012" xfId="2630"/>
    <cellStyle name="_Productierapportage CM_20080605 Consolidatie Businessplan v19" xfId="2631"/>
    <cellStyle name="_Productierapportage CM_20080605 Consolidatie Businessplan v19 2" xfId="2632"/>
    <cellStyle name="_Productierapportage CM_20080605 Consolidatie Businessplan v19_Blad2" xfId="2633"/>
    <cellStyle name="_Productierapportage CM_20080605 Consolidatie Businessplan v19_Blad2 2" xfId="2634"/>
    <cellStyle name="_Productierapportage CM_20080605 Consolidatie Businessplan v19_Blad2_JP2011" xfId="2635"/>
    <cellStyle name="_Productierapportage CM_20080605 Consolidatie Businessplan v19_JP2011" xfId="2636"/>
    <cellStyle name="_Productierapportage CM_20080605 Consolidatie Businessplan v19_Model Plan 2012" xfId="2637"/>
    <cellStyle name="_Productierapportage CM_Blad2" xfId="2638"/>
    <cellStyle name="_Productierapportage CM_Blad2 2" xfId="2639"/>
    <cellStyle name="_Productierapportage CM_Blad2_JP2011" xfId="2640"/>
    <cellStyle name="_Productierapportage CM_JP2011" xfId="2641"/>
    <cellStyle name="_Productierapportage CM_Model Plan 2012" xfId="2642"/>
    <cellStyle name="_Productierapportage CM_ND5 squeeze model  whs-whs v2.21 DWDM ILL" xfId="2643"/>
    <cellStyle name="_Products" xfId="2644"/>
    <cellStyle name="_Profit &amp; Loss" xfId="2645"/>
    <cellStyle name="_Prognoses 2007 Q2 v 0 3 (2)" xfId="395"/>
    <cellStyle name="_Prognoses Q4 2005 final.doc" xfId="396"/>
    <cellStyle name="_Projecten lls 3" xfId="397"/>
    <cellStyle name="_Projecten lls 3_LPM PL 20101014 Concept" xfId="2646"/>
    <cellStyle name="_Projecten lls 3_LPM PL 20101028 obv LRIC inkoop" xfId="2647"/>
    <cellStyle name="_Projecten lls 3_ND5 squeeze model  whs-whs v2.21 DWDM ILL" xfId="2648"/>
    <cellStyle name="_Proposal Org 2009 in OSE-CORP-NL hyp_v5" xfId="2649"/>
    <cellStyle name="_Proposal Org 2009 in OSE-CORP-NL hyp_v5 2" xfId="2650"/>
    <cellStyle name="_Proposal Org 2009 in OSE-CORP-NL hyp_v5_Blad2" xfId="2651"/>
    <cellStyle name="_Proposal Org 2009 in OSE-CORP-NL hyp_v5_Blad2 2" xfId="2652"/>
    <cellStyle name="_Proposal Org 2009 in OSE-CORP-NL hyp_v5_Blad2_JP2011" xfId="2653"/>
    <cellStyle name="_Proposal Org 2009 in OSE-CORP-NL hyp_v5_Copy of Org tabel menu kaart" xfId="2654"/>
    <cellStyle name="_Proposal Org 2009 in OSE-CORP-NL hyp_v5_Entity structuur 2011" xfId="2655"/>
    <cellStyle name="_Proposal Org 2009 in OSE-CORP-NL hyp_v5_GDC nieuwe pfc cc jan  2011 v4" xfId="2656"/>
    <cellStyle name="_Proposal Org 2009 in OSE-CORP-NL hyp_v5_JP2011" xfId="2657"/>
    <cellStyle name="_Proposal Org 2009 in OSE-CORP-NL hyp_v5_Model Plan 2012" xfId="2658"/>
    <cellStyle name="_PVO 41 IC YP MAS Staf naar Staven" xfId="2659"/>
    <cellStyle name="_pxq-ontwikkeling juli '04_v2" xfId="398"/>
    <cellStyle name="_pxq-ontwikkeling juli '04_v2 2" xfId="399"/>
    <cellStyle name="_pxq-ontwikkeling juli '04_v2 3" xfId="2660"/>
    <cellStyle name="_pxq-ontwikkeling juli '04_v2_ND5 squeeze model  whs-whs v2.21 DWDM ILL" xfId="2661"/>
    <cellStyle name="_Pyramid fixed forecast NL 4Q 06" xfId="2662"/>
    <cellStyle name="_Rapportage Tlf 0705" xfId="2663"/>
    <cellStyle name="_rapportage_Jos_Miranda" xfId="400"/>
    <cellStyle name="_rapportage_Jos_Miranda 2" xfId="2664"/>
    <cellStyle name="_rapportage_Jos_Miranda 2 2" xfId="2665"/>
    <cellStyle name="_Realisatie" xfId="401"/>
    <cellStyle name="_Realisatie 2" xfId="402"/>
    <cellStyle name="_Realisatie 3" xfId="2666"/>
    <cellStyle name="_Realisatie_ND5 squeeze model  whs-whs v2.21 DWDM ILL" xfId="2667"/>
    <cellStyle name="_recepten EVPN draft_v0.9_20090420" xfId="403"/>
    <cellStyle name="_Region 1 client list" xfId="2668"/>
    <cellStyle name="_Remote Serv+Client Serv Summary" xfId="2669"/>
    <cellStyle name="_Revenue Detail (12)" xfId="2670"/>
    <cellStyle name="_Routerkosten (kooprouters)" xfId="404"/>
    <cellStyle name="_Routerkosten (kooprouters) 2" xfId="2671"/>
    <cellStyle name="_Routerkosten (kooprouters) 2 2" xfId="2672"/>
    <cellStyle name="_Routerkosten (kooprouters)_EVPN Model_20102601_v0.1" xfId="405"/>
    <cellStyle name="_Routerkosten (kooprouters)_KWT IS Data 2010-10-07" xfId="2673"/>
    <cellStyle name="_Routerkosten (kooprouters)_ND5 squeeze model  whs-whs v2.21 DWDM ILL" xfId="2674"/>
    <cellStyle name="_Routerkosten (kooprouters)_ZM IS Data Tarievenboek 2010-03-11" xfId="406"/>
    <cellStyle name="_SAC rapportage april" xfId="2675"/>
    <cellStyle name="_SAC rapportage april 2" xfId="2676"/>
    <cellStyle name="_SAC rapportage april_Blad2" xfId="2677"/>
    <cellStyle name="_SAC rapportage april_Blad2 2" xfId="2678"/>
    <cellStyle name="_SAC rapportage april_Blad2_JP2011" xfId="2679"/>
    <cellStyle name="_SAC rapportage april_JP2011" xfId="2680"/>
    <cellStyle name="_SAC rapportage april_Model Plan 2012" xfId="2681"/>
    <cellStyle name="_SAC rapportage juli jev" xfId="2682"/>
    <cellStyle name="_SAC rapportage juli jev 2" xfId="2683"/>
    <cellStyle name="_SAC rapportage juli jev_Blad2" xfId="2684"/>
    <cellStyle name="_SAC rapportage juli jev_Blad2 2" xfId="2685"/>
    <cellStyle name="_SAC rapportage juli jev_Blad2_JP2011" xfId="2686"/>
    <cellStyle name="_SAC rapportage juli jev_JP2011" xfId="2687"/>
    <cellStyle name="_SAC rapportage juli jev_Model Plan 2012" xfId="2688"/>
    <cellStyle name="_SAC rapportage juni jev mv" xfId="2689"/>
    <cellStyle name="_SAC rapportage juni jev mv 2" xfId="2690"/>
    <cellStyle name="_SAC rapportage juni jev mv_Blad2" xfId="2691"/>
    <cellStyle name="_SAC rapportage juni jev mv_Blad2 2" xfId="2692"/>
    <cellStyle name="_SAC rapportage juni jev mv_Blad2_JP2011" xfId="2693"/>
    <cellStyle name="_SAC rapportage juni jev mv_JP2011" xfId="2694"/>
    <cellStyle name="_SAC rapportage juni jev mv_Model Plan 2012" xfId="2695"/>
    <cellStyle name="_SAcode digitale VV  tot en met 2048kbps VVIS" xfId="407"/>
    <cellStyle name="_SANOFI AVENTIS - 08 (DAWN LEWRY)" xfId="2696"/>
    <cellStyle name="_SAP-NL EC07 Boeking IES NL P03 (2)" xfId="2697"/>
    <cellStyle name="_SAP-NL EC07 Boeking IES NL P03 (2)_GDC nieuwe pfc cc jan  2011 v4" xfId="2698"/>
    <cellStyle name="_SAP-NL EC13 IES Achmea P02 YTD 600k" xfId="2699"/>
    <cellStyle name="_SAP-NL EC13 IES Achmea P02 YTD 600k_GDC nieuwe pfc cc jan  2011 v4" xfId="2700"/>
    <cellStyle name="_SAP-NL EC17 Commission IES Locals YTD P02" xfId="2701"/>
    <cellStyle name="_SAP-NL EC17 Commission IES Locals YTD P02_GDC nieuwe pfc cc jan  2011 v4" xfId="2702"/>
    <cellStyle name="_SB Voice ZM Rapportage categoraal maand januari 2006r" xfId="408"/>
    <cellStyle name="_SB Voice ZM Rapportage categoraal maand januari 2006r 2" xfId="409"/>
    <cellStyle name="_SB Voice ZM Rapportage categoraal maand januari 2006r 3" xfId="2703"/>
    <cellStyle name="_SB Voice ZM Rapportage categoraal maand januari 2006r_Blad2" xfId="2704"/>
    <cellStyle name="_SB Voice ZM Rapportage categoraal maand januari 2006r_Blad2 2" xfId="2705"/>
    <cellStyle name="_SB Voice ZM Rapportage categoraal maand januari 2006r_Blad2_JP2011" xfId="2706"/>
    <cellStyle name="_SB Voice ZM Rapportage categoraal maand januari 2006r_JP2011" xfId="2707"/>
    <cellStyle name="_SB Voice ZM Rapportage categoraal maand januari 2006r_Model Plan 2012" xfId="2708"/>
    <cellStyle name="_SB Voice ZM Rapportage categoraal maand januari 2006r_ND5 squeeze model  whs-whs v2.21 DWDM ILL" xfId="2709"/>
    <cellStyle name="_Schlumberger022305v3" xfId="2710"/>
    <cellStyle name="_SCOTTISH WIDOWS - 08 A.Haslam input" xfId="2711"/>
    <cellStyle name="_SDsummary(actuals) April 07" xfId="2712"/>
    <cellStyle name="_SDsummary(actuals) April 07_FC_06" xfId="2713"/>
    <cellStyle name="_SDsummary(actuals) April 07_Sheet1" xfId="2714"/>
    <cellStyle name="_Seats per country" xfId="2715"/>
    <cellStyle name="_Seats per country_ManInput" xfId="2716"/>
    <cellStyle name="_Seats per country_ManInput_Sheet1" xfId="2717"/>
    <cellStyle name="_september 2006" xfId="2718"/>
    <cellStyle name="_Service product listing 091102" xfId="410"/>
    <cellStyle name="_Service product listing 091102 2" xfId="411"/>
    <cellStyle name="_Service product listing 091102 3" xfId="2719"/>
    <cellStyle name="_Service product listing 091102_ND5 squeeze model  whs-whs v2.21 DWDM ILL" xfId="2720"/>
    <cellStyle name="_Sheet1" xfId="2721"/>
    <cellStyle name="_Sheet1 2" xfId="2722"/>
    <cellStyle name="_Sheet1_ManInput" xfId="2723"/>
    <cellStyle name="_Sheet1_Risks" xfId="2724"/>
    <cellStyle name="_Sheet1_Sheet1" xfId="2725"/>
    <cellStyle name="_Sheet2" xfId="2726"/>
    <cellStyle name="_Sheet2 2" xfId="2727"/>
    <cellStyle name="_Sheet2_JP2011" xfId="2728"/>
    <cellStyle name="_Sheet3" xfId="2729"/>
    <cellStyle name="_Sheet4" xfId="412"/>
    <cellStyle name="_Sheet4_ND5 squeeze model  whs-whs v2.21 DWDM ILL" xfId="2730"/>
    <cellStyle name="_SHELL - 08 PB 6 Nov" xfId="2731"/>
    <cellStyle name="_Site NS" xfId="2732"/>
    <cellStyle name="_SLA-bijlage BS-Conn 2006v03" xfId="413"/>
    <cellStyle name="_SLA-bijlage BS-Conn 2006v03 2" xfId="414"/>
    <cellStyle name="_SLA-bijlage BS-Conn 2006v03 3" xfId="2733"/>
    <cellStyle name="_SLA-bijlage BS-Conn 2006v03_ND5 squeeze model  whs-whs v2.21 DWDM ILL" xfId="2734"/>
    <cellStyle name="_Southern Region 2008 Coverage Customer Budget V 1.4" xfId="2735"/>
    <cellStyle name="_Southern Region 2008 Depth Customer Budget V1.7 values" xfId="2736"/>
    <cellStyle name="_Southern Region 2008 Depth Customer Budget V1.7 values_ManInput" xfId="2737"/>
    <cellStyle name="_Southern Region 2008 Depth Customer Budget V1.7 values_Risks" xfId="2738"/>
    <cellStyle name="_Southern Region 2008 Depth Customer Budget V1.7 values_Sheet1" xfId="2739"/>
    <cellStyle name="_Southern Region 2008 Depth Customer Budget V2.3" xfId="2740"/>
    <cellStyle name="_Southern Region Depth Customer Account Analysis V 1.0" xfId="2741"/>
    <cellStyle name="_Southern Region Management Overhead" xfId="2742"/>
    <cellStyle name="_Southern Region Management Overhead Reporting Pack V1.1" xfId="2743"/>
    <cellStyle name="_Stafafdelingen v2" xfId="415"/>
    <cellStyle name="_Stafafdelingen v2 2" xfId="416"/>
    <cellStyle name="_Stafafdelingen v2 3" xfId="2744"/>
    <cellStyle name="_Stafafdelingen v2_ND5 squeeze model  whs-whs v2.21 DWDM ILL" xfId="2745"/>
    <cellStyle name="_SUBSEA 7 - 08 MC v1" xfId="2746"/>
    <cellStyle name="_Succesvolle orders 2008" xfId="417"/>
    <cellStyle name="_Summary Business Plan 01-jun-2006" xfId="2747"/>
    <cellStyle name="_SUPERDRUG - 08 TEMPLATE PB 7 Nov" xfId="2748"/>
    <cellStyle name="_Tariefbepaling 2007_v21082006 voor Engelse presentatie (2)" xfId="418"/>
    <cellStyle name="_Tariefbepaling 2007_v21082006 voor Engelse presentatie (2) 2" xfId="419"/>
    <cellStyle name="_Tariefbepaling 2007_v21082006 voor Engelse presentatie (2) 3" xfId="2749"/>
    <cellStyle name="_Tariefbepaling 2007_v21082006 voor Engelse presentatie (2)_ND5 squeeze model  whs-whs v2.21 DWDM ILL" xfId="2750"/>
    <cellStyle name="_Tariefvoorstel ILL DWDM 240209 (2)" xfId="420"/>
    <cellStyle name="_Tariefvoorstel ILL DWDM 240209 (2)_LPM PL 20101014 Concept" xfId="2751"/>
    <cellStyle name="_Tariefvoorstel ILL DWDM 240209 (2)_LPM PL 20101028 obv LRIC inkoop" xfId="2752"/>
    <cellStyle name="_Tariefvoorstel ILL DWDM 240209 (2)_ND5 squeeze model  whs-whs v2.21 DWDM ILL" xfId="2753"/>
    <cellStyle name="_tarieven DWDM 20-5-2009-com" xfId="421"/>
    <cellStyle name="_tarieven DWDM 20-5-2009-com 2" xfId="422"/>
    <cellStyle name="_tarieven DWDM 20-5-2009-com 3" xfId="2754"/>
    <cellStyle name="_Tarieven DWDM ILL 3 juni 2011" xfId="2755"/>
    <cellStyle name="_tarieven ILL DWDM 11-5-2009" xfId="423"/>
    <cellStyle name="_tarieven ILL DWDM 11-5-2009 2" xfId="424"/>
    <cellStyle name="_tarieven ILL DWDM 11-5-2009 3" xfId="2756"/>
    <cellStyle name="_tarieven ILL DWDM 11-5-2009_ND5 squeeze model  whs-whs v2.21 DWDM ILL" xfId="2757"/>
    <cellStyle name="_tarieven ILL DWDM 27-10-2009" xfId="2758"/>
    <cellStyle name="_tarieven ILL DWDM 27-4-2009" xfId="425"/>
    <cellStyle name="_tarieven ILL DWDM 27-4-2009_ND5 squeeze model  whs-whs v2.21 DWDM ILL" xfId="2759"/>
    <cellStyle name="_tarieven ILL DWDM 29-10-2009" xfId="2760"/>
    <cellStyle name="_tarieven ILL SDH 30-1-2009" xfId="426"/>
    <cellStyle name="_tarieven ILL SDH 30-1-2009 2" xfId="427"/>
    <cellStyle name="_tarieven ILL SDH 30-1-2009 3" xfId="2761"/>
    <cellStyle name="_tarieven ILL SDH 30-1-2009_ND5 squeeze model  whs-whs v2.21 DWDM ILL" xfId="2762"/>
    <cellStyle name="_tarieven ILL SDH 6-2-2009" xfId="428"/>
    <cellStyle name="_tarieven ILL SDH 6-2-2009 2" xfId="429"/>
    <cellStyle name="_tarieven ILL SDH 6-2-2009 3" xfId="2763"/>
    <cellStyle name="_tarieven ILL SDH 6-2-2009_ND5 squeeze model  whs-whs v2.21 DWDM ILL" xfId="2764"/>
    <cellStyle name="_Tarieven ILL-breedband en DWDM 21-1-2009" xfId="430"/>
    <cellStyle name="_Tarieven ILL-breedband en DWDM 21-1-2009 2" xfId="431"/>
    <cellStyle name="_Tarieven ILL-breedband en DWDM 21-1-2009 3" xfId="2765"/>
    <cellStyle name="_Tarieven ILL-breedband en DWDM 21-1-2009_ND5 squeeze model  whs-whs v2.21 DWDM ILL" xfId="2766"/>
    <cellStyle name="_tarieven SDH 15-7-2009-com" xfId="432"/>
    <cellStyle name="_tarieven SDH 15-7-2009-com_ND5 squeeze model  whs-whs v2.21 DWDM ILL" xfId="2767"/>
    <cellStyle name="_tarieven SDH 20-5-2009-com" xfId="433"/>
    <cellStyle name="_tarieven SDH 20-5-2009-com 2" xfId="434"/>
    <cellStyle name="_tarieven SDH 20-5-2009-com 3" xfId="2768"/>
    <cellStyle name="_Telfort (oud) portfolio - toevoeging" xfId="435"/>
    <cellStyle name="_test1" xfId="436"/>
    <cellStyle name="_test1 2" xfId="437"/>
    <cellStyle name="_test1 3" xfId="2769"/>
    <cellStyle name="_test1_ND5 squeeze model  whs-whs v2.21 DWDM ILL" xfId="2770"/>
    <cellStyle name="_THOMAS COOK - 08 Forecast pmil v3.0" xfId="2771"/>
    <cellStyle name="_THRESHER - 08 TEMPLATE" xfId="2772"/>
    <cellStyle name="_T-MOBILE - 08 Fergal Donnelly" xfId="2773"/>
    <cellStyle name="_TOT_DSL_INV_2004" xfId="438"/>
    <cellStyle name="_Totaal ACTIEF Input JP 2005 " xfId="439"/>
    <cellStyle name="_Totaal ACTIEF Input JP 2005  2" xfId="440"/>
    <cellStyle name="_Totaal ACTIEF Input JP 2005  3" xfId="2774"/>
    <cellStyle name="_Totaal ACTIEF Input JP 2005 _ND5 squeeze model  whs-whs v2.21 DWDM ILL" xfId="2775"/>
    <cellStyle name="_Totaal effect besluit Steven 14-12-2006 verrekening 30-1-2007" xfId="441"/>
    <cellStyle name="_Totaal vast Q4 2004 v0 301104" xfId="2776"/>
    <cellStyle name="_Totaal vast Q4 2004 v0 301104_Book2" xfId="2777"/>
    <cellStyle name="_Totaal vast Q4 2004 v0 301104_Book3" xfId="2778"/>
    <cellStyle name="_Totaal vast Q4 2004 v0 301104_ICS KPI" xfId="2779"/>
    <cellStyle name="_TOTAALIFRS excl. kosten11" xfId="442"/>
    <cellStyle name="_Totaalsheet dec v10" xfId="2780"/>
    <cellStyle name="_Totaalsheet dec v10 2" xfId="2781"/>
    <cellStyle name="_Totaalsheet dec v10_FC categoraal" xfId="2782"/>
    <cellStyle name="_Totaalsheet dec v10_GDC nieuwe pfc cc jan  2011 v4" xfId="2783"/>
    <cellStyle name="_Totaalsheet dec v10_JP2011" xfId="2784"/>
    <cellStyle name="_Totaalsheet dec v10_JP2011 2" xfId="2785"/>
    <cellStyle name="_Totaalsheet dec v10_JP2011_1" xfId="2786"/>
    <cellStyle name="_Totaalsheet dec v10_Preclosing" xfId="2787"/>
    <cellStyle name="_Totaalsheet dec v10_Preclosing 2" xfId="2788"/>
    <cellStyle name="_Totaalsheet dec v10_Preclosing jan11" xfId="2789"/>
    <cellStyle name="_Totaalsheet dec v10_Preclosing_1" xfId="2790"/>
    <cellStyle name="_Totaalsheet dec v10_Preclosing_2" xfId="2791"/>
    <cellStyle name="_Totaalsheet dec v10_Preclosing_3" xfId="2792"/>
    <cellStyle name="_Totaalsheet dec v10_Preclosing_FC categoraal" xfId="2793"/>
    <cellStyle name="_Totaalsheet dec v10_Sheet1" xfId="2794"/>
    <cellStyle name="_Totaalsheet dec v10_Sheet1_1" xfId="2795"/>
    <cellStyle name="_Totaalsheet dec v10_Sheet1_1 2" xfId="2796"/>
    <cellStyle name="_Totaalsheet dec v10_Sheet1_1_FC categoraal" xfId="2797"/>
    <cellStyle name="_Totaalsheet dec v10_Sheet1_2" xfId="2798"/>
    <cellStyle name="_Totaalsheet dec v10_Sheet1_2 2" xfId="2799"/>
    <cellStyle name="_Totaalsheet dec v10_Sheet2" xfId="2800"/>
    <cellStyle name="_Totaalsheet nov v4" xfId="2801"/>
    <cellStyle name="_TotaalVerrekening  effect besluit Steven 14-12-2006 30-1-2007 (2)" xfId="443"/>
    <cellStyle name="_TR004OMONE sep (definitief)" xfId="2802"/>
    <cellStyle name="_TRADER MEDIA - 08 M.Twiggs" xfId="2803"/>
    <cellStyle name="_Tranferpricing input Zakelijk markt (MH07122006)" xfId="444"/>
    <cellStyle name="_Transitoria Totaal sept  2007 naar control (met correctie 01-10-2007)" xfId="2804"/>
    <cellStyle name="_Transitoria Totaal sept  2007 naar control (met correctie 01-10-2007) 2" xfId="2805"/>
    <cellStyle name="_Transitoria Totaal sept  2007 naar control (met correctie 01-10-2007)_Blad2" xfId="2806"/>
    <cellStyle name="_Transitoria Totaal sept  2007 naar control (met correctie 01-10-2007)_Blad2 2" xfId="2807"/>
    <cellStyle name="_Transitoria Totaal sept  2007 naar control (met correctie 01-10-2007)_Blad2_JP2011" xfId="2808"/>
    <cellStyle name="_Transitoria Totaal sept  2007 naar control (met correctie 01-10-2007)_JP2011" xfId="2809"/>
    <cellStyle name="_Transitoria Totaal sept  2007 naar control (met correctie 01-10-2007)_Model Plan 2012" xfId="2810"/>
    <cellStyle name="_TSS" xfId="445"/>
    <cellStyle name="_TSS 2" xfId="446"/>
    <cellStyle name="_TSS 3" xfId="2811"/>
    <cellStyle name="_tss Portfolio as of 102" xfId="447"/>
    <cellStyle name="_tss Portfolio as of 102 2" xfId="448"/>
    <cellStyle name="_tss Portfolio as of 102 3" xfId="2812"/>
    <cellStyle name="_tss Portfolio as of 102_ND5 squeeze model  whs-whs v2.21 DWDM ILL" xfId="2813"/>
    <cellStyle name="_TSS_ND5 squeeze model  whs-whs v2.21 DWDM ILL" xfId="2814"/>
    <cellStyle name="_Uitkoppelsqueezing tov xDF_WBA CM ACTIE 20090629" xfId="449"/>
    <cellStyle name="_Uitvraagmodel JP CO 2007 vs1 2 (VDAS)" xfId="2815"/>
    <cellStyle name="_UNISON - 2008 (Steve Newton)" xfId="2816"/>
    <cellStyle name="_Update BPv2" xfId="2817"/>
    <cellStyle name="_Update BPv2 2" xfId="2818"/>
    <cellStyle name="_Update BPv2_Blad2" xfId="2819"/>
    <cellStyle name="_Update BPv2_Blad2 2" xfId="2820"/>
    <cellStyle name="_Update BPv2_Blad2_JP2011" xfId="2821"/>
    <cellStyle name="_Update BPv2_JP2011" xfId="2822"/>
    <cellStyle name="_Update BPv2_Model Plan 2012" xfId="2823"/>
    <cellStyle name="_UPFST_IV funding O&amp;C-NS 09-2007" xfId="2824"/>
    <cellStyle name="_UPFST_IV funding O&amp;C-NS 09-2007 2" xfId="2825"/>
    <cellStyle name="_UPFST_IV funding O&amp;C-NS 09-2007_Blad2" xfId="2826"/>
    <cellStyle name="_UPFST_IV funding O&amp;C-NS 09-2007_Blad2 2" xfId="2827"/>
    <cellStyle name="_UPFST_IV funding O&amp;C-NS 09-2007_Blad2_JP2011" xfId="2828"/>
    <cellStyle name="_UPFST_IV funding O&amp;C-NS 09-2007_JP2011" xfId="2829"/>
    <cellStyle name="_UPFST_IV funding O&amp;C-NS 09-2007_Model Plan 2012" xfId="2830"/>
    <cellStyle name="_USS totaal v3_leontine NS" xfId="2831"/>
    <cellStyle name="_USS totaal v3_leontine NS 2" xfId="2832"/>
    <cellStyle name="_USS totaal v3_leontine NS_Blad2" xfId="2833"/>
    <cellStyle name="_USS totaal v3_leontine NS_Blad2 2" xfId="2834"/>
    <cellStyle name="_USS totaal v3_leontine NS_Blad2_JP2011" xfId="2835"/>
    <cellStyle name="_USS totaal v3_leontine NS_JP2011" xfId="2836"/>
    <cellStyle name="_USS totaal v3_leontine NS_Model Plan 2012" xfId="2837"/>
    <cellStyle name="_USS Zm (definitief v5) test set NS oud-nieuw" xfId="2838"/>
    <cellStyle name="_USS Zm (definitief v5) test set NS oud-nieuw 2" xfId="2839"/>
    <cellStyle name="_USS Zm (definitief v5) test set NS oud-nieuw_Blad2" xfId="2840"/>
    <cellStyle name="_USS Zm (definitief v5) test set NS oud-nieuw_Blad2 2" xfId="2841"/>
    <cellStyle name="_USS Zm (definitief v5) test set NS oud-nieuw_Blad2_JP2011" xfId="2842"/>
    <cellStyle name="_USS Zm (definitief v5) test set NS oud-nieuw_JP2011" xfId="2843"/>
    <cellStyle name="_USS Zm (definitief v5) test set NS oud-nieuw_Model Plan 2012" xfId="2844"/>
    <cellStyle name="_V&amp;W VT feb 04 versie Is_8mrt" xfId="450"/>
    <cellStyle name="_V&amp;W VT feb 04 versie Is_8mrt 2" xfId="451"/>
    <cellStyle name="_V&amp;W VT feb 04 versie Is_8mrt 3" xfId="2845"/>
    <cellStyle name="_V&amp;W VT feb 04 versie Is_8mrt_20080530 Consolidatie Businessplan v12" xfId="2846"/>
    <cellStyle name="_V&amp;W VT feb 04 versie Is_8mrt_20080530 Consolidatie Businessplan v12 2" xfId="2847"/>
    <cellStyle name="_V&amp;W VT feb 04 versie Is_8mrt_20080530 Consolidatie Businessplan v12_Blad2" xfId="2848"/>
    <cellStyle name="_V&amp;W VT feb 04 versie Is_8mrt_20080530 Consolidatie Businessplan v12_Blad2 2" xfId="2849"/>
    <cellStyle name="_V&amp;W VT feb 04 versie Is_8mrt_20080530 Consolidatie Businessplan v12_Blad2_JP2011" xfId="2850"/>
    <cellStyle name="_V&amp;W VT feb 04 versie Is_8mrt_20080530 Consolidatie Businessplan v12_JP2011" xfId="2851"/>
    <cellStyle name="_V&amp;W VT feb 04 versie Is_8mrt_20080530 Consolidatie Businessplan v12_Model Plan 2012" xfId="2852"/>
    <cellStyle name="_V&amp;W VT feb 04 versie Is_8mrt_20080605 Consolidatie Businessplan v15" xfId="2853"/>
    <cellStyle name="_V&amp;W VT feb 04 versie Is_8mrt_20080605 Consolidatie Businessplan v15 2" xfId="2854"/>
    <cellStyle name="_V&amp;W VT feb 04 versie Is_8mrt_20080605 Consolidatie Businessplan v15_Blad2" xfId="2855"/>
    <cellStyle name="_V&amp;W VT feb 04 versie Is_8mrt_20080605 Consolidatie Businessplan v15_Blad2 2" xfId="2856"/>
    <cellStyle name="_V&amp;W VT feb 04 versie Is_8mrt_20080605 Consolidatie Businessplan v15_Blad2_JP2011" xfId="2857"/>
    <cellStyle name="_V&amp;W VT feb 04 versie Is_8mrt_20080605 Consolidatie Businessplan v15_JP2011" xfId="2858"/>
    <cellStyle name="_V&amp;W VT feb 04 versie Is_8mrt_20080605 Consolidatie Businessplan v15_Model Plan 2012" xfId="2859"/>
    <cellStyle name="_V&amp;W VT feb 04 versie Is_8mrt_20080605 Consolidatie Businessplan v19" xfId="2860"/>
    <cellStyle name="_V&amp;W VT feb 04 versie Is_8mrt_20080605 Consolidatie Businessplan v19 2" xfId="2861"/>
    <cellStyle name="_V&amp;W VT feb 04 versie Is_8mrt_20080605 Consolidatie Businessplan v19_Blad2" xfId="2862"/>
    <cellStyle name="_V&amp;W VT feb 04 versie Is_8mrt_20080605 Consolidatie Businessplan v19_Blad2 2" xfId="2863"/>
    <cellStyle name="_V&amp;W VT feb 04 versie Is_8mrt_20080605 Consolidatie Businessplan v19_Blad2_JP2011" xfId="2864"/>
    <cellStyle name="_V&amp;W VT feb 04 versie Is_8mrt_20080605 Consolidatie Businessplan v19_JP2011" xfId="2865"/>
    <cellStyle name="_V&amp;W VT feb 04 versie Is_8mrt_20080605 Consolidatie Businessplan v19_Model Plan 2012" xfId="2866"/>
    <cellStyle name="_V&amp;W VT feb 04 versie Is_8mrt_Blad2" xfId="2867"/>
    <cellStyle name="_V&amp;W VT feb 04 versie Is_8mrt_Blad2 2" xfId="2868"/>
    <cellStyle name="_V&amp;W VT feb 04 versie Is_8mrt_Blad2_JP2011" xfId="2869"/>
    <cellStyle name="_V&amp;W VT feb 04 versie Is_8mrt_JP2011" xfId="2870"/>
    <cellStyle name="_V&amp;W VT feb 04 versie Is_8mrt_Model Plan 2012" xfId="2871"/>
    <cellStyle name="_V&amp;W VT feb 04 versie Is_8mrt_ND5 squeeze model  whs-whs v2.21 DWDM ILL" xfId="2872"/>
    <cellStyle name="_VAMO allocatie 6_RF_BVB" xfId="2873"/>
    <cellStyle name="_VAMO allocatie 6_RF_BVB 2" xfId="2874"/>
    <cellStyle name="_VAMO allocatie 6_RF_BVB_Blad2" xfId="2875"/>
    <cellStyle name="_VAMO allocatie 6_RF_BVB_Blad2 2" xfId="2876"/>
    <cellStyle name="_VAMO allocatie 6_RF_BVB_Blad2_JP2011" xfId="2877"/>
    <cellStyle name="_VAMO allocatie 6_RF_BVB_JP2011" xfId="2878"/>
    <cellStyle name="_VAMO allocatie 6_RF_BVB_Model Plan 2012" xfId="2879"/>
    <cellStyle name="_Verdeelsleutels CU P&amp;L 2007 v4" xfId="2880"/>
    <cellStyle name="_Verdeling BM BP2008 naar PFM v2" xfId="2881"/>
    <cellStyle name="_Verdienend Vermogen" xfId="2882"/>
    <cellStyle name="_Verkeerstarieven-v83 (15-07-2006)" xfId="452"/>
    <cellStyle name="_verrekening 24-12-2007 - update 15-1-08" xfId="2883"/>
    <cellStyle name="_Verrekening NS-CS (oud-IMS portfolio) maart 07" xfId="2884"/>
    <cellStyle name="_verrekening producten 11b-12-2006 WSO + ZM evpn lrac 5jr" xfId="453"/>
    <cellStyle name="_verrekening producten 4-12-2006 WSO + ZM evpn lrac 5jr" xfId="454"/>
    <cellStyle name="_verrekening producten 7-12-2006 WSO + ZM evpn lrac 5jr" xfId="455"/>
    <cellStyle name="_Verzoek aanpassen boekingssleutels IV VP 302 20070419" xfId="456"/>
    <cellStyle name="_vodsl verrekeningen  jul 2006" xfId="2885"/>
    <cellStyle name="_Volume table BU CS Q3 04" xfId="2886"/>
    <cellStyle name="_Volume table BU CS Q3 04 2" xfId="2887"/>
    <cellStyle name="_Volume table BU CS Q3 04_FC categoraal" xfId="2888"/>
    <cellStyle name="_Volume table BU CS Q3 04_GDC nieuwe pfc cc jan  2011 v4" xfId="2889"/>
    <cellStyle name="_Volume table BU CS Q3 04_JP2011" xfId="2890"/>
    <cellStyle name="_Volume table BU CS Q3 04_JP2011 2" xfId="2891"/>
    <cellStyle name="_Volume table BU CS Q3 04_JP2011_1" xfId="2892"/>
    <cellStyle name="_Volume table BU CS Q3 04_Preclosing" xfId="2893"/>
    <cellStyle name="_Volume table BU CS Q3 04_Preclosing 2" xfId="2894"/>
    <cellStyle name="_Volume table BU CS Q3 04_Preclosing jan11" xfId="2895"/>
    <cellStyle name="_Volume table BU CS Q3 04_Preclosing_1" xfId="2896"/>
    <cellStyle name="_Volume table BU CS Q3 04_Preclosing_2" xfId="2897"/>
    <cellStyle name="_Volume table BU CS Q3 04_Preclosing_3" xfId="2898"/>
    <cellStyle name="_Volume table BU CS Q3 04_Preclosing_FC categoraal" xfId="2899"/>
    <cellStyle name="_Volume table BU CS Q3 04_Sheet1" xfId="2900"/>
    <cellStyle name="_Volume table BU CS Q3 04_Sheet1_1" xfId="2901"/>
    <cellStyle name="_Volume table BU CS Q3 04_Sheet1_1 2" xfId="2902"/>
    <cellStyle name="_Volume table BU CS Q3 04_Sheet1_1_FC categoraal" xfId="2903"/>
    <cellStyle name="_Volume table BU CS Q3 04_Sheet1_2" xfId="2904"/>
    <cellStyle name="_Volume table BU CS Q3 04_Sheet1_2 2" xfId="2905"/>
    <cellStyle name="_Volume table BU CS Q3 04_Sheet2" xfId="2906"/>
    <cellStyle name="_voorstel 2004 dd 22-1-2004" xfId="457"/>
    <cellStyle name="_voorstel 2004 dd 22-1-2004 2" xfId="458"/>
    <cellStyle name="_voorstel 2004 dd 22-1-2004 3" xfId="2907"/>
    <cellStyle name="_voorstel 2004 dd 22-1-2004_ND5 squeeze model  whs-whs v2.21 DWDM ILL" xfId="2908"/>
    <cellStyle name="_VVV 2006 plan per Subsegment v6.5" xfId="459"/>
    <cellStyle name="_VVV 2006 plan per Subsegment v6.5 2" xfId="460"/>
    <cellStyle name="_VVV 2006 plan per Subsegment v6.5 3" xfId="2909"/>
    <cellStyle name="_VVV 2006 plan per Subsegment v6.5_Blad2" xfId="2910"/>
    <cellStyle name="_VVV 2006 plan per Subsegment v6.5_Blad2 2" xfId="2911"/>
    <cellStyle name="_VVV 2006 plan per Subsegment v6.5_Blad2_JP2011" xfId="2912"/>
    <cellStyle name="_VVV 2006 plan per Subsegment v6.5_JP2011" xfId="2913"/>
    <cellStyle name="_VVV 2006 plan per Subsegment v6.5_Model Plan 2012" xfId="2914"/>
    <cellStyle name="_VVV 2006 plan per Subsegment v6.5_ND5 squeeze model  whs-whs v2.21 DWDM ILL" xfId="2915"/>
    <cellStyle name="_W&amp;O Beheer - afgesloten orders januari 2007 werk (2)" xfId="2916"/>
    <cellStyle name="_WBA annex 4 CM v2.0a" xfId="461"/>
    <cellStyle name="_WBA annex 4 CM v2.0a_EVPN Model_20102601_v0.1" xfId="462"/>
    <cellStyle name="_WBA annex 4 CM v2.0a_ZM IS Data Tarievenboek 2010-03-11" xfId="463"/>
    <cellStyle name="_WBA annex 4 ZM ATM v2.0" xfId="464"/>
    <cellStyle name="_WBA annex 4 ZM ATM v2.0_EVPN Model_20102601_v0.1" xfId="465"/>
    <cellStyle name="_WBA annex 4 ZM ATM v2.0_ND5 squeeze model  whs-whs v2.21 DWDM ILL" xfId="2917"/>
    <cellStyle name="_WBA annex 4 ZM ATM v2.0_ZM IS Data Tarievenboek 2010-03-11" xfId="466"/>
    <cellStyle name="_WEAS pricing versie" xfId="2918"/>
    <cellStyle name="_WEAS pricing_v3" xfId="467"/>
    <cellStyle name="_Werkblad uit BO klantprojectmanagement business afstemming februari 2007" xfId="2919"/>
    <cellStyle name="_Wholesale installatieactiviteiten per pakket WMP 240707" xfId="468"/>
    <cellStyle name="_Wk16" xfId="469"/>
    <cellStyle name="_Wk16 2" xfId="470"/>
    <cellStyle name="_Wk16 3" xfId="2920"/>
    <cellStyle name="_Wk16_20080530 Consolidatie Businessplan v12" xfId="2921"/>
    <cellStyle name="_Wk16_20080530 Consolidatie Businessplan v12 2" xfId="2922"/>
    <cellStyle name="_Wk16_20080530 Consolidatie Businessplan v12_Blad2" xfId="2923"/>
    <cellStyle name="_Wk16_20080530 Consolidatie Businessplan v12_Blad2 2" xfId="2924"/>
    <cellStyle name="_Wk16_20080530 Consolidatie Businessplan v12_Blad2_JP2011" xfId="2925"/>
    <cellStyle name="_Wk16_20080530 Consolidatie Businessplan v12_JP2011" xfId="2926"/>
    <cellStyle name="_Wk16_20080530 Consolidatie Businessplan v12_Model Plan 2012" xfId="2927"/>
    <cellStyle name="_Wk16_20080605 Consolidatie Businessplan v15" xfId="2928"/>
    <cellStyle name="_Wk16_20080605 Consolidatie Businessplan v15 2" xfId="2929"/>
    <cellStyle name="_Wk16_20080605 Consolidatie Businessplan v15_Blad2" xfId="2930"/>
    <cellStyle name="_Wk16_20080605 Consolidatie Businessplan v15_Blad2 2" xfId="2931"/>
    <cellStyle name="_Wk16_20080605 Consolidatie Businessplan v15_Blad2_JP2011" xfId="2932"/>
    <cellStyle name="_Wk16_20080605 Consolidatie Businessplan v15_JP2011" xfId="2933"/>
    <cellStyle name="_Wk16_20080605 Consolidatie Businessplan v15_Model Plan 2012" xfId="2934"/>
    <cellStyle name="_Wk16_20080605 Consolidatie Businessplan v19" xfId="2935"/>
    <cellStyle name="_Wk16_20080605 Consolidatie Businessplan v19 2" xfId="2936"/>
    <cellStyle name="_Wk16_20080605 Consolidatie Businessplan v19_Blad2" xfId="2937"/>
    <cellStyle name="_Wk16_20080605 Consolidatie Businessplan v19_Blad2 2" xfId="2938"/>
    <cellStyle name="_Wk16_20080605 Consolidatie Businessplan v19_Blad2_JP2011" xfId="2939"/>
    <cellStyle name="_Wk16_20080605 Consolidatie Businessplan v19_JP2011" xfId="2940"/>
    <cellStyle name="_Wk16_20080605 Consolidatie Businessplan v19_Model Plan 2012" xfId="2941"/>
    <cellStyle name="_Wk16_Blad2" xfId="2942"/>
    <cellStyle name="_Wk16_Blad2 2" xfId="2943"/>
    <cellStyle name="_Wk16_Blad2_JP2011" xfId="2944"/>
    <cellStyle name="_Wk16_JP2011" xfId="2945"/>
    <cellStyle name="_Wk16_Model Plan 2012" xfId="2946"/>
    <cellStyle name="_Wk16_ND5 squeeze model  whs-whs v2.21 DWDM ILL" xfId="2947"/>
    <cellStyle name="_WMP LRIC kostenmodel v 0.1" xfId="471"/>
    <cellStyle name="_working capital" xfId="2948"/>
    <cellStyle name="_working capital 2" xfId="2949"/>
    <cellStyle name="_working capital_Blad2" xfId="2950"/>
    <cellStyle name="_working capital_Blad2 2" xfId="2951"/>
    <cellStyle name="_working capital_Blad2_JP2011" xfId="2952"/>
    <cellStyle name="_working capital_ICS plan 2010 origineel v9 10-09" xfId="2953"/>
    <cellStyle name="_working capital_JP2011" xfId="2954"/>
    <cellStyle name="_working capital_Maand Capex" xfId="2955"/>
    <cellStyle name="_working capital_Maand Capex 2" xfId="2956"/>
    <cellStyle name="_working capital_Maand Capex_Blad2" xfId="2957"/>
    <cellStyle name="_working capital_Maand Capex_Blad2 2" xfId="2958"/>
    <cellStyle name="_working capital_Maand Capex_Blad2_JP2011" xfId="2959"/>
    <cellStyle name="_working capital_Maand Capex_JP2011" xfId="2960"/>
    <cellStyle name="_working capital_ML_Generic_1 1 input Capex incl maandplan_v2" xfId="2961"/>
    <cellStyle name="_working capital_Model Plan 2012" xfId="2962"/>
    <cellStyle name="_WPC EDCS TOTAAL 090316_025_VVE" xfId="472"/>
    <cellStyle name="_WPC EDCS TOTAAL 090316_025_VVE 2" xfId="2963"/>
    <cellStyle name="_WPC EDCS TOTAAL 090316_025_VVE 2 2" xfId="2964"/>
    <cellStyle name="_WPC EDCS TOTAAL 090316_025_VVE_EVPN Model_20102601_v0.1" xfId="473"/>
    <cellStyle name="_WPC EDCS TOTAAL 090316_025_VVE_KWT IS Data 2010-10-07" xfId="2965"/>
    <cellStyle name="_WPC EDCS TOTAAL 090316_025_VVE_ND5 squeeze model  whs-whs v2.21 DWDM ILL" xfId="2966"/>
    <cellStyle name="_WPC EDCS TOTAAL 090316_025_VVE_ZM IS Data Tarievenboek 2010-03-11" xfId="474"/>
    <cellStyle name="_YEE-Template Carrier Services" xfId="475"/>
    <cellStyle name="_YEE-Template Carrier Services 2" xfId="476"/>
    <cellStyle name="_YEE-Template Carrier Services 3" xfId="2967"/>
    <cellStyle name="_YEE-Template Carrier Services_ND5 squeeze model  whs-whs v2.21 DWDM ILL" xfId="2968"/>
    <cellStyle name="_ZM maandverdeling YP_08 en RF_Q1" xfId="2969"/>
    <cellStyle name="_ZM_NS_ProductP&amp;L sep with epacity waterfall" xfId="2970"/>
    <cellStyle name="_ZM_NS_ProductP&amp;L sep with epacity waterfall 2" xfId="2971"/>
    <cellStyle name="_ZM_NS_ProductP&amp;L sep with epacity waterfall_Blad2" xfId="2972"/>
    <cellStyle name="_ZM_NS_ProductP&amp;L sep with epacity waterfall_Blad2 2" xfId="2973"/>
    <cellStyle name="_ZM_NS_ProductP&amp;L sep with epacity waterfall_Blad2_JP2011" xfId="2974"/>
    <cellStyle name="_ZM_NS_ProductP&amp;L sep with epacity waterfall_JP2011" xfId="2975"/>
    <cellStyle name="_ZM_NS_ProductP&amp;L sep with epacity waterfall_Model Plan 2012" xfId="2976"/>
    <cellStyle name="_ZM-verrekening voorb09" xfId="477"/>
    <cellStyle name="_ZM-verrekening voorb09 2" xfId="478"/>
    <cellStyle name="_ZM-verrekening voorb09 3" xfId="2977"/>
    <cellStyle name="_ZM-verrekening voorb09_ND5 squeeze model  whs-whs v2.21 DWDM ILL" xfId="2978"/>
    <cellStyle name="€/m²" xfId="2979"/>
    <cellStyle name="=C:\WINNT\SYSTEM32\COMMAND.COM" xfId="2980"/>
    <cellStyle name="=C:\WINNT\SYSTEM32\COMMAND.COM 2" xfId="2981"/>
    <cellStyle name="0,0_x000d__x000a_NA_x000d__x000a_" xfId="479"/>
    <cellStyle name="0000" xfId="2982"/>
    <cellStyle name="000000" xfId="2983"/>
    <cellStyle name="20% - Accent1 2" xfId="2984"/>
    <cellStyle name="20% - Accent2 2" xfId="2985"/>
    <cellStyle name="20% - Accent3 2" xfId="2986"/>
    <cellStyle name="20% - Accent4 2" xfId="2987"/>
    <cellStyle name="20% - Accent5 2" xfId="2988"/>
    <cellStyle name="20% - Accent6 2" xfId="2989"/>
    <cellStyle name="40% - Accent1 2" xfId="2990"/>
    <cellStyle name="40% - Accent1 2 2" xfId="2991"/>
    <cellStyle name="40% - Accent2 2" xfId="2992"/>
    <cellStyle name="40% - Accent3 2" xfId="2993"/>
    <cellStyle name="40% - Accent4 2" xfId="2994"/>
    <cellStyle name="40% - Accent4 2 2" xfId="2995"/>
    <cellStyle name="40% - Accent4 3" xfId="2996"/>
    <cellStyle name="40% - Accent5 2" xfId="2997"/>
    <cellStyle name="40% - Accent6 2" xfId="2998"/>
    <cellStyle name="40% - Accent6 2 2" xfId="2999"/>
    <cellStyle name="60% - Accent1 2" xfId="3000"/>
    <cellStyle name="6mal" xfId="480"/>
    <cellStyle name="Accent1 - 20%" xfId="3001"/>
    <cellStyle name="Accent1 - 20% 2" xfId="3002"/>
    <cellStyle name="Accent1 - 20%_2012 PL" xfId="3003"/>
    <cellStyle name="Accent1 - 40%" xfId="3004"/>
    <cellStyle name="Accent1 - 40% 2" xfId="3005"/>
    <cellStyle name="Accent1 - 40%_2012 PL" xfId="3006"/>
    <cellStyle name="Accent1 - 60%" xfId="3007"/>
    <cellStyle name="Accent1 - 60% 2" xfId="3008"/>
    <cellStyle name="Accent1 - 60%_2012 PL" xfId="3009"/>
    <cellStyle name="Accent1 10" xfId="3010"/>
    <cellStyle name="Accent1 11" xfId="3011"/>
    <cellStyle name="Accent1 12" xfId="3012"/>
    <cellStyle name="Accent1 2" xfId="3013"/>
    <cellStyle name="Accent1 3" xfId="3014"/>
    <cellStyle name="Accent1 4" xfId="3015"/>
    <cellStyle name="Accent1 5" xfId="3016"/>
    <cellStyle name="Accent1 6" xfId="3017"/>
    <cellStyle name="Accent1 7" xfId="3018"/>
    <cellStyle name="Accent1 8" xfId="3019"/>
    <cellStyle name="Accent1 9" xfId="3020"/>
    <cellStyle name="Accent2 - 20%" xfId="3021"/>
    <cellStyle name="Accent2 - 20% 2" xfId="3022"/>
    <cellStyle name="Accent2 - 20%_2012 PL" xfId="3023"/>
    <cellStyle name="Accent2 - 40%" xfId="3024"/>
    <cellStyle name="Accent2 - 40% 2" xfId="3025"/>
    <cellStyle name="Accent2 - 40%_2012 PL" xfId="3026"/>
    <cellStyle name="Accent2 - 60%" xfId="3027"/>
    <cellStyle name="Accent2 - 60% 2" xfId="3028"/>
    <cellStyle name="Accent2 - 60%_2012 PL" xfId="3029"/>
    <cellStyle name="Accent2 10" xfId="3030"/>
    <cellStyle name="Accent2 11" xfId="3031"/>
    <cellStyle name="Accent2 12" xfId="3032"/>
    <cellStyle name="Accent2 2" xfId="3033"/>
    <cellStyle name="Accent2 3" xfId="3034"/>
    <cellStyle name="Accent2 4" xfId="3035"/>
    <cellStyle name="Accent2 5" xfId="3036"/>
    <cellStyle name="Accent2 6" xfId="3037"/>
    <cellStyle name="Accent2 7" xfId="3038"/>
    <cellStyle name="Accent2 8" xfId="3039"/>
    <cellStyle name="Accent2 9" xfId="3040"/>
    <cellStyle name="Accent3 - 20%" xfId="3041"/>
    <cellStyle name="Accent3 - 20% 2" xfId="3042"/>
    <cellStyle name="Accent3 - 20%_2012 PL" xfId="3043"/>
    <cellStyle name="Accent3 - 40%" xfId="3044"/>
    <cellStyle name="Accent3 - 40% 2" xfId="3045"/>
    <cellStyle name="Accent3 - 40%_2012 PL" xfId="3046"/>
    <cellStyle name="Accent3 - 60%" xfId="3047"/>
    <cellStyle name="Accent3 - 60% 2" xfId="3048"/>
    <cellStyle name="Accent3 - 60%_2012 PL" xfId="3049"/>
    <cellStyle name="Accent3 10" xfId="3050"/>
    <cellStyle name="Accent3 11" xfId="3051"/>
    <cellStyle name="Accent3 12" xfId="3052"/>
    <cellStyle name="Accent3 2" xfId="3053"/>
    <cellStyle name="Accent3 3" xfId="3054"/>
    <cellStyle name="Accent3 4" xfId="3055"/>
    <cellStyle name="Accent3 5" xfId="3056"/>
    <cellStyle name="Accent3 6" xfId="3057"/>
    <cellStyle name="Accent3 7" xfId="3058"/>
    <cellStyle name="Accent3 8" xfId="3059"/>
    <cellStyle name="Accent3 9" xfId="3060"/>
    <cellStyle name="Accent4 - 20%" xfId="3061"/>
    <cellStyle name="Accent4 - 20% 2" xfId="3062"/>
    <cellStyle name="Accent4 - 20%_2012 PL" xfId="3063"/>
    <cellStyle name="Accent4 - 40%" xfId="3064"/>
    <cellStyle name="Accent4 - 40% 2" xfId="3065"/>
    <cellStyle name="Accent4 - 40%_2012 PL" xfId="3066"/>
    <cellStyle name="Accent4 - 60%" xfId="3067"/>
    <cellStyle name="Accent4 - 60% 2" xfId="3068"/>
    <cellStyle name="Accent4 - 60%_2012 PL" xfId="3069"/>
    <cellStyle name="Accent4 10" xfId="3070"/>
    <cellStyle name="Accent4 11" xfId="3071"/>
    <cellStyle name="Accent4 12" xfId="3072"/>
    <cellStyle name="Accent4 2" xfId="3073"/>
    <cellStyle name="Accent4 3" xfId="3074"/>
    <cellStyle name="Accent4 4" xfId="3075"/>
    <cellStyle name="Accent4 5" xfId="3076"/>
    <cellStyle name="Accent4 6" xfId="3077"/>
    <cellStyle name="Accent4 7" xfId="3078"/>
    <cellStyle name="Accent4 8" xfId="3079"/>
    <cellStyle name="Accent4 9" xfId="3080"/>
    <cellStyle name="Accent5 - 20%" xfId="3081"/>
    <cellStyle name="Accent5 - 20% 2" xfId="3082"/>
    <cellStyle name="Accent5 - 20%_2012 PL" xfId="3083"/>
    <cellStyle name="Accent5 - 40%" xfId="3084"/>
    <cellStyle name="Accent5 - 60%" xfId="3085"/>
    <cellStyle name="Accent5 - 60% 2" xfId="3086"/>
    <cellStyle name="Accent5 - 60%_2012 PL" xfId="3087"/>
    <cellStyle name="Accent5 10" xfId="3088"/>
    <cellStyle name="Accent5 11" xfId="3089"/>
    <cellStyle name="Accent5 12" xfId="3090"/>
    <cellStyle name="Accent5 2" xfId="3091"/>
    <cellStyle name="Accent5 3" xfId="3092"/>
    <cellStyle name="Accent5 4" xfId="3093"/>
    <cellStyle name="Accent5 5" xfId="3094"/>
    <cellStyle name="Accent5 6" xfId="3095"/>
    <cellStyle name="Accent5 7" xfId="3096"/>
    <cellStyle name="Accent5 8" xfId="3097"/>
    <cellStyle name="Accent5 9" xfId="3098"/>
    <cellStyle name="Accent6 - 20%" xfId="3099"/>
    <cellStyle name="Accent6 - 40%" xfId="3100"/>
    <cellStyle name="Accent6 - 40% 2" xfId="3101"/>
    <cellStyle name="Accent6 - 40%_2012 PL" xfId="3102"/>
    <cellStyle name="Accent6 - 60%" xfId="3103"/>
    <cellStyle name="Accent6 - 60% 2" xfId="3104"/>
    <cellStyle name="Accent6 - 60%_2012 PL" xfId="3105"/>
    <cellStyle name="Accent6 10" xfId="3106"/>
    <cellStyle name="Accent6 11" xfId="3107"/>
    <cellStyle name="Accent6 12" xfId="3108"/>
    <cellStyle name="Accent6 2" xfId="3109"/>
    <cellStyle name="Accent6 3" xfId="3110"/>
    <cellStyle name="Accent6 4" xfId="3111"/>
    <cellStyle name="Accent6 5" xfId="3112"/>
    <cellStyle name="Accent6 6" xfId="3113"/>
    <cellStyle name="Accent6 7" xfId="3114"/>
    <cellStyle name="Accent6 8" xfId="3115"/>
    <cellStyle name="Accent6 9" xfId="3116"/>
    <cellStyle name="active" xfId="3117"/>
    <cellStyle name="AFE" xfId="3118"/>
    <cellStyle name="Align at top" xfId="3119"/>
    <cellStyle name="Align at top 2" xfId="3120"/>
    <cellStyle name="args.style" xfId="481"/>
    <cellStyle name="arial11_bld_it" xfId="482"/>
    <cellStyle name="Availability" xfId="3121"/>
    <cellStyle name="Bad" xfId="761"/>
    <cellStyle name="Bad 2" xfId="3122"/>
    <cellStyle name="Bad 3" xfId="3123"/>
    <cellStyle name="Bar" xfId="3124"/>
    <cellStyle name="Bar (w border)" xfId="3125"/>
    <cellStyle name="Bar (w border) 2" xfId="3126"/>
    <cellStyle name="Bar 2" xfId="3127"/>
    <cellStyle name="Bar_JP2011" xfId="3128"/>
    <cellStyle name="basis" xfId="3129"/>
    <cellStyle name="blank" xfId="3130"/>
    <cellStyle name="Blz (xxx xxx xx)" xfId="3131"/>
    <cellStyle name="Blz (xxx xxx xx) 2" xfId="3132"/>
    <cellStyle name="Body_$Numeric" xfId="483"/>
    <cellStyle name="boek" xfId="484"/>
    <cellStyle name="border" xfId="3133"/>
    <cellStyle name="BvDAddIn_Currency" xfId="3134"/>
    <cellStyle name="Calc" xfId="3135"/>
    <cellStyle name="Calc - Blue" xfId="3136"/>
    <cellStyle name="Calc - Feed" xfId="3137"/>
    <cellStyle name="Calc - Green" xfId="3138"/>
    <cellStyle name="Calc - Grey" xfId="3139"/>
    <cellStyle name="Calc - White" xfId="3140"/>
    <cellStyle name="Calc Currency (0)" xfId="485"/>
    <cellStyle name="Calc Currency (2)" xfId="3141"/>
    <cellStyle name="Calc Percent (0)" xfId="3142"/>
    <cellStyle name="Calc Percent (1)" xfId="3143"/>
    <cellStyle name="Calc Percent (2)" xfId="3144"/>
    <cellStyle name="Calc Units (0)" xfId="3145"/>
    <cellStyle name="Calc Units (1)" xfId="3146"/>
    <cellStyle name="Calc Units (2)" xfId="3147"/>
    <cellStyle name="Calc_11" xfId="3148"/>
    <cellStyle name="Calculated" xfId="486"/>
    <cellStyle name="Calculation" xfId="762"/>
    <cellStyle name="Calculation 2" xfId="3149"/>
    <cellStyle name="Calculation 3" xfId="3150"/>
    <cellStyle name="category" xfId="3151"/>
    <cellStyle name="Centrify gold" xfId="3152"/>
    <cellStyle name="Change" xfId="487"/>
    <cellStyle name="Change 2" xfId="3153"/>
    <cellStyle name="Change 3" xfId="3154"/>
    <cellStyle name="Change 4" xfId="3155"/>
    <cellStyle name="Change 5" xfId="3156"/>
    <cellStyle name="Change 6" xfId="3157"/>
    <cellStyle name="check" xfId="488"/>
    <cellStyle name="Check Cell" xfId="763"/>
    <cellStyle name="Check Cell 2" xfId="3158"/>
    <cellStyle name="CHF (CHF 0 )" xfId="3159"/>
    <cellStyle name="CHF (CHF 0 ) 2" xfId="3160"/>
    <cellStyle name="CHF Mio (CHF 0 Mio.)" xfId="3161"/>
    <cellStyle name="CHF Mio (CHF 0 Mio.) 2" xfId="3162"/>
    <cellStyle name="cm" xfId="3163"/>
    <cellStyle name="cm 2" xfId="3164"/>
    <cellStyle name="ColLevel_2" xfId="3165"/>
    <cellStyle name="Color (no color)" xfId="3166"/>
    <cellStyle name="Color (no color) 2" xfId="3167"/>
    <cellStyle name="Color 01" xfId="3168"/>
    <cellStyle name="Color 01 2" xfId="3169"/>
    <cellStyle name="Color 02" xfId="3170"/>
    <cellStyle name="Color 02 2" xfId="3171"/>
    <cellStyle name="Color 03" xfId="3172"/>
    <cellStyle name="Color 03 2" xfId="3173"/>
    <cellStyle name="Color 04" xfId="3174"/>
    <cellStyle name="Color 05" xfId="3175"/>
    <cellStyle name="Color 05 2" xfId="3176"/>
    <cellStyle name="Color 06" xfId="3177"/>
    <cellStyle name="Color 06 2" xfId="3178"/>
    <cellStyle name="Color 07" xfId="3179"/>
    <cellStyle name="Color 07 2" xfId="3180"/>
    <cellStyle name="Color 08" xfId="3181"/>
    <cellStyle name="Color 08 2" xfId="3182"/>
    <cellStyle name="Column Heading" xfId="3183"/>
    <cellStyle name="Column label" xfId="489"/>
    <cellStyle name="Column Title" xfId="3184"/>
    <cellStyle name="Column Title 2" xfId="3185"/>
    <cellStyle name="ColumnAttributeAbovePrompt" xfId="490"/>
    <cellStyle name="ColumnAttributePrompt" xfId="491"/>
    <cellStyle name="ColumnAttributeValue" xfId="492"/>
    <cellStyle name="ColumnHeading" xfId="3186"/>
    <cellStyle name="ColumnHeadingPrompt" xfId="493"/>
    <cellStyle name="ColumnHeadingValue" xfId="494"/>
    <cellStyle name="Comma" xfId="780" builtinId="3"/>
    <cellStyle name="Comma  - Style1" xfId="3187"/>
    <cellStyle name="Comma  - Style2" xfId="3188"/>
    <cellStyle name="Comma  - Style3" xfId="3189"/>
    <cellStyle name="Comma  - Style4" xfId="3190"/>
    <cellStyle name="Comma  - Style5" xfId="3191"/>
    <cellStyle name="Comma  - Style6" xfId="3192"/>
    <cellStyle name="Comma  - Style7" xfId="3193"/>
    <cellStyle name="Comma  - Style8" xfId="3194"/>
    <cellStyle name="Comma [00]" xfId="3195"/>
    <cellStyle name="Comma 0" xfId="495"/>
    <cellStyle name="Comma 0*" xfId="496"/>
    <cellStyle name="Comma 0_Board Presentation Back Up v3.3" xfId="497"/>
    <cellStyle name="Comma 10" xfId="3196"/>
    <cellStyle name="Comma 11" xfId="3197"/>
    <cellStyle name="Comma 12" xfId="3198"/>
    <cellStyle name="Comma 13" xfId="3199"/>
    <cellStyle name="Comma 14" xfId="3200"/>
    <cellStyle name="Comma 14 2" xfId="3201"/>
    <cellStyle name="Comma 15" xfId="3202"/>
    <cellStyle name="Comma 15 2" xfId="3203"/>
    <cellStyle name="Comma 16" xfId="3204"/>
    <cellStyle name="Comma 17" xfId="3205"/>
    <cellStyle name="Comma 18" xfId="3206"/>
    <cellStyle name="Comma 18 2" xfId="3207"/>
    <cellStyle name="Comma 18 3" xfId="3208"/>
    <cellStyle name="Comma 19" xfId="3209"/>
    <cellStyle name="Comma 2" xfId="498"/>
    <cellStyle name="Comma 2 10" xfId="3210"/>
    <cellStyle name="Comma 2 11" xfId="3211"/>
    <cellStyle name="Comma 2 2" xfId="3212"/>
    <cellStyle name="Comma 2 2 2" xfId="3213"/>
    <cellStyle name="Comma 2 2 3" xfId="3214"/>
    <cellStyle name="Comma 2 2_Coverage" xfId="3215"/>
    <cellStyle name="Comma 2 3" xfId="3216"/>
    <cellStyle name="Comma 2 4" xfId="3217"/>
    <cellStyle name="Comma 2 5" xfId="3218"/>
    <cellStyle name="Comma 2 6" xfId="3219"/>
    <cellStyle name="Comma 2 7" xfId="3220"/>
    <cellStyle name="Comma 2 8" xfId="3221"/>
    <cellStyle name="Comma 2 9" xfId="3222"/>
    <cellStyle name="Comma 2_2012 PL" xfId="3223"/>
    <cellStyle name="Comma 20" xfId="3224"/>
    <cellStyle name="Comma 21" xfId="3225"/>
    <cellStyle name="Comma 22" xfId="3226"/>
    <cellStyle name="Comma 3" xfId="499"/>
    <cellStyle name="Comma 3 2" xfId="3227"/>
    <cellStyle name="Comma 3 2 2" xfId="3228"/>
    <cellStyle name="Comma 3 2 2 2" xfId="3229"/>
    <cellStyle name="Comma 3 2 3" xfId="3230"/>
    <cellStyle name="Comma 3 2 3 2" xfId="3231"/>
    <cellStyle name="Comma 3 2 4" xfId="3232"/>
    <cellStyle name="Comma 3 2_Coverage" xfId="3233"/>
    <cellStyle name="Comma 3 3" xfId="3234"/>
    <cellStyle name="Comma 3 3 2" xfId="3235"/>
    <cellStyle name="Comma 3 4" xfId="3236"/>
    <cellStyle name="Comma 3 4 2" xfId="3237"/>
    <cellStyle name="Comma 3 5" xfId="3238"/>
    <cellStyle name="Comma 3 6" xfId="3239"/>
    <cellStyle name="Comma 3_2012 PL" xfId="3240"/>
    <cellStyle name="Comma 4" xfId="500"/>
    <cellStyle name="Comma 4 2" xfId="3241"/>
    <cellStyle name="Comma 4 2 2" xfId="3242"/>
    <cellStyle name="Comma 4 3" xfId="3243"/>
    <cellStyle name="Comma 4 3 2" xfId="3244"/>
    <cellStyle name="Comma 4 4" xfId="3245"/>
    <cellStyle name="Comma 4 5" xfId="3246"/>
    <cellStyle name="Comma 4_Copy of Org tabel menu kaart" xfId="3247"/>
    <cellStyle name="Comma 5" xfId="8"/>
    <cellStyle name="Comma 5 2" xfId="3248"/>
    <cellStyle name="Comma 5 2 2" xfId="3249"/>
    <cellStyle name="Comma 5 3" xfId="3250"/>
    <cellStyle name="Comma 5 4" xfId="3251"/>
    <cellStyle name="Comma 5_Copy of Org tabel menu kaart" xfId="3252"/>
    <cellStyle name="Comma 6" xfId="501"/>
    <cellStyle name="Comma 6 2" xfId="3253"/>
    <cellStyle name="Comma 7" xfId="3254"/>
    <cellStyle name="Comma 7 2" xfId="3255"/>
    <cellStyle name="Comma 8" xfId="3256"/>
    <cellStyle name="Comma 9" xfId="3257"/>
    <cellStyle name="Comma 9 2" xfId="3258"/>
    <cellStyle name="Comma 99" xfId="764"/>
    <cellStyle name="Comma0" xfId="3259"/>
    <cellStyle name="Config Data Cells" xfId="502"/>
    <cellStyle name="Copied" xfId="503"/>
    <cellStyle name="ct" xfId="3260"/>
    <cellStyle name="Currency [00]" xfId="3261"/>
    <cellStyle name="Currency 0" xfId="504"/>
    <cellStyle name="Currency 2" xfId="505"/>
    <cellStyle name="Currency 2 2" xfId="3262"/>
    <cellStyle name="Currency 2 3" xfId="3263"/>
    <cellStyle name="Currency 3" xfId="506"/>
    <cellStyle name="Currency 3 2" xfId="3264"/>
    <cellStyle name="Currency 4" xfId="507"/>
    <cellStyle name="Currency 4 2" xfId="5"/>
    <cellStyle name="Currency 4 2 2" xfId="3265"/>
    <cellStyle name="Currency 5" xfId="508"/>
    <cellStyle name="Currency 5 2" xfId="3266"/>
    <cellStyle name="Currency 6" xfId="509"/>
    <cellStyle name="Currency 6 2" xfId="3267"/>
    <cellStyle name="Currency 7" xfId="3268"/>
    <cellStyle name="Currency0" xfId="3269"/>
    <cellStyle name="dak" xfId="3270"/>
    <cellStyle name="Data" xfId="510"/>
    <cellStyle name="Data 2" xfId="3271"/>
    <cellStyle name="database" xfId="511"/>
    <cellStyle name="database 2" xfId="512"/>
    <cellStyle name="database 3" xfId="3272"/>
    <cellStyle name="Date" xfId="3273"/>
    <cellStyle name="Date (JJMMTT)" xfId="3274"/>
    <cellStyle name="Date (JJMMTT) 2" xfId="3275"/>
    <cellStyle name="Date (MM/JJJJ)" xfId="3276"/>
    <cellStyle name="Date (MM/JJJJ) 2" xfId="3277"/>
    <cellStyle name="Date (MMM TT, JJJJ)" xfId="3278"/>
    <cellStyle name="Date (MMM TT, JJJJ) 2" xfId="3279"/>
    <cellStyle name="Date (TT.MM.)" xfId="3280"/>
    <cellStyle name="Date (TT.MM.) 2" xfId="3281"/>
    <cellStyle name="Date (TT.MMM.JJJJ)" xfId="3282"/>
    <cellStyle name="Date (TT.MMM.JJJJ) 2" xfId="3283"/>
    <cellStyle name="Date Aligned" xfId="513"/>
    <cellStyle name="Date Short" xfId="3284"/>
    <cellStyle name="Date_01" xfId="3285"/>
    <cellStyle name="DateType" xfId="514"/>
    <cellStyle name="Datum" xfId="515"/>
    <cellStyle name="Dezimal [0]_ " xfId="3286"/>
    <cellStyle name="Dezimal +000" xfId="3287"/>
    <cellStyle name="Dezimal 00" xfId="3288"/>
    <cellStyle name="Dezimal 000" xfId="3289"/>
    <cellStyle name="Dezimal_ " xfId="3290"/>
    <cellStyle name="Discontinued" xfId="516"/>
    <cellStyle name="Diseño" xfId="3291"/>
    <cellStyle name="Dotted Line" xfId="517"/>
    <cellStyle name="DrKW Assumption" xfId="3292"/>
    <cellStyle name="DrKW Green Line" xfId="3293"/>
    <cellStyle name="DrKW Input" xfId="3294"/>
    <cellStyle name="DrKW Multiple" xfId="3295"/>
    <cellStyle name="DrKW Percent" xfId="3296"/>
    <cellStyle name="DrKW Percent 8pt" xfId="3297"/>
    <cellStyle name="DrKW Percent Assumption" xfId="3298"/>
    <cellStyle name="DrKW Percent Assumption 8pt" xfId="3299"/>
    <cellStyle name="DrKW Percent Input" xfId="3300"/>
    <cellStyle name="DrKW Percent_9738 Drive High-Low" xfId="3301"/>
    <cellStyle name="DrKW Standard format" xfId="3302"/>
    <cellStyle name="Emphasis 1 2" xfId="3303"/>
    <cellStyle name="Emphasis 2 2" xfId="3304"/>
    <cellStyle name="Emphasis 3 2" xfId="3305"/>
    <cellStyle name="Enter Currency (0)" xfId="3306"/>
    <cellStyle name="Enter Currency (2)" xfId="3307"/>
    <cellStyle name="Enter Units (0)" xfId="3308"/>
    <cellStyle name="Enter Units (1)" xfId="3309"/>
    <cellStyle name="Enter Units (2)" xfId="3310"/>
    <cellStyle name="Entered" xfId="518"/>
    <cellStyle name="Entry" xfId="3311"/>
    <cellStyle name="Entry Company" xfId="3312"/>
    <cellStyle name="Entry Text" xfId="3313"/>
    <cellStyle name="Entry_ICS plan 2010 origineel v9 10-09" xfId="3314"/>
    <cellStyle name="Euro" xfId="519"/>
    <cellStyle name="Euro (€ 0.00)" xfId="3315"/>
    <cellStyle name="Euro 10" xfId="3316"/>
    <cellStyle name="Euro 2" xfId="3317"/>
    <cellStyle name="Euro 2 2" xfId="3318"/>
    <cellStyle name="Euro 3" xfId="3319"/>
    <cellStyle name="Euro 4" xfId="3320"/>
    <cellStyle name="Euro 5" xfId="3321"/>
    <cellStyle name="Euro 6" xfId="3322"/>
    <cellStyle name="Euro 7" xfId="3323"/>
    <cellStyle name="Euro 8" xfId="3324"/>
    <cellStyle name="Euro 9" xfId="3325"/>
    <cellStyle name="Euro bn (€ 0 bn)" xfId="3326"/>
    <cellStyle name="Euro bn (€ 0 bn) 2" xfId="3327"/>
    <cellStyle name="Euro Mio. (€ 0 Mio)" xfId="3328"/>
    <cellStyle name="Euro_080619_OBU035_Oerlikon Solar_valuae creation from JV options_v1600" xfId="3329"/>
    <cellStyle name="Exception" xfId="3330"/>
    <cellStyle name="Explanation" xfId="3331"/>
    <cellStyle name="Explanatory Text" xfId="765"/>
    <cellStyle name="factor" xfId="3332"/>
    <cellStyle name="Factor (0.0x)" xfId="3333"/>
    <cellStyle name="factor 2" xfId="3334"/>
    <cellStyle name="factor_JP2011" xfId="3335"/>
    <cellStyle name="Feeder Field" xfId="3336"/>
    <cellStyle name="Feeder Field 2" xfId="3337"/>
    <cellStyle name="Feeder Field_2012 PL" xfId="3338"/>
    <cellStyle name="Finan?ní0" xfId="3339"/>
    <cellStyle name="Finan?ní0 2" xfId="3340"/>
    <cellStyle name="Finanční0" xfId="3341"/>
    <cellStyle name="Finanční0 2" xfId="3342"/>
    <cellStyle name="Fixed" xfId="3343"/>
    <cellStyle name="Followed Hyperlink" xfId="520"/>
    <cellStyle name="Footnote" xfId="521"/>
    <cellStyle name="Formula" xfId="3344"/>
    <cellStyle name="GBP (£ 0)" xfId="3345"/>
    <cellStyle name="GBP (£ 0) 2" xfId="3346"/>
    <cellStyle name="GBP Mio (£ 0 Mio.)" xfId="3347"/>
    <cellStyle name="GBP Mio (£ 0 Mio.) 2" xfId="3348"/>
    <cellStyle name="Getal" xfId="522"/>
    <cellStyle name="Good" xfId="766"/>
    <cellStyle name="Good 2" xfId="3349"/>
    <cellStyle name="Grey" xfId="523"/>
    <cellStyle name="Grey 2" xfId="3350"/>
    <cellStyle name="Greyed out" xfId="3351"/>
    <cellStyle name="GW" xfId="3352"/>
    <cellStyle name="GW 2" xfId="3353"/>
    <cellStyle name="GWh" xfId="3354"/>
    <cellStyle name="Hard Percent" xfId="524"/>
    <cellStyle name="Header" xfId="525"/>
    <cellStyle name="Header1" xfId="526"/>
    <cellStyle name="Header1 2" xfId="3355"/>
    <cellStyle name="Header2" xfId="527"/>
    <cellStyle name="Heading 1" xfId="767"/>
    <cellStyle name="Heading 1 2" xfId="3356"/>
    <cellStyle name="Heading 2" xfId="768"/>
    <cellStyle name="Heading 2 2" xfId="3357"/>
    <cellStyle name="Heading 3" xfId="769"/>
    <cellStyle name="Heading 3 2" xfId="3358"/>
    <cellStyle name="Heading 4" xfId="770"/>
    <cellStyle name="Heading 4 2" xfId="3359"/>
    <cellStyle name="HEADINGS" xfId="528"/>
    <cellStyle name="HEADINGSTOP" xfId="529"/>
    <cellStyle name="Headline" xfId="3360"/>
    <cellStyle name="Headline1" xfId="3361"/>
    <cellStyle name="hidden" xfId="530"/>
    <cellStyle name="Hyperlink 2" xfId="3362"/>
    <cellStyle name="Hyperlink 2 2" xfId="3363"/>
    <cellStyle name="Hyperlink 2 3" xfId="3364"/>
    <cellStyle name="Hyperlink 3" xfId="3365"/>
    <cellStyle name="Hyperlink 4" xfId="3366"/>
    <cellStyle name="input" xfId="531"/>
    <cellStyle name="Input %0" xfId="3367"/>
    <cellStyle name="Input (%)" xfId="3368"/>
    <cellStyle name="Input (Color 04)" xfId="3369"/>
    <cellStyle name="Input (Color 04) 2" xfId="3370"/>
    <cellStyle name="Input (Color 05)" xfId="3371"/>
    <cellStyle name="Input (Color 05) 2" xfId="3372"/>
    <cellStyle name="Input (font blue bold)" xfId="3373"/>
    <cellStyle name="Input (font blue italic)" xfId="3374"/>
    <cellStyle name="Input (font blue)" xfId="3375"/>
    <cellStyle name="Input (font blue) 2" xfId="3376"/>
    <cellStyle name="Input (No)" xfId="3377"/>
    <cellStyle name="Input [yellow]" xfId="532"/>
    <cellStyle name="Input [yellow] 2" xfId="3378"/>
    <cellStyle name="Input +000" xfId="3379"/>
    <cellStyle name="Input 00" xfId="3380"/>
    <cellStyle name="Input 000" xfId="3381"/>
    <cellStyle name="Input 1" xfId="3382"/>
    <cellStyle name="input 2" xfId="3383"/>
    <cellStyle name="Input 2 2" xfId="3384"/>
    <cellStyle name="Input 2_2012 PL" xfId="3385"/>
    <cellStyle name="input 3" xfId="3386"/>
    <cellStyle name="Input Cells" xfId="533"/>
    <cellStyle name="Input estimate" xfId="534"/>
    <cellStyle name="Input estimate 2" xfId="3387"/>
    <cellStyle name="Input/mixed (red bold)" xfId="3388"/>
    <cellStyle name="Input/mixed (red italic)" xfId="3389"/>
    <cellStyle name="Input/mixed (red)" xfId="3390"/>
    <cellStyle name="Input/mixed (red) 2" xfId="3391"/>
    <cellStyle name="input_MPL Model 20090706 def" xfId="771"/>
    <cellStyle name="J.P.M. input" xfId="3392"/>
    <cellStyle name="Jun" xfId="535"/>
    <cellStyle name="Jun 2" xfId="3393"/>
    <cellStyle name="Jun 2 2" xfId="3394"/>
    <cellStyle name="Jun 3" xfId="3395"/>
    <cellStyle name="Jun_2012 PL" xfId="3396"/>
    <cellStyle name="Key driver (pink shading)" xfId="3397"/>
    <cellStyle name="km" xfId="3398"/>
    <cellStyle name="km 2" xfId="3399"/>
    <cellStyle name="Komma 2" xfId="536"/>
    <cellStyle name="Komma 2 2" xfId="537"/>
    <cellStyle name="Komma 2 3" xfId="3400"/>
    <cellStyle name="Komma 3" xfId="538"/>
    <cellStyle name="Komma 3 2" xfId="3401"/>
    <cellStyle name="Komma 3 3" xfId="3402"/>
    <cellStyle name="Komma 4" xfId="539"/>
    <cellStyle name="Komma 5" xfId="3403"/>
    <cellStyle name="KPMG Heading 1" xfId="3404"/>
    <cellStyle name="KPMG Heading 2" xfId="3405"/>
    <cellStyle name="KPMG Heading 3" xfId="3406"/>
    <cellStyle name="KPMG Heading 4" xfId="3407"/>
    <cellStyle name="KPMG Normal" xfId="3408"/>
    <cellStyle name="KPMG Normal Text" xfId="3409"/>
    <cellStyle name="kW" xfId="3410"/>
    <cellStyle name="kW 2" xfId="3411"/>
    <cellStyle name="kWh" xfId="3412"/>
    <cellStyle name="left" xfId="3413"/>
    <cellStyle name="Legal 8½ x 14 in" xfId="540"/>
    <cellStyle name="Legal 8½ x 14 in 2" xfId="3414"/>
    <cellStyle name="Legal 8½ x 14 in 3" xfId="3415"/>
    <cellStyle name="LineItemPrompt" xfId="541"/>
    <cellStyle name="LineItemValue" xfId="542"/>
    <cellStyle name="Link (historical data)" xfId="3416"/>
    <cellStyle name="Link comment" xfId="3417"/>
    <cellStyle name="Link comment 2" xfId="3418"/>
    <cellStyle name="Link Currency (0)" xfId="3419"/>
    <cellStyle name="Link Currency (2)" xfId="3420"/>
    <cellStyle name="Link Units (0)" xfId="3421"/>
    <cellStyle name="Link Units (1)" xfId="3422"/>
    <cellStyle name="Link Units (2)" xfId="3423"/>
    <cellStyle name="linked" xfId="543"/>
    <cellStyle name="Linked (green bold)" xfId="3424"/>
    <cellStyle name="Linked (green italic)" xfId="3425"/>
    <cellStyle name="Linked (green)" xfId="3426"/>
    <cellStyle name="Linked (green) 2" xfId="3427"/>
    <cellStyle name="linked 2" xfId="3428"/>
    <cellStyle name="linked 2 2" xfId="3429"/>
    <cellStyle name="Linked Cell" xfId="772"/>
    <cellStyle name="Linked Cell 2" xfId="3430"/>
    <cellStyle name="Linked Cells" xfId="544"/>
    <cellStyle name="LN" xfId="545"/>
    <cellStyle name="LN 2" xfId="546"/>
    <cellStyle name="LN 2 2" xfId="3431"/>
    <cellStyle name="LN 3" xfId="3432"/>
    <cellStyle name="Lock" xfId="3433"/>
    <cellStyle name="Lock partiel" xfId="3434"/>
    <cellStyle name="LongDesc" xfId="547"/>
    <cellStyle name="m" xfId="3435"/>
    <cellStyle name="m 2" xfId="3436"/>
    <cellStyle name="m²" xfId="3437"/>
    <cellStyle name="m³" xfId="3438"/>
    <cellStyle name="MandatoryText" xfId="3439"/>
    <cellStyle name="Migliaia_IT_Budget06 2nd Round ppt" xfId="3440"/>
    <cellStyle name="Millares [0]_!!!GO" xfId="548"/>
    <cellStyle name="Millares_!!!GO" xfId="549"/>
    <cellStyle name="Milliers [0]_!!!GO" xfId="550"/>
    <cellStyle name="Milliers_!!!GO" xfId="551"/>
    <cellStyle name="Model" xfId="3441"/>
    <cellStyle name="Moneda [0]_!!!GO" xfId="552"/>
    <cellStyle name="Moneda_!!!GO" xfId="553"/>
    <cellStyle name="Monetaire [0]_!!!GO" xfId="554"/>
    <cellStyle name="Monétaire [0]_!!!GO" xfId="555"/>
    <cellStyle name="Monetaire [0]_!!!GO 2" xfId="556"/>
    <cellStyle name="Monétaire [0]_!!!GO 2" xfId="557"/>
    <cellStyle name="Monetaire [0]_!!!GO 3" xfId="3442"/>
    <cellStyle name="Monétaire [0]_!!!GO 3" xfId="3443"/>
    <cellStyle name="Monetaire [0]_!!!GO_1" xfId="558"/>
    <cellStyle name="Monétaire [0]_!!!GO_1" xfId="559"/>
    <cellStyle name="Monetaire [0]_!!!GO_1 2" xfId="560"/>
    <cellStyle name="Monétaire [0]_!!!GO_1 2" xfId="561"/>
    <cellStyle name="Monetaire [0]_!!!GO_1 3" xfId="3444"/>
    <cellStyle name="Monétaire [0]_!!!GO_1 3" xfId="3445"/>
    <cellStyle name="Monetaire [0]_CTC" xfId="562"/>
    <cellStyle name="Monétaire [0]_CTC" xfId="563"/>
    <cellStyle name="Monetaire [0]_CTC 2" xfId="564"/>
    <cellStyle name="Monétaire [0]_CTC 2" xfId="565"/>
    <cellStyle name="Monetaire [0]_CTC 3" xfId="3446"/>
    <cellStyle name="Monétaire [0]_CTC 3" xfId="3447"/>
    <cellStyle name="Monetaire [0]_CTC_!!!GO" xfId="566"/>
    <cellStyle name="Monétaire [0]_CTC_!!!GO" xfId="567"/>
    <cellStyle name="Monetaire [0]_CTC_!!!GO 2" xfId="568"/>
    <cellStyle name="Monétaire [0]_CTC_!!!GO 2" xfId="569"/>
    <cellStyle name="Monetaire [0]_CTC_!!!GO 3" xfId="3448"/>
    <cellStyle name="Monétaire [0]_CTC_!!!GO 3" xfId="3449"/>
    <cellStyle name="Monetaire [0]_DIRECTIONS" xfId="570"/>
    <cellStyle name="Monétaire [0]_DIRECTIONS" xfId="571"/>
    <cellStyle name="Monetaire [0]_DIRECTIONS 2" xfId="572"/>
    <cellStyle name="Monétaire [0]_DIRECTIONS 2" xfId="573"/>
    <cellStyle name="Monetaire [0]_DIRECTIONS 3" xfId="3450"/>
    <cellStyle name="Monétaire [0]_DIRECTIONS 3" xfId="3451"/>
    <cellStyle name="Monetaire [0]_DIRECTIONS_!!!GO" xfId="574"/>
    <cellStyle name="Monétaire [0]_DIRECTIONS_!!!GO" xfId="575"/>
    <cellStyle name="Monetaire [0]_DIRECTIONS_!!!GO 2" xfId="576"/>
    <cellStyle name="Monétaire [0]_DIRECTIONS_!!!GO 2" xfId="577"/>
    <cellStyle name="Monetaire [0]_DIRECTIONS_!!!GO 3" xfId="3452"/>
    <cellStyle name="Monétaire [0]_DIRECTIONS_!!!GO 3" xfId="3453"/>
    <cellStyle name="Monetaire [0]_laroux" xfId="578"/>
    <cellStyle name="Monétaire [0]_laroux" xfId="579"/>
    <cellStyle name="Monetaire [0]_laroux 2" xfId="580"/>
    <cellStyle name="Monétaire [0]_laroux 2" xfId="581"/>
    <cellStyle name="Monetaire [0]_laroux 3" xfId="3454"/>
    <cellStyle name="Monétaire [0]_laroux 3" xfId="3455"/>
    <cellStyle name="Monetaire [0]_laroux_1" xfId="582"/>
    <cellStyle name="Monétaire [0]_laroux_1" xfId="583"/>
    <cellStyle name="Monetaire [0]_laroux_1 2" xfId="584"/>
    <cellStyle name="Monétaire [0]_laroux_1 2" xfId="585"/>
    <cellStyle name="Monetaire [0]_laroux_1 3" xfId="3456"/>
    <cellStyle name="Monétaire [0]_laroux_1 3" xfId="3457"/>
    <cellStyle name="Monetaire [0]_liste principale 1998" xfId="586"/>
    <cellStyle name="Monétaire [0]_liste principale 1998" xfId="587"/>
    <cellStyle name="Monetaire [0]_liste principale 1998 2" xfId="588"/>
    <cellStyle name="Monétaire [0]_liste principale 1998 2" xfId="589"/>
    <cellStyle name="Monetaire [0]_liste principale 1998 3" xfId="3458"/>
    <cellStyle name="Monétaire [0]_liste principale 1998 3" xfId="3459"/>
    <cellStyle name="Monetaire [0]_liste principale 1998_!!!GO" xfId="590"/>
    <cellStyle name="Monétaire [0]_liste principale 1998_!!!GO" xfId="591"/>
    <cellStyle name="Monetaire [0]_liste principale 1998_!!!GO 2" xfId="592"/>
    <cellStyle name="Monétaire [0]_liste principale 1998_!!!GO 2" xfId="593"/>
    <cellStyle name="Monetaire [0]_liste principale 1998_!!!GO 3" xfId="3460"/>
    <cellStyle name="Monétaire [0]_liste principale 1998_!!!GO 3" xfId="3461"/>
    <cellStyle name="Monetaire [0]_pldt" xfId="594"/>
    <cellStyle name="Monétaire [0]_pldt" xfId="595"/>
    <cellStyle name="Monetaire [0]_pldt 2" xfId="596"/>
    <cellStyle name="Monétaire [0]_pldt 2" xfId="597"/>
    <cellStyle name="Monetaire [0]_pldt 3" xfId="3462"/>
    <cellStyle name="Monétaire [0]_pldt 3" xfId="3463"/>
    <cellStyle name="Monetaire [0]_pldt_1" xfId="598"/>
    <cellStyle name="Monétaire [0]_pldt_1" xfId="599"/>
    <cellStyle name="Monetaire [0]_pldt_1 2" xfId="600"/>
    <cellStyle name="Monétaire [0]_pldt_1 2" xfId="601"/>
    <cellStyle name="Monetaire [0]_pldt_1 3" xfId="3464"/>
    <cellStyle name="Monétaire [0]_pldt_1 3" xfId="3465"/>
    <cellStyle name="Monetaire_!!!GO" xfId="602"/>
    <cellStyle name="Monétaire_!!!GO" xfId="603"/>
    <cellStyle name="Monetaire_!!!GO 2" xfId="604"/>
    <cellStyle name="Monétaire_!!!GO 2" xfId="605"/>
    <cellStyle name="Monetaire_!!!GO 3" xfId="3466"/>
    <cellStyle name="Monétaire_!!!GO 3" xfId="3467"/>
    <cellStyle name="Monetaire_!!!GO_1" xfId="606"/>
    <cellStyle name="Monétaire_!!!GO_1" xfId="607"/>
    <cellStyle name="Monetaire_!!!GO_1 2" xfId="608"/>
    <cellStyle name="Monétaire_!!!GO_1 2" xfId="609"/>
    <cellStyle name="Monetaire_!!!GO_1 3" xfId="3468"/>
    <cellStyle name="Monétaire_!!!GO_1 3" xfId="3469"/>
    <cellStyle name="Monetaire_CTC" xfId="610"/>
    <cellStyle name="Monétaire_CTC" xfId="611"/>
    <cellStyle name="Monetaire_CTC 2" xfId="612"/>
    <cellStyle name="Monétaire_CTC 2" xfId="613"/>
    <cellStyle name="Monetaire_CTC 3" xfId="3470"/>
    <cellStyle name="Monétaire_CTC 3" xfId="3471"/>
    <cellStyle name="Monetaire_CTC_!!!GO" xfId="614"/>
    <cellStyle name="Monétaire_CTC_!!!GO" xfId="615"/>
    <cellStyle name="Monetaire_CTC_!!!GO 2" xfId="616"/>
    <cellStyle name="Monétaire_CTC_!!!GO 2" xfId="617"/>
    <cellStyle name="Monetaire_CTC_!!!GO 3" xfId="3472"/>
    <cellStyle name="Monétaire_CTC_!!!GO 3" xfId="3473"/>
    <cellStyle name="Monetaire_DIRECTIONS" xfId="618"/>
    <cellStyle name="Monétaire_DIRECTIONS" xfId="619"/>
    <cellStyle name="Monetaire_DIRECTIONS 2" xfId="620"/>
    <cellStyle name="Monétaire_DIRECTIONS 2" xfId="621"/>
    <cellStyle name="Monetaire_DIRECTIONS 3" xfId="3474"/>
    <cellStyle name="Monétaire_DIRECTIONS 3" xfId="3475"/>
    <cellStyle name="Monetaire_DIRECTIONS_!!!GO" xfId="622"/>
    <cellStyle name="Monétaire_DIRECTIONS_!!!GO" xfId="623"/>
    <cellStyle name="Monetaire_DIRECTIONS_!!!GO 2" xfId="624"/>
    <cellStyle name="Monétaire_DIRECTIONS_!!!GO 2" xfId="625"/>
    <cellStyle name="Monetaire_DIRECTIONS_!!!GO 3" xfId="3476"/>
    <cellStyle name="Monétaire_DIRECTIONS_!!!GO 3" xfId="3477"/>
    <cellStyle name="Monetaire_laroux" xfId="626"/>
    <cellStyle name="Monétaire_laroux" xfId="627"/>
    <cellStyle name="Monetaire_laroux 2" xfId="628"/>
    <cellStyle name="Monétaire_laroux 2" xfId="629"/>
    <cellStyle name="Monetaire_laroux 3" xfId="3478"/>
    <cellStyle name="Monétaire_laroux 3" xfId="3479"/>
    <cellStyle name="Monetaire_laroux_1" xfId="630"/>
    <cellStyle name="Monétaire_laroux_1" xfId="631"/>
    <cellStyle name="Monetaire_laroux_1 2" xfId="632"/>
    <cellStyle name="Monétaire_laroux_1 2" xfId="633"/>
    <cellStyle name="Monetaire_laroux_1 3" xfId="3480"/>
    <cellStyle name="Monétaire_laroux_1 3" xfId="3481"/>
    <cellStyle name="Monetaire_liste principale 1998" xfId="634"/>
    <cellStyle name="Monétaire_liste principale 1998" xfId="635"/>
    <cellStyle name="Monetaire_liste principale 1998 2" xfId="636"/>
    <cellStyle name="Monétaire_liste principale 1998 2" xfId="637"/>
    <cellStyle name="Monetaire_liste principale 1998 3" xfId="3482"/>
    <cellStyle name="Monétaire_liste principale 1998 3" xfId="3483"/>
    <cellStyle name="Monetaire_liste principale 1998_!!!GO" xfId="638"/>
    <cellStyle name="Monétaire_liste principale 1998_!!!GO" xfId="639"/>
    <cellStyle name="Monetaire_liste principale 1998_!!!GO 2" xfId="640"/>
    <cellStyle name="Monétaire_liste principale 1998_!!!GO 2" xfId="641"/>
    <cellStyle name="Monetaire_liste principale 1998_!!!GO 3" xfId="3484"/>
    <cellStyle name="Monétaire_liste principale 1998_!!!GO 3" xfId="3485"/>
    <cellStyle name="Monetaire_pldt" xfId="642"/>
    <cellStyle name="Monétaire_pldt" xfId="643"/>
    <cellStyle name="Monetaire_pldt 2" xfId="644"/>
    <cellStyle name="Monétaire_pldt 2" xfId="645"/>
    <cellStyle name="Monetaire_pldt 3" xfId="3486"/>
    <cellStyle name="Monétaire_pldt 3" xfId="3487"/>
    <cellStyle name="Monetaire_pldt_1" xfId="646"/>
    <cellStyle name="Monétaire_pldt_1" xfId="647"/>
    <cellStyle name="Monetaire_pldt_1 2" xfId="648"/>
    <cellStyle name="Monétaire_pldt_1 2" xfId="649"/>
    <cellStyle name="Monetaire_pldt_1 3" xfId="3488"/>
    <cellStyle name="Monétaire_pldt_1 3" xfId="3489"/>
    <cellStyle name="Multiple" xfId="650"/>
    <cellStyle name="MW" xfId="3490"/>
    <cellStyle name="MW 2" xfId="3491"/>
    <cellStyle name="MWh" xfId="3492"/>
    <cellStyle name="Name" xfId="651"/>
    <cellStyle name="Named Range" xfId="3493"/>
    <cellStyle name="Named Range Tag" xfId="3494"/>
    <cellStyle name="Named Range_11" xfId="3495"/>
    <cellStyle name="NetcareBorderCell" xfId="652"/>
    <cellStyle name="Neutral" xfId="773"/>
    <cellStyle name="Neutral 2" xfId="3496"/>
    <cellStyle name="New" xfId="653"/>
    <cellStyle name="no dec" xfId="654"/>
    <cellStyle name="Norm੎੎" xfId="3497"/>
    <cellStyle name="Normal" xfId="0" builtinId="0"/>
    <cellStyle name="Normal - Style1" xfId="655"/>
    <cellStyle name="Normal - Style1 2" xfId="656"/>
    <cellStyle name="Normal - Style1 3" xfId="3498"/>
    <cellStyle name="Normal (%)" xfId="3499"/>
    <cellStyle name="Normal ()" xfId="3500"/>
    <cellStyle name="Normal () 2" xfId="3501"/>
    <cellStyle name="Normal (£m)" xfId="3502"/>
    <cellStyle name="Normal (0.00)" xfId="3503"/>
    <cellStyle name="Normal (0.00) 2" xfId="3504"/>
    <cellStyle name="Normal 10" xfId="657"/>
    <cellStyle name="Normal 10 2" xfId="3505"/>
    <cellStyle name="Normal 10 3" xfId="3506"/>
    <cellStyle name="Normal 10_Copy of Org tabel menu kaart" xfId="3507"/>
    <cellStyle name="Normal 11" xfId="3508"/>
    <cellStyle name="Normal 11 2" xfId="3509"/>
    <cellStyle name="Normal 11_Sold" xfId="3510"/>
    <cellStyle name="Normal 12" xfId="3511"/>
    <cellStyle name="Normal 12 2" xfId="3512"/>
    <cellStyle name="Normal 12_Sold" xfId="3513"/>
    <cellStyle name="Normal 13" xfId="3514"/>
    <cellStyle name="Normal 13 2" xfId="3515"/>
    <cellStyle name="Normal 13_Sold" xfId="3516"/>
    <cellStyle name="Normal 14" xfId="3517"/>
    <cellStyle name="Normal 14 2" xfId="3518"/>
    <cellStyle name="Normal 14_Sold" xfId="3519"/>
    <cellStyle name="Normal 15" xfId="3520"/>
    <cellStyle name="Normal 15 2" xfId="3521"/>
    <cellStyle name="Normal 15_Model Plan 2012" xfId="3522"/>
    <cellStyle name="Normal 16" xfId="3523"/>
    <cellStyle name="Normal 17" xfId="3524"/>
    <cellStyle name="Normal 18" xfId="3525"/>
    <cellStyle name="Normal 19" xfId="3526"/>
    <cellStyle name="Normal 2" xfId="9"/>
    <cellStyle name="Normal 2 2" xfId="658"/>
    <cellStyle name="Normal 2 2 2" xfId="659"/>
    <cellStyle name="Normal 2 2 2 2" xfId="3527"/>
    <cellStyle name="Normal 2 2 2 3" xfId="3528"/>
    <cellStyle name="Normal 2 2 3" xfId="3529"/>
    <cellStyle name="Normal 2 2 4" xfId="3530"/>
    <cellStyle name="Normal 2 2_2012 PL" xfId="3531"/>
    <cellStyle name="Normal 2 3" xfId="3532"/>
    <cellStyle name="Normal 2 3 2" xfId="3533"/>
    <cellStyle name="Normal 2 3 3" xfId="3534"/>
    <cellStyle name="Normal 2 3 4" xfId="3535"/>
    <cellStyle name="Normal 2 3_Coverage" xfId="3536"/>
    <cellStyle name="Normal 2 4" xfId="3537"/>
    <cellStyle name="Normal 2 5" xfId="3538"/>
    <cellStyle name="Normal 2 6" xfId="3539"/>
    <cellStyle name="Normal 2 7" xfId="3540"/>
    <cellStyle name="Normal 2 8" xfId="3541"/>
    <cellStyle name="Normal 2 9" xfId="3542"/>
    <cellStyle name="Normal 2_2012 PL" xfId="3543"/>
    <cellStyle name="Normal 20" xfId="3544"/>
    <cellStyle name="Normal 21" xfId="3545"/>
    <cellStyle name="Normal 22" xfId="3546"/>
    <cellStyle name="Normal 23" xfId="3547"/>
    <cellStyle name="Normal 24" xfId="3548"/>
    <cellStyle name="Normal 28" xfId="3549"/>
    <cellStyle name="Normal 28 2" xfId="3550"/>
    <cellStyle name="Normal 3" xfId="660"/>
    <cellStyle name="Normal 3 2" xfId="3551"/>
    <cellStyle name="Normal 3 2 2" xfId="3552"/>
    <cellStyle name="Normal 3 2 2 2" xfId="3553"/>
    <cellStyle name="Normal 3 2 2_Sold" xfId="3554"/>
    <cellStyle name="Normal 3 2 3" xfId="3555"/>
    <cellStyle name="Normal 3 2 3 2" xfId="3556"/>
    <cellStyle name="Normal 3 2 3_Sold" xfId="3557"/>
    <cellStyle name="Normal 3 2 4" xfId="3558"/>
    <cellStyle name="Normal 3 2_Coverage" xfId="3559"/>
    <cellStyle name="Normal 3 3" xfId="3560"/>
    <cellStyle name="Normal 3 3 2" xfId="3561"/>
    <cellStyle name="Normal 3 3_Sold" xfId="3562"/>
    <cellStyle name="Normal 3 4" xfId="3563"/>
    <cellStyle name="Normal 3 4 2" xfId="3564"/>
    <cellStyle name="Normal 3 4_Sold" xfId="3565"/>
    <cellStyle name="Normal 3 5" xfId="3566"/>
    <cellStyle name="Normal 3_2012 PL" xfId="3567"/>
    <cellStyle name="Normal 4" xfId="661"/>
    <cellStyle name="Normal 4 2" xfId="3568"/>
    <cellStyle name="Normal 4 2 2" xfId="3569"/>
    <cellStyle name="Normal 4 2_Sold" xfId="3570"/>
    <cellStyle name="Normal 4 3" xfId="3571"/>
    <cellStyle name="Normal 4 3 2" xfId="3572"/>
    <cellStyle name="Normal 4 3_Sold" xfId="3573"/>
    <cellStyle name="Normal 4 4" xfId="3574"/>
    <cellStyle name="Normal 4 5" xfId="3575"/>
    <cellStyle name="Normal 4_Copy of Org tabel menu kaart" xfId="3576"/>
    <cellStyle name="Normal 5" xfId="662"/>
    <cellStyle name="Normal 5 2" xfId="3577"/>
    <cellStyle name="Normal 5 2 2" xfId="3578"/>
    <cellStyle name="Normal 5 2_Sold" xfId="3579"/>
    <cellStyle name="Normal 5 3" xfId="3580"/>
    <cellStyle name="Normal 5 4" xfId="3581"/>
    <cellStyle name="Normal 5_Copy of Org tabel menu kaart" xfId="3582"/>
    <cellStyle name="Normal 6" xfId="663"/>
    <cellStyle name="Normal 6 2" xfId="3583"/>
    <cellStyle name="Normal 6 2 2" xfId="3584"/>
    <cellStyle name="Normal 6 2 3" xfId="3585"/>
    <cellStyle name="Normal 6 2_Sold" xfId="3586"/>
    <cellStyle name="Normal 6 3" xfId="3587"/>
    <cellStyle name="Normal 6 4" xfId="3588"/>
    <cellStyle name="Normal 6_Coverage" xfId="3589"/>
    <cellStyle name="Normal 7" xfId="664"/>
    <cellStyle name="Normal 7 2" xfId="3590"/>
    <cellStyle name="Normal 7 2 2" xfId="3591"/>
    <cellStyle name="Normal 7 2 3" xfId="3592"/>
    <cellStyle name="Normal 7 2_Sold" xfId="3593"/>
    <cellStyle name="Normal 7 3" xfId="3594"/>
    <cellStyle name="Normal 7 4" xfId="3595"/>
    <cellStyle name="Normal 7_Coverage" xfId="3596"/>
    <cellStyle name="Normal 8" xfId="3597"/>
    <cellStyle name="Normal 8 2" xfId="3598"/>
    <cellStyle name="Normal 8 3" xfId="3599"/>
    <cellStyle name="Normal 8_Journal P05" xfId="3600"/>
    <cellStyle name="Normal 9" xfId="665"/>
    <cellStyle name="Normal 9 2" xfId="3601"/>
    <cellStyle name="Normal 9 3" xfId="3602"/>
    <cellStyle name="Normal 9_Copy of Org tabel menu kaart" xfId="3603"/>
    <cellStyle name="Normal_Incrementele kosten_20090507" xfId="7"/>
    <cellStyle name="Normal_Sheet1 2" xfId="3"/>
    <cellStyle name="Normale_pldt" xfId="3604"/>
    <cellStyle name="Normalny_56.Podstawowe dane o woj.(1)" xfId="3605"/>
    <cellStyle name="Note" xfId="774"/>
    <cellStyle name="Note 2" xfId="3606"/>
    <cellStyle name="Note 2 2" xfId="3607"/>
    <cellStyle name="Note 2_GDC nieuwe pfc cc jan  2011 v4" xfId="3608"/>
    <cellStyle name="Note 3" xfId="3609"/>
    <cellStyle name="Note 3 2" xfId="3610"/>
    <cellStyle name="Note 4" xfId="3611"/>
    <cellStyle name="Notes" xfId="3612"/>
    <cellStyle name="Notes (w/o)" xfId="3613"/>
    <cellStyle name="Notes_080619_OBU035_Oerlikon Solar_valuae creation from JV options_v1600" xfId="3614"/>
    <cellStyle name="Notitie 2" xfId="666"/>
    <cellStyle name="Notitie 2 2" xfId="3615"/>
    <cellStyle name="Notitie 2_Sold" xfId="3616"/>
    <cellStyle name="Notitie 3" xfId="3617"/>
    <cellStyle name="Notitie 4" xfId="3618"/>
    <cellStyle name="Notitie 5" xfId="3619"/>
    <cellStyle name="Notitie 6" xfId="3620"/>
    <cellStyle name="Notitie 7" xfId="3621"/>
    <cellStyle name="Notitie 8" xfId="3622"/>
    <cellStyle name="Notitie 9" xfId="3623"/>
    <cellStyle name="Number" xfId="3624"/>
    <cellStyle name="ocultar" xfId="667"/>
    <cellStyle name="ocultar 2" xfId="3625"/>
    <cellStyle name="Œ…‹æØ‚è [0.00]_laroux" xfId="3626"/>
    <cellStyle name="Œ…‹æØ‚è_laroux" xfId="3627"/>
    <cellStyle name="Option" xfId="3628"/>
    <cellStyle name="Output" xfId="775"/>
    <cellStyle name="Output (orange shading)" xfId="3629"/>
    <cellStyle name="Output (orange shading) 2" xfId="3630"/>
    <cellStyle name="Output 2" xfId="3631"/>
    <cellStyle name="Output 3" xfId="3632"/>
    <cellStyle name="Output 4" xfId="3633"/>
    <cellStyle name="Output 5" xfId="3634"/>
    <cellStyle name="Output 6" xfId="3635"/>
    <cellStyle name="Output 7" xfId="3636"/>
    <cellStyle name="Output Amounts" xfId="668"/>
    <cellStyle name="OUTPUT COLUMN HEADINGS" xfId="669"/>
    <cellStyle name="Output Line Items" xfId="670"/>
    <cellStyle name="OUTPUT REPORT HEADING" xfId="671"/>
    <cellStyle name="OUTPUT REPORT TITLE" xfId="672"/>
    <cellStyle name="page" xfId="673"/>
    <cellStyle name="Page Number" xfId="674"/>
    <cellStyle name="page_ND5 squeeze model  whs-whs v2.21 DWDM ILL" xfId="3637"/>
    <cellStyle name="per.style" xfId="675"/>
    <cellStyle name="Percent" xfId="1" builtinId="5"/>
    <cellStyle name="Percent ()" xfId="3638"/>
    <cellStyle name="Percent (0)" xfId="3639"/>
    <cellStyle name="Percent (0) 2" xfId="3640"/>
    <cellStyle name="Percent [0]" xfId="3641"/>
    <cellStyle name="Percent [00]" xfId="3642"/>
    <cellStyle name="Percent [2]" xfId="676"/>
    <cellStyle name="Percent [2] 2" xfId="677"/>
    <cellStyle name="Percent [2] 3" xfId="3643"/>
    <cellStyle name="Percent 10" xfId="3644"/>
    <cellStyle name="Percent 11" xfId="3645"/>
    <cellStyle name="Percent 12" xfId="3646"/>
    <cellStyle name="Percent 13" xfId="3647"/>
    <cellStyle name="Percent 19" xfId="3648"/>
    <cellStyle name="Percent 2" xfId="10"/>
    <cellStyle name="Percent 2 10" xfId="3649"/>
    <cellStyle name="Percent 2 11" xfId="3650"/>
    <cellStyle name="Percent 2 2" xfId="678"/>
    <cellStyle name="Percent 2 3" xfId="3651"/>
    <cellStyle name="Percent 2 4" xfId="3652"/>
    <cellStyle name="Percent 2 5" xfId="3653"/>
    <cellStyle name="Percent 2 6" xfId="3654"/>
    <cellStyle name="Percent 2 7" xfId="3655"/>
    <cellStyle name="Percent 2 8" xfId="3656"/>
    <cellStyle name="Percent 2 9" xfId="3657"/>
    <cellStyle name="Percent 3" xfId="679"/>
    <cellStyle name="Percent 3 2" xfId="3658"/>
    <cellStyle name="Percent 3 3" xfId="3659"/>
    <cellStyle name="Percent 4" xfId="680"/>
    <cellStyle name="Percent 4 2" xfId="3660"/>
    <cellStyle name="Percent 5" xfId="3661"/>
    <cellStyle name="Percent 5 2" xfId="3662"/>
    <cellStyle name="Percent 6" xfId="3663"/>
    <cellStyle name="Percent 7" xfId="3664"/>
    <cellStyle name="Percent 8" xfId="3665"/>
    <cellStyle name="Percent 9" xfId="3666"/>
    <cellStyle name="Percent Input" xfId="3667"/>
    <cellStyle name="Percentage (2dp)" xfId="681"/>
    <cellStyle name="Pourcentage_pldt" xfId="682"/>
    <cellStyle name="PrePop Currency (0)" xfId="3668"/>
    <cellStyle name="PrePop Currency (2)" xfId="3669"/>
    <cellStyle name="PrePop Units (0)" xfId="3670"/>
    <cellStyle name="PrePop Units (1)" xfId="3671"/>
    <cellStyle name="PrePop Units (2)" xfId="3672"/>
    <cellStyle name="PriceChange" xfId="683"/>
    <cellStyle name="Procent 2" xfId="684"/>
    <cellStyle name="Procent 2 2" xfId="685"/>
    <cellStyle name="Procent 2 3" xfId="3673"/>
    <cellStyle name="Procent 2 4" xfId="3674"/>
    <cellStyle name="Procent 3" xfId="686"/>
    <cellStyle name="Procent 4" xfId="687"/>
    <cellStyle name="Procent 5" xfId="3675"/>
    <cellStyle name="Procent 6" xfId="3676"/>
    <cellStyle name="PropGenCurrencyFormat" xfId="688"/>
    <cellStyle name="PropGenCurrencyFormat 2" xfId="689"/>
    <cellStyle name="PropGenCurrencyFormat 3" xfId="3677"/>
    <cellStyle name="Protect (Hidden)" xfId="3678"/>
    <cellStyle name="Protect (Hidden) 2" xfId="3679"/>
    <cellStyle name="Protect (Locked)" xfId="3680"/>
    <cellStyle name="Protect (Locked) 2" xfId="3681"/>
    <cellStyle name="Protect (Locked; Hidden)" xfId="3682"/>
    <cellStyle name="Protect (Locked; Hidden) 2" xfId="3683"/>
    <cellStyle name="Protect (none)" xfId="3684"/>
    <cellStyle name="Protect (none) 2" xfId="3685"/>
    <cellStyle name="Prozent 0" xfId="3686"/>
    <cellStyle name="Prozent(o)" xfId="3687"/>
    <cellStyle name="Prozent_2001" xfId="3688"/>
    <cellStyle name="PSChar" xfId="3689"/>
    <cellStyle name="PSDate" xfId="3690"/>
    <cellStyle name="PSDec" xfId="3691"/>
    <cellStyle name="PSHeading" xfId="3692"/>
    <cellStyle name="PSInt" xfId="3693"/>
    <cellStyle name="PSSpacer" xfId="3694"/>
    <cellStyle name="Rack_kit" xfId="690"/>
    <cellStyle name="Ratio" xfId="3695"/>
    <cellStyle name="Ratio 2" xfId="3696"/>
    <cellStyle name="Ref Numbers" xfId="3697"/>
    <cellStyle name="regstoresfromspecstores" xfId="691"/>
    <cellStyle name="Released" xfId="692"/>
    <cellStyle name="Released-Short" xfId="693"/>
    <cellStyle name="ReportTitlePrompt" xfId="694"/>
    <cellStyle name="ReportTitleValue" xfId="695"/>
    <cellStyle name="RevList" xfId="696"/>
    <cellStyle name="Risico" xfId="3698"/>
    <cellStyle name="row number" xfId="3699"/>
    <cellStyle name="Row Title" xfId="3700"/>
    <cellStyle name="Row Title 2" xfId="3701"/>
    <cellStyle name="RowAcctAbovePrompt" xfId="697"/>
    <cellStyle name="RowAcctSOBAbovePrompt" xfId="698"/>
    <cellStyle name="RowAcctSOBValue" xfId="699"/>
    <cellStyle name="RowAcctValue" xfId="700"/>
    <cellStyle name="RowAttrAbovePrompt" xfId="701"/>
    <cellStyle name="RowAttrValue" xfId="702"/>
    <cellStyle name="RowColSetAbovePrompt" xfId="703"/>
    <cellStyle name="RowColSetLeftPrompt" xfId="704"/>
    <cellStyle name="RowColSetValue" xfId="705"/>
    <cellStyle name="RowLeftPrompt" xfId="706"/>
    <cellStyle name="s]_x000d__x000a_load=C:\MS\SMS\BIN\smsrun16.exe_x000d__x000a_;C:\WINDOWS\SYSTEM\MGACTRL.EXE_x000d__x000a_;C:\TC\BIN\TCSPOOL.EXE_x000d__x000a_run=_x000d__x000a_NullPort=None_x000d__x000a_Defau_DEC REV DETAIL (ACE) (2)" xfId="707"/>
    <cellStyle name="SampleUsingFormatMask" xfId="708"/>
    <cellStyle name="SampleWithNoFormatMask" xfId="709"/>
    <cellStyle name="SAPBEXaggData" xfId="3702"/>
    <cellStyle name="SAPBEXaggData 2" xfId="3703"/>
    <cellStyle name="SAPBEXaggData_2012 PL" xfId="3704"/>
    <cellStyle name="SAPBEXaggDataEmph" xfId="3705"/>
    <cellStyle name="SAPBEXaggDataEmph 2" xfId="3706"/>
    <cellStyle name="SAPBEXaggDataEmph_2012 PL" xfId="3707"/>
    <cellStyle name="SAPBEXaggItem" xfId="3708"/>
    <cellStyle name="SAPBEXaggItem 2" xfId="3709"/>
    <cellStyle name="SAPBEXaggItem_2012 PL" xfId="3710"/>
    <cellStyle name="SAPBEXaggItemX" xfId="3711"/>
    <cellStyle name="SAPBEXaggItemX 2" xfId="3712"/>
    <cellStyle name="SAPBEXaggItemX_2012 PL" xfId="3713"/>
    <cellStyle name="SAPBEXchaText" xfId="3714"/>
    <cellStyle name="SAPBEXchaText 2" xfId="3715"/>
    <cellStyle name="SAPBEXchaText 3" xfId="3716"/>
    <cellStyle name="SAPBEXchaText_2012 PL" xfId="3717"/>
    <cellStyle name="SAPBEXexcBad7" xfId="3718"/>
    <cellStyle name="SAPBEXexcBad7 2" xfId="3719"/>
    <cellStyle name="SAPBEXexcBad7_2012 PL" xfId="3720"/>
    <cellStyle name="SAPBEXexcBad8" xfId="3721"/>
    <cellStyle name="SAPBEXexcBad8 2" xfId="3722"/>
    <cellStyle name="SAPBEXexcBad8_2012 PL" xfId="3723"/>
    <cellStyle name="SAPBEXexcBad9" xfId="3724"/>
    <cellStyle name="SAPBEXexcBad9 2" xfId="3725"/>
    <cellStyle name="SAPBEXexcBad9_2012 PL" xfId="3726"/>
    <cellStyle name="SAPBEXexcCritical4" xfId="3727"/>
    <cellStyle name="SAPBEXexcCritical4 2" xfId="3728"/>
    <cellStyle name="SAPBEXexcCritical4_2012 PL" xfId="3729"/>
    <cellStyle name="SAPBEXexcCritical5" xfId="3730"/>
    <cellStyle name="SAPBEXexcCritical5 2" xfId="3731"/>
    <cellStyle name="SAPBEXexcCritical5_2012 PL" xfId="3732"/>
    <cellStyle name="SAPBEXexcCritical6" xfId="3733"/>
    <cellStyle name="SAPBEXexcCritical6 2" xfId="3734"/>
    <cellStyle name="SAPBEXexcCritical6_2012 PL" xfId="3735"/>
    <cellStyle name="SAPBEXexcGood1" xfId="3736"/>
    <cellStyle name="SAPBEXexcGood1 2" xfId="3737"/>
    <cellStyle name="SAPBEXexcGood1_2012 PL" xfId="3738"/>
    <cellStyle name="SAPBEXexcGood2" xfId="3739"/>
    <cellStyle name="SAPBEXexcGood2 2" xfId="3740"/>
    <cellStyle name="SAPBEXexcGood2_2012 PL" xfId="3741"/>
    <cellStyle name="SAPBEXexcGood3" xfId="3742"/>
    <cellStyle name="SAPBEXexcGood3 2" xfId="3743"/>
    <cellStyle name="SAPBEXexcGood3_2012 PL" xfId="3744"/>
    <cellStyle name="SAPBEXfilterDrill" xfId="3745"/>
    <cellStyle name="SAPBEXfilterDrill 2" xfId="3746"/>
    <cellStyle name="SAPBEXfilterDrill_2012 PL" xfId="3747"/>
    <cellStyle name="SAPBEXfilterItem" xfId="3748"/>
    <cellStyle name="SAPBEXfilterItem 2" xfId="3749"/>
    <cellStyle name="SAPBEXfilterItem_2012 PL" xfId="3750"/>
    <cellStyle name="SAPBEXfilterText" xfId="3751"/>
    <cellStyle name="SAPBEXfilterText 2" xfId="3752"/>
    <cellStyle name="SAPBEXfilterText_2012 PL" xfId="3753"/>
    <cellStyle name="SAPBEXformats" xfId="3754"/>
    <cellStyle name="SAPBEXformats 2" xfId="3755"/>
    <cellStyle name="SAPBEXformats_2012 PL" xfId="3756"/>
    <cellStyle name="SAPBEXheaderItem" xfId="3757"/>
    <cellStyle name="SAPBEXheaderItem 2" xfId="3758"/>
    <cellStyle name="SAPBEXheaderItem_2012 PL" xfId="3759"/>
    <cellStyle name="SAPBEXheaderText" xfId="3760"/>
    <cellStyle name="SAPBEXheaderText 2" xfId="3761"/>
    <cellStyle name="SAPBEXheaderText_2012 PL" xfId="3762"/>
    <cellStyle name="SAPBEXHLevel0" xfId="3763"/>
    <cellStyle name="SAPBEXHLevel0 2" xfId="3764"/>
    <cellStyle name="SAPBEXHLevel0_2012 PL" xfId="3765"/>
    <cellStyle name="SAPBEXHLevel0X" xfId="3766"/>
    <cellStyle name="SAPBEXHLevel0X 2" xfId="3767"/>
    <cellStyle name="SAPBEXHLevel0X_2012 PL" xfId="3768"/>
    <cellStyle name="SAPBEXHLevel1" xfId="3769"/>
    <cellStyle name="SAPBEXHLevel1 2" xfId="3770"/>
    <cellStyle name="SAPBEXHLevel1_2012 PL" xfId="3771"/>
    <cellStyle name="SAPBEXHLevel1X" xfId="3772"/>
    <cellStyle name="SAPBEXHLevel1X 2" xfId="3773"/>
    <cellStyle name="SAPBEXHLevel1X_2012 PL" xfId="3774"/>
    <cellStyle name="SAPBEXHLevel2" xfId="3775"/>
    <cellStyle name="SAPBEXHLevel2 2" xfId="3776"/>
    <cellStyle name="SAPBEXHLevel2_2012 PL" xfId="3777"/>
    <cellStyle name="SAPBEXHLevel2X" xfId="3778"/>
    <cellStyle name="SAPBEXHLevel2X 2" xfId="3779"/>
    <cellStyle name="SAPBEXHLevel2X_2012 PL" xfId="3780"/>
    <cellStyle name="SAPBEXHLevel3" xfId="3781"/>
    <cellStyle name="SAPBEXHLevel3 2" xfId="3782"/>
    <cellStyle name="SAPBEXHLevel3 3" xfId="3783"/>
    <cellStyle name="SAPBEXHLevel3 4" xfId="3784"/>
    <cellStyle name="SAPBEXHLevel3 5" xfId="3785"/>
    <cellStyle name="SAPBEXHLevel3_2012 PL" xfId="3786"/>
    <cellStyle name="SAPBEXHLevel3X" xfId="3787"/>
    <cellStyle name="SAPBEXHLevel3X 2" xfId="3788"/>
    <cellStyle name="SAPBEXHLevel3X_2012 PL" xfId="3789"/>
    <cellStyle name="SAPBEXinputData" xfId="3790"/>
    <cellStyle name="SAPBEXinputData 2" xfId="3791"/>
    <cellStyle name="SAPBEXinputData_2012 PL" xfId="3792"/>
    <cellStyle name="SAPBEXItemHeader" xfId="3793"/>
    <cellStyle name="SAPBEXresData" xfId="3794"/>
    <cellStyle name="SAPBEXresData 2" xfId="3795"/>
    <cellStyle name="SAPBEXresData_2012 PL" xfId="3796"/>
    <cellStyle name="SAPBEXresDataEmph" xfId="3797"/>
    <cellStyle name="SAPBEXresDataEmph 2" xfId="3798"/>
    <cellStyle name="SAPBEXresDataEmph_2012 PL" xfId="3799"/>
    <cellStyle name="SAPBEXresItem" xfId="3800"/>
    <cellStyle name="SAPBEXresItem 2" xfId="3801"/>
    <cellStyle name="SAPBEXresItem_2012 PL" xfId="3802"/>
    <cellStyle name="SAPBEXresItemX" xfId="3803"/>
    <cellStyle name="SAPBEXresItemX 2" xfId="3804"/>
    <cellStyle name="SAPBEXresItemX_2012 PL" xfId="3805"/>
    <cellStyle name="SAPBEXstdData" xfId="3806"/>
    <cellStyle name="SAPBEXstdData 2" xfId="3807"/>
    <cellStyle name="SAPBEXstdData_2012 PL" xfId="3808"/>
    <cellStyle name="SAPBEXstdDataEmph" xfId="3809"/>
    <cellStyle name="SAPBEXstdDataEmph 2" xfId="3810"/>
    <cellStyle name="SAPBEXstdDataEmph_2012 PL" xfId="3811"/>
    <cellStyle name="SAPBEXstdItem" xfId="3812"/>
    <cellStyle name="SAPBEXstdItem 2" xfId="3813"/>
    <cellStyle name="SAPBEXstdItem 3" xfId="3814"/>
    <cellStyle name="SAPBEXstdItem 4" xfId="3815"/>
    <cellStyle name="SAPBEXstdItem_2012 PL" xfId="3816"/>
    <cellStyle name="SAPBEXstdItemX" xfId="3817"/>
    <cellStyle name="SAPBEXstdItemX 2" xfId="3818"/>
    <cellStyle name="SAPBEXstdItemX_2012 PL" xfId="3819"/>
    <cellStyle name="SAPBEXtitle" xfId="3820"/>
    <cellStyle name="SAPBEXtitle 2" xfId="3821"/>
    <cellStyle name="SAPBEXtitle_2012 PL" xfId="3822"/>
    <cellStyle name="SAPBEXunassignedItem" xfId="3823"/>
    <cellStyle name="SAPBEXunassignedItem 2" xfId="3824"/>
    <cellStyle name="SAPBEXundefined" xfId="3825"/>
    <cellStyle name="SAPBEXundefined 2" xfId="3826"/>
    <cellStyle name="SAPBEXundefined_2012 PL" xfId="3827"/>
    <cellStyle name="SectionSubTitle" xfId="710"/>
    <cellStyle name="SectionTitle" xfId="711"/>
    <cellStyle name="SHADEDSTORES" xfId="712"/>
    <cellStyle name="Sheet Title" xfId="3828"/>
    <cellStyle name="Source Line" xfId="713"/>
    <cellStyle name="Source Line 2" xfId="3829"/>
    <cellStyle name="specstores" xfId="714"/>
    <cellStyle name="SPOl" xfId="715"/>
    <cellStyle name="SPOl 2" xfId="3830"/>
    <cellStyle name="Standaard 10" xfId="3831"/>
    <cellStyle name="Standaard 12" xfId="790"/>
    <cellStyle name="Standaard 2" xfId="11"/>
    <cellStyle name="Standaard 2 2" xfId="716"/>
    <cellStyle name="Standaard 2 3" xfId="717"/>
    <cellStyle name="Standaard 2 4" xfId="788"/>
    <cellStyle name="Standaard 3" xfId="718"/>
    <cellStyle name="Standaard 3 2" xfId="3832"/>
    <cellStyle name="Standaard 3 3" xfId="3833"/>
    <cellStyle name="Standaard 4" xfId="719"/>
    <cellStyle name="Standaard 4 2" xfId="3834"/>
    <cellStyle name="Standaard 4 3" xfId="3835"/>
    <cellStyle name="Standaard 4 4" xfId="3995"/>
    <cellStyle name="Standaard 5" xfId="781"/>
    <cellStyle name="Standaard 5 2" xfId="789"/>
    <cellStyle name="Standaard 5 3" xfId="3836"/>
    <cellStyle name="Standaard 6" xfId="2"/>
    <cellStyle name="Standaard 6 2" xfId="3837"/>
    <cellStyle name="Standaard 6 3" xfId="3838"/>
    <cellStyle name="Standaard 7" xfId="3839"/>
    <cellStyle name="Standaard 8" xfId="3840"/>
    <cellStyle name="Standaard 9" xfId="3841"/>
    <cellStyle name="Standaard_Annex 4 herbalancering 1-7 2" xfId="785"/>
    <cellStyle name="Standaard_annex 4B v0.1 wanadoo" xfId="784"/>
    <cellStyle name="Standaard_Tarieven Bitstream v25" xfId="6"/>
    <cellStyle name="Standaard_WEAS pricing_v3" xfId="760"/>
    <cellStyle name="Standard format" xfId="3842"/>
    <cellStyle name="Standard format 2" xfId="3843"/>
    <cellStyle name="Standard_ " xfId="3844"/>
    <cellStyle name="std" xfId="720"/>
    <cellStyle name="std 2" xfId="3845"/>
    <cellStyle name="std 2 2" xfId="3846"/>
    <cellStyle name="std 3" xfId="3847"/>
    <cellStyle name="std_Preclosing" xfId="3848"/>
    <cellStyle name="Stijl 1" xfId="721"/>
    <cellStyle name="Stijl 1 2" xfId="787"/>
    <cellStyle name="Stijl 1 2 2" xfId="3849"/>
    <cellStyle name="Style 1" xfId="722"/>
    <cellStyle name="Style 1 2" xfId="3850"/>
    <cellStyle name="Style 1 2 2" xfId="3851"/>
    <cellStyle name="Style 1 3" xfId="3852"/>
    <cellStyle name="Style 1_2012 PL" xfId="3853"/>
    <cellStyle name="Sub Title" xfId="723"/>
    <cellStyle name="subcalc" xfId="724"/>
    <cellStyle name="subhead" xfId="3854"/>
    <cellStyle name="Subtotal" xfId="725"/>
    <cellStyle name="Sum 1 (bold)" xfId="3855"/>
    <cellStyle name="Sum 1 (bold) 2" xfId="3856"/>
    <cellStyle name="Sum 2 (bold, upper line)" xfId="3857"/>
    <cellStyle name="Sum 2 (bold, upper line) 2" xfId="3858"/>
    <cellStyle name="Sum 3 (bold, lines)" xfId="3859"/>
    <cellStyle name="Sum 3 (bold, lines) 2" xfId="3860"/>
    <cellStyle name="Sum 4 (bold, double line)" xfId="3861"/>
    <cellStyle name="Sum 4 (bold, double line) 2" xfId="3862"/>
    <cellStyle name="summe1" xfId="3863"/>
    <cellStyle name="summe1 2" xfId="3864"/>
    <cellStyle name="Table Head" xfId="726"/>
    <cellStyle name="Table Head Aligned" xfId="727"/>
    <cellStyle name="Table Head Aligned 2" xfId="3865"/>
    <cellStyle name="Table Head Blue" xfId="728"/>
    <cellStyle name="Table Head Green" xfId="729"/>
    <cellStyle name="Table Head Green 2" xfId="3866"/>
    <cellStyle name="Table Heading" xfId="730"/>
    <cellStyle name="Table Title" xfId="731"/>
    <cellStyle name="Table Units" xfId="732"/>
    <cellStyle name="Table Units 2" xfId="3867"/>
    <cellStyle name="Table Units 3" xfId="3868"/>
    <cellStyle name="Table Units 4" xfId="3869"/>
    <cellStyle name="Table Units 5" xfId="3870"/>
    <cellStyle name="Table Units 6" xfId="3871"/>
    <cellStyle name="taples Plaza" xfId="3872"/>
    <cellStyle name="taples Plaza 2" xfId="3873"/>
    <cellStyle name="Text 1" xfId="3874"/>
    <cellStyle name="Text 2" xfId="3875"/>
    <cellStyle name="Text 3" xfId="3876"/>
    <cellStyle name="Text 4" xfId="3877"/>
    <cellStyle name="Text Indent A" xfId="3878"/>
    <cellStyle name="Text Indent B" xfId="3879"/>
    <cellStyle name="Text Indent C" xfId="3880"/>
    <cellStyle name="þ­_x000c_™_x0009_qý)_x000d_8ýß_x0007_—_x001c_ˆ)_x0007__x0001__x0001_" xfId="733"/>
    <cellStyle name="þ­_x000c_™_x0009_qý)_x000d_8ýß_x0007_—_x001c_ˆ)_x0007__x0001__x0001_ 2" xfId="3881"/>
    <cellStyle name="þ­_x000c_™_x0009_qý)_x000d_8ýß_x0007_—_x001c_ˆ)_x0007__x0001__x0001_ 2 2" xfId="3882"/>
    <cellStyle name="þ­_x000c_™_x0009_qý)_x000d_8ýß_x0007_—_x001c_)_x0007__x0001__x0001_" xfId="734"/>
    <cellStyle name="þ­_x000c_™_x0009_qý)_x000d_8ýß_x0007_—_x001c_)_x0007__x0001__x0001_ 2" xfId="735"/>
    <cellStyle name="þ­_x000c_™_x0009_qý)_x000d_8ýß_x0007_—_x001c_)_x0007__x0001__x0001_ 2 2" xfId="3883"/>
    <cellStyle name="þ­_x000c_™_x0009_qý)_x000d_8ýß_x0007_—_x001c_)_x0007__x0001__x0001_ 3" xfId="3884"/>
    <cellStyle name="þ­_x000c_™_x0009_qý)_x000d_8ýß_x0007_—_x001c_Œ)_x0007__x0001__x0001_" xfId="736"/>
    <cellStyle name="þ­_x000c_™_x0009_qý)_x000d_8ýß_x0007_—_x001c_Œ)_x0007__x0001__x0001_ 2" xfId="737"/>
    <cellStyle name="þ­_x000c_™_x0009_qý)_x000d_8ýß_x0007_—_x001c_Œ)_x0007__x0001__x0001_ 2 2" xfId="3885"/>
    <cellStyle name="þ­_x000c_™_x0009_qý)_x000d_8ýß_x0007_—_x001c_Œ)_x0007__x0001__x0001_ 3" xfId="3886"/>
    <cellStyle name="þáÊ¹_x0009_oý)_x000d_8ýß_x0007_ËÚ‡_x0011__x0007__x0001__x0001_" xfId="738"/>
    <cellStyle name="þáÊ¹_x0009_oý)_x000d_8ýß_x0007_ËÚ‡_x0011__x0007__x0001__x0001_ 2" xfId="739"/>
    <cellStyle name="þáÊ¹_x0009_oý)_x000d_8ýß_x0007_ËÚ‡_x0011__x0007__x0001__x0001_ 2 2" xfId="3887"/>
    <cellStyle name="þáÊ¹_x0009_oý)_x000d_8ýß_x0007_ËÚ‡_x0011__x0007__x0001__x0001_ 3" xfId="3888"/>
    <cellStyle name="þ_x001d_ðE&amp;lüµ&amp;eüG_x0008_&gt;_x0010__x001d__x0011__x0007__x0001__x0001_" xfId="740"/>
    <cellStyle name="þ_x001d_ðE&amp;lüµ&amp;eüG_x0008_&gt;_x0010__x001d__x0011__x0007__x0001__x0001_ 2" xfId="3889"/>
    <cellStyle name="þ_x001d_ðE&amp;lüµ&amp;eüG_x0008_&gt;_x0010__x001d__x0011__x0007__x0001__x0001_ 2 2" xfId="3890"/>
    <cellStyle name="þÐþ•_x0009_7þ%_x000d_þýß_x0007_º_x000e_ª_x001b__x0007__x0001__x0001_" xfId="741"/>
    <cellStyle name="þÐþ•_x0009_7þ%_x000d_þýß_x0007_º_x000e_ª_x001b__x0007__x0001__x0001_ 2" xfId="742"/>
    <cellStyle name="þÐþ•_x0009_7þ%_x000d_þýß_x0007_º_x000e_ª_x001b__x0007__x0001__x0001_ 2 2" xfId="3891"/>
    <cellStyle name="þÐþ•_x0009_7þ%_x000d_þýß_x0007_º_x000e_ª_x001b__x0007__x0001__x0001_ 3" xfId="3892"/>
    <cellStyle name="þúÍ•_x0009_7þ%_x000d_þýß_x0007_äÝ†_x0011__x0007__x0001__x0001_" xfId="743"/>
    <cellStyle name="þúÍ•_x0009_7þ%_x000d_þýß_x0007_äÝ†_x0011__x0007__x0001__x0001_ 2" xfId="744"/>
    <cellStyle name="þúÍ•_x0009_7þ%_x000d_þýß_x0007_äÝ†_x0011__x0007__x0001__x0001_ 2 2" xfId="3893"/>
    <cellStyle name="þúÍ•_x0009_7þ%_x000d_þýß_x0007_äÝ†_x0011__x0007__x0001__x0001_ 3" xfId="3894"/>
    <cellStyle name="þúÍ•_x0009_7þ%_x000d_þýß_x0007_äÝ‡_x0011__x0007__x0001__x0001_" xfId="745"/>
    <cellStyle name="þúÍ•_x0009_7þ%_x000d_þýß_x0007_äÝ‡_x0011__x0007__x0001__x0001_ 2" xfId="746"/>
    <cellStyle name="þúÍ•_x0009_7þ%_x000d_þýß_x0007_äÝ‡_x0011__x0007__x0001__x0001_ 2 2" xfId="3895"/>
    <cellStyle name="þúÍ•_x0009_7þ%_x000d_þýß_x0007_äÝ‡_x0011__x0007__x0001__x0001_ 3" xfId="3896"/>
    <cellStyle name="þúÍ•_x0009_7þ%_x000d_þýß_x0007_äÝŠ_x0011__x0007__x0001__x0001_" xfId="747"/>
    <cellStyle name="þúÍ•_x0009_7þ%_x000d_þýß_x0007_äÝŠ_x0011__x000f__x0001__x0001_" xfId="748"/>
    <cellStyle name="þúÍ•_x0009_7þ%_x000d_þýß_x0007_äÝŠ_x0011__x0007__x0001__x0001_ 2" xfId="749"/>
    <cellStyle name="þúÍ•_x0009_7þ%_x000d_þýß_x0007_äÝŠ_x0011__x000f__x0001__x0001_ 2" xfId="3897"/>
    <cellStyle name="þúÍ•_x0009_7þ%_x000d_þýß_x0007_äÝŠ_x0011__x0007__x0001__x0001_ 2 10" xfId="3898"/>
    <cellStyle name="þúÍ•_x0009_7þ%_x000d_þýß_x0007_äÝŠ_x0011__x000f__x0001__x0001_ 2 10" xfId="3899"/>
    <cellStyle name="þúÍ•_x0009_7þ%_x000d_þýß_x0007_äÝŠ_x0011__x0007__x0001__x0001_ 2 2" xfId="3900"/>
    <cellStyle name="þúÍ•_x0009_7þ%_x000d_þýß_x0007_äÝŠ_x0011__x000f__x0001__x0001_ 2 2" xfId="3901"/>
    <cellStyle name="þúÍ•_x0009_7þ%_x000d_þýß_x0007_äÝŠ_x0011__x0007__x0001__x0001_ 2 3" xfId="3902"/>
    <cellStyle name="þúÍ•_x0009_7þ%_x000d_þýß_x0007_äÝŠ_x0011__x000f__x0001__x0001_ 2 3" xfId="3903"/>
    <cellStyle name="þúÍ•_x0009_7þ%_x000d_þýß_x0007_äÝŠ_x0011__x0007__x0001__x0001_ 2 4" xfId="3904"/>
    <cellStyle name="þúÍ•_x0009_7þ%_x000d_þýß_x0007_äÝŠ_x0011__x000f__x0001__x0001_ 2 4" xfId="3905"/>
    <cellStyle name="þúÍ•_x0009_7þ%_x000d_þýß_x0007_äÝŠ_x0011__x0007__x0001__x0001_ 2 5" xfId="3906"/>
    <cellStyle name="þúÍ•_x0009_7þ%_x000d_þýß_x0007_äÝŠ_x0011__x000f__x0001__x0001_ 2 5" xfId="3907"/>
    <cellStyle name="þúÍ•_x0009_7þ%_x000d_þýß_x0007_äÝŠ_x0011__x0007__x0001__x0001_ 2 6" xfId="3908"/>
    <cellStyle name="þúÍ•_x0009_7þ%_x000d_þýß_x0007_äÝŠ_x0011__x000f__x0001__x0001_ 2 6" xfId="3909"/>
    <cellStyle name="þúÍ•_x0009_7þ%_x000d_þýß_x0007_äÝŠ_x0011__x0007__x0001__x0001_ 2 7" xfId="3910"/>
    <cellStyle name="þúÍ•_x0009_7þ%_x000d_þýß_x0007_äÝŠ_x0011__x000f__x0001__x0001_ 2 7" xfId="3911"/>
    <cellStyle name="þúÍ•_x0009_7þ%_x000d_þýß_x0007_äÝŠ_x0011__x0007__x0001__x0001_ 2 8" xfId="3912"/>
    <cellStyle name="þúÍ•_x0009_7þ%_x000d_þýß_x0007_äÝŠ_x0011__x000f__x0001__x0001_ 2 8" xfId="3913"/>
    <cellStyle name="þúÍ•_x0009_7þ%_x000d_þýß_x0007_äÝŠ_x0011__x0007__x0001__x0001_ 2 9" xfId="3914"/>
    <cellStyle name="þúÍ•_x0009_7þ%_x000d_þýß_x0007_äÝŠ_x0011__x000f__x0001__x0001_ 2 9" xfId="3915"/>
    <cellStyle name="þúÍ•_x0009_7þ%_x000d_þýß_x0007_äÝŠ_x0011__x0007__x0001__x0001_ 3" xfId="3916"/>
    <cellStyle name="þúÍ•_x0009_7þ%_x000d_þýß_x0007_äÝŠ_x0011__x000f__x0001__x0001_ 3" xfId="3917"/>
    <cellStyle name="þúÍ•_x0009_7þ%_x000d_þýß_x0007_äÝŠ_x0011__x0007__x0001__x0001_ 3 10" xfId="3918"/>
    <cellStyle name="þúÍ•_x0009_7þ%_x000d_þýß_x0007_äÝŠ_x0011__x000f__x0001__x0001_ 3 10" xfId="3919"/>
    <cellStyle name="þúÍ•_x0009_7þ%_x000d_þýß_x0007_äÝŠ_x0011__x0007__x0001__x0001_ 3 2" xfId="3920"/>
    <cellStyle name="þúÍ•_x0009_7þ%_x000d_þýß_x0007_äÝŠ_x0011__x000f__x0001__x0001_ 3 2" xfId="3921"/>
    <cellStyle name="þúÍ•_x0009_7þ%_x000d_þýß_x0007_äÝŠ_x0011__x0007__x0001__x0001_ 3 3" xfId="3922"/>
    <cellStyle name="þúÍ•_x0009_7þ%_x000d_þýß_x0007_äÝŠ_x0011__x000f__x0001__x0001_ 3 3" xfId="3923"/>
    <cellStyle name="þúÍ•_x0009_7þ%_x000d_þýß_x0007_äÝŠ_x0011__x0007__x0001__x0001_ 3 4" xfId="3924"/>
    <cellStyle name="þúÍ•_x0009_7þ%_x000d_þýß_x0007_äÝŠ_x0011__x000f__x0001__x0001_ 3 4" xfId="3925"/>
    <cellStyle name="þúÍ•_x0009_7þ%_x000d_þýß_x0007_äÝŠ_x0011__x0007__x0001__x0001_ 3 5" xfId="3926"/>
    <cellStyle name="þúÍ•_x0009_7þ%_x000d_þýß_x0007_äÝŠ_x0011__x000f__x0001__x0001_ 3 5" xfId="3927"/>
    <cellStyle name="þúÍ•_x0009_7þ%_x000d_þýß_x0007_äÝŠ_x0011__x0007__x0001__x0001_ 3 6" xfId="3928"/>
    <cellStyle name="þúÍ•_x0009_7þ%_x000d_þýß_x0007_äÝŠ_x0011__x000f__x0001__x0001_ 3 6" xfId="3929"/>
    <cellStyle name="þúÍ•_x0009_7þ%_x000d_þýß_x0007_äÝŠ_x0011__x0007__x0001__x0001_ 3 7" xfId="3930"/>
    <cellStyle name="þúÍ•_x0009_7þ%_x000d_þýß_x0007_äÝŠ_x0011__x000f__x0001__x0001_ 3 7" xfId="3931"/>
    <cellStyle name="þúÍ•_x0009_7þ%_x000d_þýß_x0007_äÝŠ_x0011__x0007__x0001__x0001_ 3 8" xfId="3932"/>
    <cellStyle name="þúÍ•_x0009_7þ%_x000d_þýß_x0007_äÝŠ_x0011__x000f__x0001__x0001_ 3 8" xfId="3933"/>
    <cellStyle name="þúÍ•_x0009_7þ%_x000d_þýß_x0007_äÝŠ_x0011__x0007__x0001__x0001_ 3 9" xfId="3934"/>
    <cellStyle name="þúÍ•_x0009_7þ%_x000d_þýß_x0007_äÝŠ_x0011__x000f__x0001__x0001_ 3 9" xfId="3935"/>
    <cellStyle name="þúÍ•_x0009_7þ%_x000d_þýß_x0007_äÝŠ_x0011__x0007__x0001__x0001__ND5 squeeze model  whs-whs v2.21 DWDM ILL" xfId="3936"/>
    <cellStyle name="þúÍ•_x0009_7þ%_x000d_þýß_x0007_äÝŠ_x0011__x000f__x0001__x0001__ND5 squeeze model  whs-whs v2.21 DWDM ILL" xfId="3937"/>
    <cellStyle name="þŽø™_x0009_Nÿ)_x000d__x0015_ÿß_x0007_x_x0008_t_x0015__x0007__x0001__x0001_" xfId="750"/>
    <cellStyle name="þŽø™_x0009_Nÿ)_x000d__x0015_ÿß_x0007_x_x0008_t_x0015__x0007__x0001__x0001_ 2" xfId="751"/>
    <cellStyle name="þŽø™_x0009_Nÿ)_x000d__x0015_ÿß_x0007_x_x0008_t_x0015__x0007__x0001__x0001_ 2 2" xfId="3938"/>
    <cellStyle name="þŽø™_x0009_Nÿ)_x000d__x0015_ÿß_x0007_x_x0008_t_x0015__x0007__x0001__x0001_ 3" xfId="3939"/>
    <cellStyle name="Tijd" xfId="752"/>
    <cellStyle name="Time (hh:mm Uhr)" xfId="3940"/>
    <cellStyle name="Time (hh:mm Uhr) 2" xfId="3941"/>
    <cellStyle name="Title" xfId="776"/>
    <cellStyle name="Title 1" xfId="3942"/>
    <cellStyle name="Title 2" xfId="3943"/>
    <cellStyle name="Title 3" xfId="3944"/>
    <cellStyle name="Title 4" xfId="3945"/>
    <cellStyle name="Title Line" xfId="753"/>
    <cellStyle name="Title_BP2008-2011_v2_kosten" xfId="777"/>
    <cellStyle name="Titre1" xfId="754"/>
    <cellStyle name="Titre1 2" xfId="3946"/>
    <cellStyle name="Titre1 3" xfId="3947"/>
    <cellStyle name="Top Row" xfId="755"/>
    <cellStyle name="Total" xfId="778"/>
    <cellStyle name="Total 2" xfId="3948"/>
    <cellStyle name="Total 3" xfId="3949"/>
    <cellStyle name="Total Row" xfId="3950"/>
    <cellStyle name="TT.MM.JJ" xfId="3951"/>
    <cellStyle name="TWh" xfId="3952"/>
    <cellStyle name="TWh 2" xfId="3953"/>
    <cellStyle name="Überschrift1" xfId="3954"/>
    <cellStyle name="Überschrift2" xfId="3955"/>
    <cellStyle name="Überschrift3" xfId="3956"/>
    <cellStyle name="Überschrift4" xfId="3957"/>
    <cellStyle name="Unit" xfId="3958"/>
    <cellStyle name="UploadThisRowValue" xfId="756"/>
    <cellStyle name="US$ ($ 0.00)" xfId="3959"/>
    <cellStyle name="US$ Mio. ($ 0 Mio)" xfId="3960"/>
    <cellStyle name="Valuta (0)_pldt" xfId="3961"/>
    <cellStyle name="Valuta 2" xfId="12"/>
    <cellStyle name="Valuta 2 2" xfId="3962"/>
    <cellStyle name="Valuta 2 3" xfId="3963"/>
    <cellStyle name="Valuta 2 4" xfId="3964"/>
    <cellStyle name="Valuta 3" xfId="4"/>
    <cellStyle name="Valuta 3 2" xfId="3965"/>
    <cellStyle name="Valuta 3 3" xfId="3966"/>
    <cellStyle name="Valuta 4" xfId="757"/>
    <cellStyle name="Valuta 5" xfId="786"/>
    <cellStyle name="Valuta_annex 4B v0.1 wanadoo" xfId="783"/>
    <cellStyle name="Valuta_Tarieven Bitstream v25" xfId="782"/>
    <cellStyle name="vic1" xfId="3967"/>
    <cellStyle name="vic1 2" xfId="3968"/>
    <cellStyle name="vic1 3" xfId="3969"/>
    <cellStyle name="vic1_GDC nieuwe pfc cc jan  2011 v4" xfId="3970"/>
    <cellStyle name="Währung [0]_ " xfId="3971"/>
    <cellStyle name="Währung_ " xfId="3972"/>
    <cellStyle name="Warning Text" xfId="779"/>
    <cellStyle name="Warning Text 2" xfId="3973"/>
    <cellStyle name="wrap" xfId="3974"/>
    <cellStyle name="Wrap text" xfId="3975"/>
    <cellStyle name="Wrap text 2" xfId="3976"/>
    <cellStyle name="year" xfId="758"/>
    <cellStyle name="Year (actual)" xfId="3977"/>
    <cellStyle name="Year (actual) 2" xfId="3978"/>
    <cellStyle name="Year (expected)" xfId="3979"/>
    <cellStyle name="Year (expected) 2" xfId="3980"/>
    <cellStyle name="year 2" xfId="3981"/>
    <cellStyle name="year 3" xfId="3982"/>
    <cellStyle name="year 4" xfId="3983"/>
    <cellStyle name="year 5" xfId="3984"/>
    <cellStyle name="Year 6" xfId="3985"/>
    <cellStyle name="Year_080619_OBU035_Oerlikon Solar_valuae creation from JV options_v1600" xfId="3986"/>
    <cellStyle name="Yen (¥ 0 )" xfId="3987"/>
    <cellStyle name="Yen (¥ 0 ) 2" xfId="3988"/>
    <cellStyle name="Yen Mio (¥ 0 Mio.)" xfId="3989"/>
    <cellStyle name="Yen Mio (¥ 0 Mio.) 2" xfId="3990"/>
    <cellStyle name="zichtbaar" xfId="759"/>
    <cellStyle name="zichtbaar 2" xfId="3991"/>
    <cellStyle name="zichtbaar 2 2" xfId="3992"/>
    <cellStyle name="桁区切り_ytd_dec_actual" xfId="3993"/>
    <cellStyle name="標準_Infra_Plofile" xfId="3994"/>
  </cellStyles>
  <dxfs count="98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0000FF"/>
      <color rgb="FF00CC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33" Type="http://schemas.microsoft.com/office/2006/relationships/vbaProject" Target="vbaProject.bin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Relationship Id="rId30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anen001\AppData\Local\Temp\Temp1_aanpassingen%202014%20Q3%20-%20alleen%20markeringen.zip\20141101%20LPM%20EVPN%20-%20openbaar%20met%20offnet%20er%20nog%20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orblad"/>
      <sheetName val="Parameters"/>
      <sheetName val="Mapping"/>
      <sheetName val="ZM tariefblad (EVPN)"/>
      <sheetName val="ZM tariefblad PLAT (EVPN)"/>
      <sheetName val="WO tariefblad (WEAS)"/>
      <sheetName val="WO tariefblad PLAT (WEAS)"/>
      <sheetName val="EDC en LRIC"/>
      <sheetName val="ACCESS"/>
      <sheetName val="VPN"/>
      <sheetName val="2de VPN"/>
    </sheetNames>
    <sheetDataSet>
      <sheetData sheetId="0" refreshError="1"/>
      <sheetData sheetId="1">
        <row r="2">
          <cell r="B2">
            <v>0.01</v>
          </cell>
        </row>
        <row r="6">
          <cell r="B6" t="str">
            <v>Ja</v>
          </cell>
        </row>
        <row r="23">
          <cell r="B23">
            <v>0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37">
          <cell r="B37">
            <v>0</v>
          </cell>
        </row>
        <row r="38">
          <cell r="B38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61">
          <cell r="B61">
            <v>1</v>
          </cell>
        </row>
        <row r="62">
          <cell r="B62">
            <v>1</v>
          </cell>
        </row>
        <row r="63">
          <cell r="B63">
            <v>1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0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/>
  </sheetViews>
  <sheetFormatPr defaultRowHeight="15"/>
  <cols>
    <col min="1" max="2" width="4.28515625" customWidth="1"/>
    <col min="3" max="3" width="30.7109375" customWidth="1"/>
  </cols>
  <sheetData>
    <row r="1" spans="1:10" s="748" customFormat="1" ht="12.75">
      <c r="B1" s="749"/>
    </row>
    <row r="2" spans="1:10" s="748" customFormat="1" ht="12.75">
      <c r="B2" s="750"/>
      <c r="C2" s="750" t="str">
        <f ca="1">UPPER(MID(CELL("filename",A1),FIND("[",CELL("filename",A1))+1,FIND("]",CELL("filename",A1))-FIND("[",CELL("filename",A1))-5))</f>
        <v>LPM MB15 - EPACITY DSL 20170201 OPENBAAR.</v>
      </c>
    </row>
    <row r="3" spans="1:10" s="748" customFormat="1" ht="12.75">
      <c r="B3" s="749"/>
      <c r="C3" s="748" t="str">
        <f ca="1">UPPER(MID(CELL("filename",A2),FIND("]",CELL("filename",A2))+1,LEN(CELL("filename",A2))))</f>
        <v>VOORBLAD</v>
      </c>
    </row>
    <row r="4" spans="1:10" s="748" customFormat="1" ht="12.75">
      <c r="A4" s="751"/>
      <c r="B4" s="752"/>
      <c r="C4" s="751"/>
      <c r="D4" s="751"/>
      <c r="E4" s="751"/>
      <c r="F4" s="751"/>
      <c r="G4" s="751"/>
      <c r="H4" s="751"/>
      <c r="I4" s="751"/>
      <c r="J4" s="751"/>
    </row>
    <row r="5" spans="1:10" s="51" customFormat="1" ht="12.75">
      <c r="B5" s="753"/>
      <c r="C5" s="754"/>
    </row>
    <row r="6" spans="1:10" s="51" customFormat="1" ht="12.75">
      <c r="B6" s="753"/>
    </row>
    <row r="7" spans="1:10" s="51" customFormat="1" ht="12.75">
      <c r="B7" s="753"/>
    </row>
    <row r="8" spans="1:10" s="755" customFormat="1" ht="12.75">
      <c r="B8" s="756" t="s">
        <v>456</v>
      </c>
      <c r="C8" s="757" t="s">
        <v>1729</v>
      </c>
    </row>
    <row r="9" spans="1:10" s="51" customFormat="1" ht="12.75">
      <c r="B9" s="753"/>
      <c r="C9" s="754"/>
    </row>
    <row r="10" spans="1:10" s="51" customFormat="1">
      <c r="B10" s="753"/>
      <c r="C10" s="265" t="s">
        <v>1730</v>
      </c>
    </row>
    <row r="11" spans="1:10" s="51" customFormat="1">
      <c r="B11" s="753"/>
      <c r="C11" s="265" t="s">
        <v>1731</v>
      </c>
    </row>
    <row r="12" spans="1:10" s="51" customFormat="1">
      <c r="B12" s="753"/>
      <c r="C12" s="119"/>
    </row>
    <row r="13" spans="1:10" s="755" customFormat="1" ht="12.75">
      <c r="B13" s="756" t="s">
        <v>1506</v>
      </c>
      <c r="C13" s="757" t="s">
        <v>1732</v>
      </c>
    </row>
    <row r="14" spans="1:10" ht="15.75">
      <c r="B14" s="758"/>
      <c r="C14" s="754"/>
      <c r="D14" s="51"/>
      <c r="E14" s="759"/>
    </row>
    <row r="15" spans="1:10" ht="15.75">
      <c r="B15" s="758"/>
      <c r="C15" s="760" t="s">
        <v>1733</v>
      </c>
      <c r="D15" s="761"/>
      <c r="E15" s="762"/>
    </row>
    <row r="16" spans="1:10" ht="15.75">
      <c r="B16" s="758"/>
      <c r="C16" s="763" t="s">
        <v>1734</v>
      </c>
      <c r="D16" s="764"/>
      <c r="E16" s="76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138"/>
  <sheetViews>
    <sheetView zoomScale="85" zoomScaleNormal="85" workbookViewId="0">
      <selection activeCell="A13" sqref="A13"/>
    </sheetView>
  </sheetViews>
  <sheetFormatPr defaultRowHeight="15"/>
  <cols>
    <col min="1" max="1" width="36.42578125" customWidth="1"/>
    <col min="3" max="3" width="2.7109375" customWidth="1"/>
    <col min="13" max="13" width="13.42578125" customWidth="1"/>
    <col min="14" max="14" width="13.140625" customWidth="1"/>
  </cols>
  <sheetData>
    <row r="1" spans="1:14">
      <c r="A1" s="676" t="s">
        <v>1385</v>
      </c>
      <c r="B1" s="676"/>
      <c r="C1" s="270"/>
      <c r="D1" s="676"/>
      <c r="E1" s="676"/>
      <c r="F1" s="106"/>
      <c r="G1" s="106"/>
      <c r="H1" s="106"/>
      <c r="I1" s="677"/>
      <c r="J1" s="677"/>
      <c r="K1" s="676"/>
      <c r="L1" s="676"/>
      <c r="M1" s="678"/>
      <c r="N1" s="678"/>
    </row>
    <row r="2" spans="1:14" ht="56.25">
      <c r="A2" s="679" t="s">
        <v>1686</v>
      </c>
      <c r="B2" s="680" t="s">
        <v>1386</v>
      </c>
      <c r="C2" s="680"/>
      <c r="D2" s="680" t="s">
        <v>1387</v>
      </c>
      <c r="E2" s="681" t="s">
        <v>1388</v>
      </c>
      <c r="F2" s="679" t="s">
        <v>1389</v>
      </c>
      <c r="G2" s="679" t="s">
        <v>1390</v>
      </c>
      <c r="H2" s="679" t="s">
        <v>1391</v>
      </c>
      <c r="I2" s="682" t="s">
        <v>1719</v>
      </c>
      <c r="J2" s="682" t="s">
        <v>1720</v>
      </c>
      <c r="K2" s="681" t="s">
        <v>1394</v>
      </c>
      <c r="L2" s="683" t="s">
        <v>1395</v>
      </c>
      <c r="M2" s="679" t="s">
        <v>1687</v>
      </c>
      <c r="N2" s="679" t="s">
        <v>1649</v>
      </c>
    </row>
    <row r="3" spans="1:14">
      <c r="A3" s="684" t="s">
        <v>1721</v>
      </c>
      <c r="B3" s="684"/>
      <c r="C3" s="684"/>
      <c r="D3" s="715">
        <v>0.1</v>
      </c>
      <c r="E3" s="715">
        <v>0.1</v>
      </c>
      <c r="F3" s="715">
        <v>0.1</v>
      </c>
      <c r="G3" s="715">
        <v>0.1</v>
      </c>
      <c r="H3" s="715">
        <v>0.1</v>
      </c>
      <c r="I3" s="716">
        <v>0.01</v>
      </c>
      <c r="J3" s="716">
        <v>0.01</v>
      </c>
      <c r="K3" s="715">
        <v>0.1</v>
      </c>
      <c r="L3" s="715">
        <v>0.1</v>
      </c>
      <c r="M3" s="456" t="s">
        <v>232</v>
      </c>
      <c r="N3" s="456" t="s">
        <v>1650</v>
      </c>
    </row>
    <row r="4" spans="1:14">
      <c r="A4" s="684" t="s">
        <v>1396</v>
      </c>
      <c r="B4" s="684"/>
      <c r="C4" s="684"/>
      <c r="D4" s="715">
        <v>0.1</v>
      </c>
      <c r="E4" s="715">
        <v>0.1</v>
      </c>
      <c r="F4" s="715">
        <v>0.1</v>
      </c>
      <c r="G4" s="715">
        <v>0.1</v>
      </c>
      <c r="H4" s="715">
        <v>0.1</v>
      </c>
      <c r="I4" s="716">
        <v>0.01</v>
      </c>
      <c r="J4" s="716">
        <v>0.01</v>
      </c>
      <c r="K4" s="715">
        <v>0.1</v>
      </c>
      <c r="L4" s="715">
        <v>0.1</v>
      </c>
      <c r="M4" s="456" t="s">
        <v>232</v>
      </c>
      <c r="N4" s="456" t="s">
        <v>1650</v>
      </c>
    </row>
    <row r="5" spans="1:14">
      <c r="A5" s="684" t="s">
        <v>1397</v>
      </c>
      <c r="B5" s="684"/>
      <c r="C5" s="684"/>
      <c r="D5" s="715">
        <v>0.1</v>
      </c>
      <c r="E5" s="715">
        <v>0.1</v>
      </c>
      <c r="F5" s="715">
        <v>0.1</v>
      </c>
      <c r="G5" s="715">
        <v>0.1</v>
      </c>
      <c r="H5" s="715">
        <v>0.1</v>
      </c>
      <c r="I5" s="716">
        <v>0.01</v>
      </c>
      <c r="J5" s="716">
        <v>0.01</v>
      </c>
      <c r="K5" s="715">
        <v>0.1</v>
      </c>
      <c r="L5" s="715">
        <v>0.1</v>
      </c>
      <c r="M5" s="456" t="s">
        <v>232</v>
      </c>
      <c r="N5" s="456" t="s">
        <v>1650</v>
      </c>
    </row>
    <row r="6" spans="1:14">
      <c r="A6" s="684" t="s">
        <v>1398</v>
      </c>
      <c r="B6" s="684"/>
      <c r="C6" s="684"/>
      <c r="D6" s="715">
        <v>0.1</v>
      </c>
      <c r="E6" s="715">
        <v>0.1</v>
      </c>
      <c r="F6" s="715">
        <v>0.1</v>
      </c>
      <c r="G6" s="715">
        <v>0.1</v>
      </c>
      <c r="H6" s="715">
        <v>0.1</v>
      </c>
      <c r="I6" s="716">
        <v>0.01</v>
      </c>
      <c r="J6" s="716">
        <v>0.01</v>
      </c>
      <c r="K6" s="715">
        <v>0.1</v>
      </c>
      <c r="L6" s="715">
        <v>0.1</v>
      </c>
      <c r="M6" s="456" t="s">
        <v>232</v>
      </c>
      <c r="N6" s="456" t="s">
        <v>1650</v>
      </c>
    </row>
    <row r="7" spans="1:14">
      <c r="A7" s="684" t="s">
        <v>1399</v>
      </c>
      <c r="B7" s="684"/>
      <c r="C7" s="684"/>
      <c r="D7" s="684"/>
      <c r="E7" s="684"/>
      <c r="F7" s="684"/>
      <c r="G7" s="684"/>
      <c r="H7" s="684"/>
      <c r="I7" s="688"/>
      <c r="J7" s="688"/>
      <c r="K7" s="715">
        <v>0.1</v>
      </c>
      <c r="L7" s="715">
        <v>0.1</v>
      </c>
      <c r="M7" s="456" t="s">
        <v>232</v>
      </c>
      <c r="N7" s="456" t="s">
        <v>1650</v>
      </c>
    </row>
    <row r="8" spans="1:14">
      <c r="A8" s="684" t="s">
        <v>1400</v>
      </c>
      <c r="B8" s="684"/>
      <c r="C8" s="684"/>
      <c r="D8" s="715">
        <v>0.1</v>
      </c>
      <c r="E8" s="715">
        <v>0.1</v>
      </c>
      <c r="F8" s="715">
        <v>0.1</v>
      </c>
      <c r="G8" s="715">
        <v>0.1</v>
      </c>
      <c r="H8" s="715">
        <v>0.1</v>
      </c>
      <c r="I8" s="716">
        <v>0.01</v>
      </c>
      <c r="J8" s="716">
        <v>0.01</v>
      </c>
      <c r="K8" s="715">
        <v>0.1</v>
      </c>
      <c r="L8" s="715">
        <v>0.1</v>
      </c>
      <c r="M8" s="456" t="s">
        <v>232</v>
      </c>
      <c r="N8" s="456" t="s">
        <v>1650</v>
      </c>
    </row>
    <row r="9" spans="1:14">
      <c r="A9" s="684" t="s">
        <v>1722</v>
      </c>
      <c r="B9" s="684"/>
      <c r="C9" s="684"/>
      <c r="D9" s="715">
        <v>0.1</v>
      </c>
      <c r="E9" s="715">
        <v>0.1</v>
      </c>
      <c r="F9" s="715">
        <v>0.1</v>
      </c>
      <c r="G9" s="715">
        <v>0.1</v>
      </c>
      <c r="H9" s="715">
        <v>0.1</v>
      </c>
      <c r="I9" s="716">
        <v>0.01</v>
      </c>
      <c r="J9" s="716">
        <v>0.01</v>
      </c>
      <c r="K9" s="715">
        <v>0.1</v>
      </c>
      <c r="L9" s="715">
        <v>0.1</v>
      </c>
      <c r="M9" s="456" t="s">
        <v>232</v>
      </c>
      <c r="N9" s="456" t="s">
        <v>1650</v>
      </c>
    </row>
    <row r="10" spans="1:14">
      <c r="A10" s="684" t="s">
        <v>1401</v>
      </c>
      <c r="B10" s="684"/>
      <c r="C10" s="684"/>
      <c r="D10" s="715">
        <v>0.1</v>
      </c>
      <c r="E10" s="715">
        <v>0.1</v>
      </c>
      <c r="F10" s="715">
        <v>0.1</v>
      </c>
      <c r="G10" s="715">
        <v>0.1</v>
      </c>
      <c r="H10" s="715">
        <v>0.1</v>
      </c>
      <c r="I10" s="716">
        <v>0.01</v>
      </c>
      <c r="J10" s="716">
        <v>0.01</v>
      </c>
      <c r="K10" s="715">
        <v>0.1</v>
      </c>
      <c r="L10" s="715">
        <v>0.1</v>
      </c>
      <c r="M10" s="456" t="s">
        <v>232</v>
      </c>
      <c r="N10" s="456" t="s">
        <v>1650</v>
      </c>
    </row>
    <row r="11" spans="1:14">
      <c r="A11" s="684"/>
      <c r="B11" s="684"/>
      <c r="C11" s="684"/>
      <c r="D11" s="685"/>
      <c r="E11" s="685"/>
      <c r="F11" s="685"/>
      <c r="G11" s="685"/>
      <c r="H11" s="685"/>
      <c r="I11" s="686"/>
      <c r="J11" s="686"/>
      <c r="K11" s="685"/>
      <c r="L11" s="687"/>
      <c r="M11" s="456"/>
      <c r="N11" s="456"/>
    </row>
    <row r="12" spans="1:14">
      <c r="A12" s="684" t="s">
        <v>1402</v>
      </c>
      <c r="B12" s="684"/>
      <c r="C12" s="684"/>
      <c r="D12" s="684">
        <v>0</v>
      </c>
      <c r="E12" s="715">
        <v>1</v>
      </c>
      <c r="F12" s="715">
        <v>0.1</v>
      </c>
      <c r="G12" s="715">
        <v>0.1</v>
      </c>
      <c r="H12" s="715">
        <v>0.1</v>
      </c>
      <c r="I12" s="716">
        <v>0.01</v>
      </c>
      <c r="J12" s="716">
        <v>0.01</v>
      </c>
      <c r="K12" s="715">
        <v>1</v>
      </c>
      <c r="L12" s="715">
        <v>1</v>
      </c>
      <c r="M12" s="456" t="s">
        <v>232</v>
      </c>
      <c r="N12" s="456" t="s">
        <v>1650</v>
      </c>
    </row>
    <row r="13" spans="1:14">
      <c r="A13" s="684" t="s">
        <v>1403</v>
      </c>
      <c r="B13" s="684"/>
      <c r="C13" s="684"/>
      <c r="D13" s="684">
        <v>0</v>
      </c>
      <c r="E13" s="715">
        <v>1</v>
      </c>
      <c r="F13" s="684"/>
      <c r="G13" s="684"/>
      <c r="H13" s="684"/>
      <c r="I13" s="716">
        <v>0.01</v>
      </c>
      <c r="J13" s="716">
        <v>0.01</v>
      </c>
      <c r="K13" s="715">
        <v>1</v>
      </c>
      <c r="L13" s="715">
        <v>1</v>
      </c>
      <c r="M13" s="456" t="s">
        <v>232</v>
      </c>
      <c r="N13" s="456" t="s">
        <v>1650</v>
      </c>
    </row>
    <row r="14" spans="1:14">
      <c r="A14" s="684" t="s">
        <v>1404</v>
      </c>
      <c r="B14" s="684"/>
      <c r="C14" s="684"/>
      <c r="D14" s="684">
        <v>0</v>
      </c>
      <c r="E14" s="715">
        <v>1</v>
      </c>
      <c r="F14" s="684"/>
      <c r="G14" s="684"/>
      <c r="H14" s="684"/>
      <c r="I14" s="716">
        <v>0.01</v>
      </c>
      <c r="J14" s="716">
        <v>0.01</v>
      </c>
      <c r="K14" s="715">
        <v>1</v>
      </c>
      <c r="L14" s="715">
        <v>1</v>
      </c>
      <c r="M14" s="456" t="s">
        <v>232</v>
      </c>
      <c r="N14" s="456" t="s">
        <v>1650</v>
      </c>
    </row>
    <row r="15" spans="1:14">
      <c r="A15" s="684" t="s">
        <v>1405</v>
      </c>
      <c r="B15" s="684"/>
      <c r="C15" s="684"/>
      <c r="D15" s="684">
        <v>0</v>
      </c>
      <c r="E15" s="715">
        <v>1</v>
      </c>
      <c r="F15" s="684"/>
      <c r="G15" s="684"/>
      <c r="H15" s="684"/>
      <c r="I15" s="716">
        <v>0.01</v>
      </c>
      <c r="J15" s="716">
        <v>0.01</v>
      </c>
      <c r="K15" s="715">
        <v>1</v>
      </c>
      <c r="L15" s="715">
        <v>1</v>
      </c>
      <c r="M15" s="456" t="s">
        <v>232</v>
      </c>
      <c r="N15" s="456" t="s">
        <v>1650</v>
      </c>
    </row>
    <row r="16" spans="1:14">
      <c r="A16" s="684" t="s">
        <v>1406</v>
      </c>
      <c r="B16" s="684"/>
      <c r="C16" s="684"/>
      <c r="D16" s="684">
        <v>0</v>
      </c>
      <c r="E16" s="715">
        <v>1</v>
      </c>
      <c r="F16" s="684"/>
      <c r="G16" s="684"/>
      <c r="H16" s="684"/>
      <c r="I16" s="716">
        <v>0.01</v>
      </c>
      <c r="J16" s="716">
        <v>0.01</v>
      </c>
      <c r="K16" s="715">
        <v>1</v>
      </c>
      <c r="L16" s="715">
        <v>1</v>
      </c>
      <c r="M16" s="456" t="s">
        <v>232</v>
      </c>
      <c r="N16" s="456" t="s">
        <v>1650</v>
      </c>
    </row>
    <row r="17" spans="1:14">
      <c r="A17" s="684" t="s">
        <v>1407</v>
      </c>
      <c r="B17" s="684"/>
      <c r="C17" s="684"/>
      <c r="D17" s="684">
        <v>0</v>
      </c>
      <c r="E17" s="715">
        <v>1</v>
      </c>
      <c r="F17" s="684"/>
      <c r="G17" s="684"/>
      <c r="H17" s="684"/>
      <c r="I17" s="716">
        <v>0.01</v>
      </c>
      <c r="J17" s="716">
        <v>0.01</v>
      </c>
      <c r="K17" s="715">
        <v>1</v>
      </c>
      <c r="L17" s="715">
        <v>1</v>
      </c>
      <c r="M17" s="456" t="s">
        <v>232</v>
      </c>
      <c r="N17" s="456" t="s">
        <v>1650</v>
      </c>
    </row>
    <row r="18" spans="1:14">
      <c r="A18" s="684" t="s">
        <v>1408</v>
      </c>
      <c r="B18" s="684"/>
      <c r="C18" s="684"/>
      <c r="D18" s="684">
        <v>0</v>
      </c>
      <c r="E18" s="715">
        <v>1</v>
      </c>
      <c r="F18" s="684"/>
      <c r="G18" s="684"/>
      <c r="H18" s="684"/>
      <c r="I18" s="716">
        <v>0.01</v>
      </c>
      <c r="J18" s="716">
        <v>0.01</v>
      </c>
      <c r="K18" s="715">
        <v>1</v>
      </c>
      <c r="L18" s="715">
        <v>1</v>
      </c>
      <c r="M18" s="456" t="s">
        <v>232</v>
      </c>
      <c r="N18" s="456" t="s">
        <v>1650</v>
      </c>
    </row>
    <row r="19" spans="1:14">
      <c r="A19" s="689"/>
      <c r="B19" s="689"/>
      <c r="C19" s="689"/>
      <c r="D19" s="689"/>
      <c r="E19" s="689"/>
      <c r="F19" s="689"/>
      <c r="G19" s="689"/>
      <c r="H19" s="689"/>
      <c r="I19" s="690"/>
      <c r="J19" s="690"/>
      <c r="K19" s="689"/>
      <c r="L19" s="691"/>
      <c r="M19" s="456"/>
      <c r="N19" s="456"/>
    </row>
    <row r="20" spans="1:14" ht="56.25">
      <c r="A20" s="692"/>
      <c r="B20" s="693" t="s">
        <v>1386</v>
      </c>
      <c r="C20" s="693">
        <v>0</v>
      </c>
      <c r="D20" s="693" t="s">
        <v>1387</v>
      </c>
      <c r="E20" s="693" t="s">
        <v>1388</v>
      </c>
      <c r="F20" s="693" t="s">
        <v>1389</v>
      </c>
      <c r="G20" s="693" t="s">
        <v>1390</v>
      </c>
      <c r="H20" s="693" t="s">
        <v>1391</v>
      </c>
      <c r="I20" s="693" t="s">
        <v>1719</v>
      </c>
      <c r="J20" s="693" t="s">
        <v>1720</v>
      </c>
      <c r="K20" s="693" t="s">
        <v>1394</v>
      </c>
      <c r="L20" s="693" t="s">
        <v>1395</v>
      </c>
      <c r="M20" s="679"/>
      <c r="N20" s="679"/>
    </row>
    <row r="21" spans="1:14">
      <c r="A21" s="684" t="s">
        <v>1688</v>
      </c>
      <c r="B21" s="684"/>
      <c r="C21" s="684"/>
      <c r="D21" s="685">
        <v>0</v>
      </c>
      <c r="E21" s="715">
        <v>1</v>
      </c>
      <c r="F21" s="715">
        <v>1</v>
      </c>
      <c r="G21" s="715">
        <v>1</v>
      </c>
      <c r="H21" s="715">
        <v>1</v>
      </c>
      <c r="I21" s="715">
        <v>1</v>
      </c>
      <c r="J21" s="715">
        <v>1</v>
      </c>
      <c r="K21" s="715">
        <v>1</v>
      </c>
      <c r="L21" s="715">
        <v>1</v>
      </c>
      <c r="M21" s="456" t="s">
        <v>232</v>
      </c>
      <c r="N21" s="456" t="s">
        <v>1650</v>
      </c>
    </row>
    <row r="22" spans="1:14">
      <c r="A22" s="684" t="s">
        <v>1689</v>
      </c>
      <c r="B22" s="684"/>
      <c r="C22" s="684"/>
      <c r="D22" s="685">
        <v>0</v>
      </c>
      <c r="E22" s="715">
        <v>1</v>
      </c>
      <c r="F22" s="715">
        <v>1</v>
      </c>
      <c r="G22" s="715">
        <v>1</v>
      </c>
      <c r="H22" s="715">
        <v>1</v>
      </c>
      <c r="I22" s="715">
        <v>1</v>
      </c>
      <c r="J22" s="715">
        <v>1</v>
      </c>
      <c r="K22" s="715">
        <v>1</v>
      </c>
      <c r="L22" s="715">
        <v>1</v>
      </c>
      <c r="M22" s="456" t="s">
        <v>232</v>
      </c>
      <c r="N22" s="456" t="s">
        <v>1650</v>
      </c>
    </row>
    <row r="23" spans="1:14">
      <c r="A23" s="684" t="s">
        <v>1690</v>
      </c>
      <c r="B23" s="684"/>
      <c r="C23" s="684"/>
      <c r="D23" s="685">
        <v>0</v>
      </c>
      <c r="E23" s="715">
        <v>1</v>
      </c>
      <c r="F23" s="715">
        <v>1</v>
      </c>
      <c r="G23" s="715">
        <v>1</v>
      </c>
      <c r="H23" s="715">
        <v>1</v>
      </c>
      <c r="I23" s="715">
        <v>1</v>
      </c>
      <c r="J23" s="715">
        <v>1</v>
      </c>
      <c r="K23" s="715">
        <v>1</v>
      </c>
      <c r="L23" s="715">
        <v>1</v>
      </c>
      <c r="M23" s="456" t="s">
        <v>232</v>
      </c>
      <c r="N23" s="456" t="s">
        <v>1650</v>
      </c>
    </row>
    <row r="24" spans="1:14">
      <c r="A24" s="684" t="s">
        <v>1691</v>
      </c>
      <c r="B24" s="684"/>
      <c r="C24" s="684"/>
      <c r="D24" s="685">
        <v>0</v>
      </c>
      <c r="E24" s="715">
        <v>1</v>
      </c>
      <c r="F24" s="715">
        <v>1</v>
      </c>
      <c r="G24" s="715">
        <v>1</v>
      </c>
      <c r="H24" s="715">
        <v>1</v>
      </c>
      <c r="I24" s="715">
        <v>1</v>
      </c>
      <c r="J24" s="715">
        <v>1</v>
      </c>
      <c r="K24" s="715">
        <v>1</v>
      </c>
      <c r="L24" s="715">
        <v>1</v>
      </c>
      <c r="M24" s="456" t="s">
        <v>232</v>
      </c>
      <c r="N24" s="456" t="s">
        <v>1650</v>
      </c>
    </row>
    <row r="25" spans="1:14" ht="45">
      <c r="A25" s="684">
        <v>0</v>
      </c>
      <c r="B25" s="680" t="s">
        <v>1386</v>
      </c>
      <c r="C25" s="680"/>
      <c r="D25" s="679" t="s">
        <v>1387</v>
      </c>
      <c r="E25" s="679" t="s">
        <v>1651</v>
      </c>
      <c r="F25" s="679" t="s">
        <v>1652</v>
      </c>
      <c r="G25" s="679" t="s">
        <v>1653</v>
      </c>
      <c r="H25" s="679" t="s">
        <v>1654</v>
      </c>
      <c r="I25" s="679" t="s">
        <v>1723</v>
      </c>
      <c r="J25" s="679" t="s">
        <v>1724</v>
      </c>
      <c r="K25" s="679"/>
      <c r="L25" s="679" t="s">
        <v>1657</v>
      </c>
      <c r="M25" s="456"/>
      <c r="N25" s="456"/>
    </row>
    <row r="26" spans="1:14">
      <c r="A26" s="684" t="s">
        <v>1409</v>
      </c>
      <c r="B26" s="719">
        <v>0.01</v>
      </c>
      <c r="C26" s="685"/>
      <c r="D26" s="684"/>
      <c r="E26" s="695"/>
      <c r="F26" s="684"/>
      <c r="G26" s="684"/>
      <c r="H26" s="684"/>
      <c r="I26" s="688"/>
      <c r="J26" s="688"/>
      <c r="K26" s="695"/>
      <c r="L26" s="695"/>
      <c r="M26" s="456" t="s">
        <v>232</v>
      </c>
      <c r="N26" s="456" t="s">
        <v>1658</v>
      </c>
    </row>
    <row r="27" spans="1:14">
      <c r="A27" s="684" t="s">
        <v>1410</v>
      </c>
      <c r="B27" s="719">
        <v>0.01</v>
      </c>
      <c r="C27" s="685"/>
      <c r="D27" s="684"/>
      <c r="E27" s="695"/>
      <c r="F27" s="684"/>
      <c r="G27" s="684"/>
      <c r="H27" s="684"/>
      <c r="I27" s="688"/>
      <c r="J27" s="688"/>
      <c r="K27" s="695"/>
      <c r="L27" s="696"/>
      <c r="M27" s="456" t="s">
        <v>232</v>
      </c>
      <c r="N27" s="456" t="s">
        <v>1658</v>
      </c>
    </row>
    <row r="28" spans="1:14">
      <c r="A28" s="684" t="s">
        <v>1411</v>
      </c>
      <c r="B28" s="719">
        <v>0.01</v>
      </c>
      <c r="C28" s="685"/>
      <c r="D28" s="684"/>
      <c r="E28" s="695"/>
      <c r="F28" s="684"/>
      <c r="G28" s="684"/>
      <c r="H28" s="684"/>
      <c r="I28" s="688"/>
      <c r="J28" s="688"/>
      <c r="K28" s="695"/>
      <c r="L28" s="696"/>
      <c r="M28" s="456" t="s">
        <v>232</v>
      </c>
      <c r="N28" s="456" t="s">
        <v>1658</v>
      </c>
    </row>
    <row r="29" spans="1:14">
      <c r="A29" s="684" t="s">
        <v>1412</v>
      </c>
      <c r="B29" s="719">
        <v>0.01</v>
      </c>
      <c r="C29" s="685"/>
      <c r="D29" s="684"/>
      <c r="E29" s="695"/>
      <c r="F29" s="684"/>
      <c r="G29" s="684"/>
      <c r="H29" s="684"/>
      <c r="I29" s="688"/>
      <c r="J29" s="688"/>
      <c r="K29" s="695"/>
      <c r="L29" s="696"/>
      <c r="M29" s="456" t="s">
        <v>232</v>
      </c>
      <c r="N29" s="456" t="s">
        <v>1658</v>
      </c>
    </row>
    <row r="30" spans="1:14">
      <c r="A30" s="684" t="s">
        <v>1413</v>
      </c>
      <c r="B30" s="719">
        <v>0.01</v>
      </c>
      <c r="C30" s="685"/>
      <c r="D30" s="684"/>
      <c r="E30" s="695"/>
      <c r="F30" s="684"/>
      <c r="G30" s="684"/>
      <c r="H30" s="684"/>
      <c r="I30" s="688"/>
      <c r="J30" s="688"/>
      <c r="K30" s="695"/>
      <c r="L30" s="696"/>
      <c r="M30" s="456" t="s">
        <v>232</v>
      </c>
      <c r="N30" s="456" t="s">
        <v>1658</v>
      </c>
    </row>
    <row r="31" spans="1:14">
      <c r="A31" s="684"/>
      <c r="B31" s="694"/>
      <c r="C31" s="684"/>
      <c r="D31" s="684"/>
      <c r="E31" s="699"/>
      <c r="F31" s="684"/>
      <c r="G31" s="684"/>
      <c r="H31" s="684"/>
      <c r="I31" s="700"/>
      <c r="J31" s="700"/>
      <c r="K31" s="699"/>
      <c r="L31" s="701"/>
      <c r="M31" s="695"/>
      <c r="N31" s="695"/>
    </row>
    <row r="32" spans="1:14">
      <c r="A32" s="684" t="s">
        <v>1414</v>
      </c>
      <c r="B32" s="694"/>
      <c r="C32" s="685"/>
      <c r="D32" s="684">
        <v>0</v>
      </c>
      <c r="E32" s="684">
        <v>0</v>
      </c>
      <c r="F32" s="685">
        <v>0</v>
      </c>
      <c r="G32" s="685">
        <v>0</v>
      </c>
      <c r="H32" s="685">
        <v>0</v>
      </c>
      <c r="I32" s="688">
        <v>0</v>
      </c>
      <c r="J32" s="688">
        <v>0</v>
      </c>
      <c r="K32" s="702">
        <v>0</v>
      </c>
      <c r="L32" s="718">
        <v>1</v>
      </c>
      <c r="M32" s="456" t="s">
        <v>232</v>
      </c>
      <c r="N32" s="456" t="s">
        <v>1659</v>
      </c>
    </row>
    <row r="33" spans="1:14">
      <c r="A33" s="684" t="s">
        <v>1648</v>
      </c>
      <c r="B33" s="694"/>
      <c r="C33" s="685"/>
      <c r="D33" s="685">
        <v>0</v>
      </c>
      <c r="E33" s="685">
        <v>0</v>
      </c>
      <c r="F33" s="685">
        <v>0</v>
      </c>
      <c r="G33" s="685">
        <v>0</v>
      </c>
      <c r="H33" s="685">
        <v>0</v>
      </c>
      <c r="I33" s="688">
        <v>0</v>
      </c>
      <c r="J33" s="688">
        <v>0</v>
      </c>
      <c r="K33" s="687">
        <v>0</v>
      </c>
      <c r="L33" s="718">
        <v>1</v>
      </c>
      <c r="M33" s="456" t="s">
        <v>232</v>
      </c>
      <c r="N33" s="456" t="s">
        <v>1659</v>
      </c>
    </row>
    <row r="34" spans="1:14">
      <c r="A34" s="684" t="s">
        <v>1415</v>
      </c>
      <c r="B34" s="694">
        <v>0</v>
      </c>
      <c r="C34" s="685"/>
      <c r="D34" s="715">
        <v>0.1</v>
      </c>
      <c r="E34" s="715">
        <v>0.1</v>
      </c>
      <c r="F34" s="715">
        <v>0.1</v>
      </c>
      <c r="G34" s="715">
        <v>0.1</v>
      </c>
      <c r="H34" s="715">
        <v>0.1</v>
      </c>
      <c r="I34" s="716">
        <v>0.01</v>
      </c>
      <c r="J34" s="716">
        <v>0.01</v>
      </c>
      <c r="K34" s="684">
        <v>0</v>
      </c>
      <c r="L34" s="702">
        <v>0</v>
      </c>
      <c r="M34" s="456" t="s">
        <v>232</v>
      </c>
      <c r="N34" s="456" t="s">
        <v>1650</v>
      </c>
    </row>
    <row r="35" spans="1:14">
      <c r="A35" s="684" t="s">
        <v>1416</v>
      </c>
      <c r="B35" s="694">
        <v>0</v>
      </c>
      <c r="C35" s="685"/>
      <c r="D35" s="715">
        <v>0.1</v>
      </c>
      <c r="E35" s="715">
        <v>0.1</v>
      </c>
      <c r="F35" s="715">
        <v>0.1</v>
      </c>
      <c r="G35" s="715">
        <v>0.1</v>
      </c>
      <c r="H35" s="715">
        <v>0.1</v>
      </c>
      <c r="I35" s="716">
        <v>0.01</v>
      </c>
      <c r="J35" s="716">
        <v>0.01</v>
      </c>
      <c r="K35" s="684">
        <v>0</v>
      </c>
      <c r="L35" s="702">
        <v>0</v>
      </c>
      <c r="M35" s="456" t="s">
        <v>232</v>
      </c>
      <c r="N35" s="456" t="s">
        <v>1650</v>
      </c>
    </row>
    <row r="36" spans="1:14">
      <c r="A36" s="684" t="s">
        <v>1417</v>
      </c>
      <c r="B36" s="694">
        <v>0</v>
      </c>
      <c r="C36" s="685"/>
      <c r="D36" s="715">
        <v>0.1</v>
      </c>
      <c r="E36" s="715">
        <v>0.1</v>
      </c>
      <c r="F36" s="715">
        <v>0.1</v>
      </c>
      <c r="G36" s="715">
        <v>0.1</v>
      </c>
      <c r="H36" s="715">
        <v>0.1</v>
      </c>
      <c r="I36" s="716">
        <v>0.01</v>
      </c>
      <c r="J36" s="716">
        <v>0.01</v>
      </c>
      <c r="K36" s="684">
        <v>0</v>
      </c>
      <c r="L36" s="702">
        <v>0</v>
      </c>
      <c r="M36" s="456" t="s">
        <v>232</v>
      </c>
      <c r="N36" s="456" t="s">
        <v>1650</v>
      </c>
    </row>
    <row r="37" spans="1:14">
      <c r="A37" s="684" t="s">
        <v>1418</v>
      </c>
      <c r="B37" s="694">
        <v>0</v>
      </c>
      <c r="C37" s="685"/>
      <c r="D37" s="684">
        <v>0</v>
      </c>
      <c r="E37" s="715">
        <v>1</v>
      </c>
      <c r="F37" s="685">
        <v>0</v>
      </c>
      <c r="G37" s="715">
        <v>1</v>
      </c>
      <c r="H37" s="715">
        <v>1</v>
      </c>
      <c r="I37" s="688">
        <v>0</v>
      </c>
      <c r="J37" s="717">
        <v>1</v>
      </c>
      <c r="K37" s="684">
        <v>0</v>
      </c>
      <c r="L37" s="702">
        <v>0</v>
      </c>
      <c r="M37" s="456" t="s">
        <v>232</v>
      </c>
      <c r="N37" s="456" t="s">
        <v>1650</v>
      </c>
    </row>
    <row r="38" spans="1:14">
      <c r="A38" s="684"/>
      <c r="B38" s="703"/>
      <c r="C38" s="684"/>
      <c r="D38" s="684"/>
      <c r="E38" s="704"/>
      <c r="F38" s="684"/>
      <c r="G38" s="684"/>
      <c r="H38" s="684"/>
      <c r="I38" s="688"/>
      <c r="J38" s="688"/>
      <c r="K38" s="695"/>
      <c r="L38" s="705"/>
      <c r="M38" s="456"/>
      <c r="N38" s="456"/>
    </row>
    <row r="39" spans="1:14">
      <c r="A39" s="684" t="s">
        <v>1692</v>
      </c>
      <c r="B39" s="719">
        <v>0.01</v>
      </c>
      <c r="C39" s="685"/>
      <c r="D39" s="685">
        <v>0</v>
      </c>
      <c r="E39" s="685">
        <v>0</v>
      </c>
      <c r="F39" s="685">
        <v>0</v>
      </c>
      <c r="G39" s="685">
        <v>0</v>
      </c>
      <c r="H39" s="685">
        <v>0</v>
      </c>
      <c r="I39" s="686">
        <v>0</v>
      </c>
      <c r="J39" s="686">
        <v>0</v>
      </c>
      <c r="K39" s="685">
        <v>0</v>
      </c>
      <c r="L39" s="687">
        <v>0</v>
      </c>
      <c r="M39" s="456" t="s">
        <v>232</v>
      </c>
      <c r="N39" s="456" t="s">
        <v>1658</v>
      </c>
    </row>
    <row r="40" spans="1:14">
      <c r="A40" s="684" t="s">
        <v>1693</v>
      </c>
      <c r="B40" s="719">
        <v>0.01</v>
      </c>
      <c r="C40" s="685"/>
      <c r="D40" s="685">
        <v>0</v>
      </c>
      <c r="E40" s="685">
        <v>0</v>
      </c>
      <c r="F40" s="685">
        <v>0</v>
      </c>
      <c r="G40" s="685">
        <v>0</v>
      </c>
      <c r="H40" s="685">
        <v>0</v>
      </c>
      <c r="I40" s="686">
        <v>0</v>
      </c>
      <c r="J40" s="686">
        <v>0</v>
      </c>
      <c r="K40" s="685">
        <v>0</v>
      </c>
      <c r="L40" s="687">
        <v>0</v>
      </c>
      <c r="M40" s="456" t="s">
        <v>232</v>
      </c>
      <c r="N40" s="456" t="s">
        <v>1658</v>
      </c>
    </row>
    <row r="41" spans="1:14">
      <c r="A41" s="684">
        <v>0</v>
      </c>
      <c r="B41" s="694">
        <v>0</v>
      </c>
      <c r="C41" s="685"/>
      <c r="D41" s="685">
        <v>0</v>
      </c>
      <c r="E41" s="685">
        <v>0</v>
      </c>
      <c r="F41" s="685">
        <v>0</v>
      </c>
      <c r="G41" s="685">
        <v>0</v>
      </c>
      <c r="H41" s="685">
        <v>0</v>
      </c>
      <c r="I41" s="686">
        <v>0</v>
      </c>
      <c r="J41" s="686">
        <v>0</v>
      </c>
      <c r="K41" s="685">
        <v>0</v>
      </c>
      <c r="L41" s="687">
        <v>0</v>
      </c>
      <c r="M41" s="456"/>
      <c r="N41" s="456"/>
    </row>
    <row r="42" spans="1:14">
      <c r="A42" s="684">
        <v>0</v>
      </c>
      <c r="B42" s="694">
        <v>0</v>
      </c>
      <c r="C42" s="685"/>
      <c r="D42" s="685">
        <v>0</v>
      </c>
      <c r="E42" s="685">
        <v>0</v>
      </c>
      <c r="F42" s="685">
        <v>0</v>
      </c>
      <c r="G42" s="685">
        <v>0</v>
      </c>
      <c r="H42" s="685">
        <v>0</v>
      </c>
      <c r="I42" s="686">
        <v>0</v>
      </c>
      <c r="J42" s="686">
        <v>0</v>
      </c>
      <c r="K42" s="685">
        <v>0</v>
      </c>
      <c r="L42" s="687">
        <v>0</v>
      </c>
      <c r="M42" s="456"/>
      <c r="N42" s="456"/>
    </row>
    <row r="43" spans="1:14">
      <c r="A43" s="684">
        <v>0</v>
      </c>
      <c r="B43" s="694">
        <v>0</v>
      </c>
      <c r="C43" s="685"/>
      <c r="D43" s="685">
        <v>0</v>
      </c>
      <c r="E43" s="685">
        <v>0</v>
      </c>
      <c r="F43" s="685">
        <v>0</v>
      </c>
      <c r="G43" s="685">
        <v>0</v>
      </c>
      <c r="H43" s="685">
        <v>0</v>
      </c>
      <c r="I43" s="686">
        <v>0</v>
      </c>
      <c r="J43" s="686">
        <v>0</v>
      </c>
      <c r="K43" s="685">
        <v>0</v>
      </c>
      <c r="L43" s="687">
        <v>0</v>
      </c>
      <c r="M43" s="456"/>
      <c r="N43" s="456"/>
    </row>
    <row r="44" spans="1:14">
      <c r="A44" s="684" t="s">
        <v>1419</v>
      </c>
      <c r="B44" s="719">
        <v>0.01</v>
      </c>
      <c r="C44" s="685"/>
      <c r="D44" s="684"/>
      <c r="E44" s="695"/>
      <c r="F44" s="684"/>
      <c r="G44" s="684"/>
      <c r="H44" s="684"/>
      <c r="I44" s="688"/>
      <c r="J44" s="688"/>
      <c r="K44" s="695"/>
      <c r="L44" s="696"/>
      <c r="M44" s="456" t="s">
        <v>232</v>
      </c>
      <c r="N44" s="456" t="s">
        <v>1660</v>
      </c>
    </row>
    <row r="45" spans="1:14">
      <c r="A45" s="684" t="s">
        <v>1420</v>
      </c>
      <c r="B45" s="719">
        <v>0.01</v>
      </c>
      <c r="C45" s="685"/>
      <c r="D45" s="684"/>
      <c r="E45" s="695"/>
      <c r="F45" s="684"/>
      <c r="G45" s="684"/>
      <c r="H45" s="684"/>
      <c r="I45" s="688"/>
      <c r="J45" s="688"/>
      <c r="K45" s="695"/>
      <c r="L45" s="696"/>
      <c r="M45" s="456" t="s">
        <v>232</v>
      </c>
      <c r="N45" s="456" t="s">
        <v>1661</v>
      </c>
    </row>
    <row r="46" spans="1:14">
      <c r="A46" s="684" t="s">
        <v>1421</v>
      </c>
      <c r="B46" s="719">
        <v>0.01</v>
      </c>
      <c r="C46" s="685"/>
      <c r="D46" s="684"/>
      <c r="E46" s="695"/>
      <c r="F46" s="684"/>
      <c r="G46" s="684"/>
      <c r="H46" s="684"/>
      <c r="I46" s="688"/>
      <c r="J46" s="688"/>
      <c r="K46" s="695"/>
      <c r="L46" s="696"/>
      <c r="M46" s="456" t="s">
        <v>232</v>
      </c>
      <c r="N46" s="456" t="s">
        <v>1658</v>
      </c>
    </row>
    <row r="47" spans="1:14">
      <c r="A47" s="684" t="s">
        <v>1422</v>
      </c>
      <c r="B47" s="719">
        <v>0.01</v>
      </c>
      <c r="C47" s="685"/>
      <c r="D47" s="684"/>
      <c r="E47" s="695"/>
      <c r="F47" s="684"/>
      <c r="G47" s="684"/>
      <c r="H47" s="684"/>
      <c r="I47" s="688"/>
      <c r="J47" s="688"/>
      <c r="K47" s="695"/>
      <c r="L47" s="696"/>
      <c r="M47" s="456" t="s">
        <v>225</v>
      </c>
      <c r="N47" s="456" t="s">
        <v>1660</v>
      </c>
    </row>
    <row r="48" spans="1:14">
      <c r="A48" s="684" t="s">
        <v>1423</v>
      </c>
      <c r="B48" s="719">
        <v>0.01</v>
      </c>
      <c r="C48" s="685"/>
      <c r="D48" s="684"/>
      <c r="E48" s="695"/>
      <c r="F48" s="684"/>
      <c r="G48" s="684"/>
      <c r="H48" s="684"/>
      <c r="I48" s="688"/>
      <c r="J48" s="688"/>
      <c r="K48" s="695"/>
      <c r="L48" s="696"/>
      <c r="M48" s="456" t="s">
        <v>225</v>
      </c>
      <c r="N48" s="456" t="s">
        <v>1661</v>
      </c>
    </row>
    <row r="49" spans="1:14">
      <c r="A49" s="684" t="s">
        <v>1424</v>
      </c>
      <c r="B49" s="719">
        <v>0.01</v>
      </c>
      <c r="C49" s="685"/>
      <c r="D49" s="684"/>
      <c r="E49" s="695"/>
      <c r="F49" s="684"/>
      <c r="G49" s="684"/>
      <c r="H49" s="684"/>
      <c r="I49" s="688"/>
      <c r="J49" s="688"/>
      <c r="K49" s="695"/>
      <c r="L49" s="696"/>
      <c r="M49" s="456" t="s">
        <v>225</v>
      </c>
      <c r="N49" s="456" t="s">
        <v>1658</v>
      </c>
    </row>
    <row r="50" spans="1:14">
      <c r="A50" s="684" t="s">
        <v>1694</v>
      </c>
      <c r="B50" s="694"/>
      <c r="C50" s="685"/>
      <c r="D50" s="685"/>
      <c r="E50" s="685"/>
      <c r="F50" s="685"/>
      <c r="G50" s="685"/>
      <c r="H50" s="685"/>
      <c r="I50" s="686"/>
      <c r="J50" s="686"/>
      <c r="K50" s="456"/>
      <c r="L50" s="706"/>
      <c r="M50" s="456" t="s">
        <v>225</v>
      </c>
      <c r="N50" s="456" t="s">
        <v>1650</v>
      </c>
    </row>
    <row r="51" spans="1:14" ht="56.25">
      <c r="A51" s="684"/>
      <c r="B51" s="703"/>
      <c r="C51" s="684"/>
      <c r="D51" s="693" t="s">
        <v>1387</v>
      </c>
      <c r="E51" s="693" t="s">
        <v>1388</v>
      </c>
      <c r="F51" s="693" t="s">
        <v>1389</v>
      </c>
      <c r="G51" s="693" t="s">
        <v>1390</v>
      </c>
      <c r="H51" s="693" t="s">
        <v>1391</v>
      </c>
      <c r="I51" s="693" t="s">
        <v>1719</v>
      </c>
      <c r="J51" s="693" t="s">
        <v>1720</v>
      </c>
      <c r="K51" s="693" t="s">
        <v>1394</v>
      </c>
      <c r="L51" s="693" t="s">
        <v>1395</v>
      </c>
      <c r="M51" s="456"/>
      <c r="N51" s="456"/>
    </row>
    <row r="52" spans="1:14">
      <c r="A52" s="684" t="s">
        <v>1425</v>
      </c>
      <c r="B52" s="694">
        <v>0</v>
      </c>
      <c r="C52" s="685"/>
      <c r="D52" s="685">
        <v>0</v>
      </c>
      <c r="E52" s="685">
        <v>0</v>
      </c>
      <c r="F52" s="685">
        <v>0</v>
      </c>
      <c r="G52" s="685">
        <v>0</v>
      </c>
      <c r="H52" s="685">
        <v>0</v>
      </c>
      <c r="I52" s="686">
        <v>0</v>
      </c>
      <c r="J52" s="686">
        <v>0</v>
      </c>
      <c r="K52" s="685">
        <v>0</v>
      </c>
      <c r="L52" s="715">
        <v>0.1</v>
      </c>
      <c r="M52" s="456" t="s">
        <v>232</v>
      </c>
      <c r="N52" s="456" t="s">
        <v>1650</v>
      </c>
    </row>
    <row r="53" spans="1:14">
      <c r="A53" s="684" t="s">
        <v>1426</v>
      </c>
      <c r="B53" s="694">
        <v>0</v>
      </c>
      <c r="C53" s="685"/>
      <c r="D53" s="685">
        <v>0</v>
      </c>
      <c r="E53" s="685">
        <v>0</v>
      </c>
      <c r="F53" s="685">
        <v>0</v>
      </c>
      <c r="G53" s="685">
        <v>0</v>
      </c>
      <c r="H53" s="685">
        <v>0</v>
      </c>
      <c r="I53" s="686">
        <v>0</v>
      </c>
      <c r="J53" s="686">
        <v>0</v>
      </c>
      <c r="K53" s="685">
        <v>0</v>
      </c>
      <c r="L53" s="715">
        <v>0.1</v>
      </c>
      <c r="M53" s="456" t="s">
        <v>232</v>
      </c>
      <c r="N53" s="456" t="s">
        <v>1650</v>
      </c>
    </row>
    <row r="54" spans="1:14">
      <c r="A54" s="684" t="s">
        <v>1427</v>
      </c>
      <c r="B54" s="694">
        <v>0</v>
      </c>
      <c r="C54" s="685"/>
      <c r="D54" s="685">
        <v>0</v>
      </c>
      <c r="E54" s="715">
        <v>0.1</v>
      </c>
      <c r="F54" s="715">
        <v>0.1</v>
      </c>
      <c r="G54" s="715">
        <v>0.1</v>
      </c>
      <c r="H54" s="715">
        <v>0.1</v>
      </c>
      <c r="I54" s="716">
        <v>0.01</v>
      </c>
      <c r="J54" s="716">
        <v>0.01</v>
      </c>
      <c r="K54" s="715">
        <v>0.1</v>
      </c>
      <c r="L54" s="715">
        <v>0.1</v>
      </c>
      <c r="M54" s="456" t="s">
        <v>232</v>
      </c>
      <c r="N54" s="456" t="s">
        <v>1650</v>
      </c>
    </row>
    <row r="55" spans="1:14">
      <c r="A55" s="684" t="s">
        <v>1428</v>
      </c>
      <c r="B55" s="694">
        <v>0</v>
      </c>
      <c r="C55" s="685"/>
      <c r="D55" s="685">
        <v>0</v>
      </c>
      <c r="E55" s="685">
        <v>0</v>
      </c>
      <c r="F55" s="685">
        <v>0</v>
      </c>
      <c r="G55" s="685">
        <v>0</v>
      </c>
      <c r="H55" s="685">
        <v>0</v>
      </c>
      <c r="I55" s="686">
        <v>0</v>
      </c>
      <c r="J55" s="686">
        <v>0</v>
      </c>
      <c r="K55" s="685">
        <v>0</v>
      </c>
      <c r="L55" s="715">
        <v>0.1</v>
      </c>
      <c r="M55" s="456" t="s">
        <v>232</v>
      </c>
      <c r="N55" s="456" t="s">
        <v>1650</v>
      </c>
    </row>
    <row r="56" spans="1:14">
      <c r="A56" s="684" t="s">
        <v>1429</v>
      </c>
      <c r="B56" s="694">
        <v>0</v>
      </c>
      <c r="C56" s="685"/>
      <c r="D56" s="685">
        <v>0</v>
      </c>
      <c r="E56" s="685">
        <v>0</v>
      </c>
      <c r="F56" s="685">
        <v>0</v>
      </c>
      <c r="G56" s="685">
        <v>0</v>
      </c>
      <c r="H56" s="685">
        <v>0</v>
      </c>
      <c r="I56" s="686">
        <v>0</v>
      </c>
      <c r="J56" s="686">
        <v>0</v>
      </c>
      <c r="K56" s="685">
        <v>0</v>
      </c>
      <c r="L56" s="715">
        <v>0.1</v>
      </c>
      <c r="M56" s="456" t="s">
        <v>232</v>
      </c>
      <c r="N56" s="456" t="s">
        <v>1650</v>
      </c>
    </row>
    <row r="57" spans="1:14">
      <c r="A57" s="684" t="s">
        <v>1430</v>
      </c>
      <c r="B57" s="694">
        <v>0</v>
      </c>
      <c r="C57" s="685"/>
      <c r="D57" s="685">
        <v>0</v>
      </c>
      <c r="E57" s="685">
        <v>0</v>
      </c>
      <c r="F57" s="685">
        <v>0</v>
      </c>
      <c r="G57" s="685">
        <v>0</v>
      </c>
      <c r="H57" s="685">
        <v>0</v>
      </c>
      <c r="I57" s="686">
        <v>0</v>
      </c>
      <c r="J57" s="686">
        <v>0</v>
      </c>
      <c r="K57" s="685">
        <v>0</v>
      </c>
      <c r="L57" s="715">
        <v>0.1</v>
      </c>
      <c r="M57" s="456" t="s">
        <v>232</v>
      </c>
      <c r="N57" s="456" t="s">
        <v>1650</v>
      </c>
    </row>
    <row r="58" spans="1:14">
      <c r="A58" s="689"/>
      <c r="B58" s="697"/>
      <c r="C58" s="697"/>
      <c r="D58" s="689"/>
      <c r="E58" s="697"/>
      <c r="F58" s="689"/>
      <c r="G58" s="689"/>
      <c r="H58" s="689"/>
      <c r="I58" s="690"/>
      <c r="J58" s="690"/>
      <c r="K58" s="697"/>
      <c r="L58" s="698"/>
      <c r="M58" s="456"/>
      <c r="N58" s="456"/>
    </row>
    <row r="59" spans="1:14" ht="45">
      <c r="A59" s="684"/>
      <c r="B59" s="680" t="s">
        <v>1386</v>
      </c>
      <c r="C59" s="680"/>
      <c r="D59" s="679" t="s">
        <v>1387</v>
      </c>
      <c r="E59" s="679" t="s">
        <v>1651</v>
      </c>
      <c r="F59" s="679" t="s">
        <v>1652</v>
      </c>
      <c r="G59" s="679" t="s">
        <v>1653</v>
      </c>
      <c r="H59" s="679" t="s">
        <v>1654</v>
      </c>
      <c r="I59" s="679" t="s">
        <v>1723</v>
      </c>
      <c r="J59" s="679" t="s">
        <v>1724</v>
      </c>
      <c r="K59" s="679" t="s">
        <v>1662</v>
      </c>
      <c r="L59" s="679" t="s">
        <v>1663</v>
      </c>
      <c r="M59" s="707"/>
      <c r="N59" s="707"/>
    </row>
    <row r="60" spans="1:14">
      <c r="A60" s="684" t="s">
        <v>1431</v>
      </c>
      <c r="B60" s="695"/>
      <c r="C60" s="695"/>
      <c r="D60" s="685">
        <v>0</v>
      </c>
      <c r="E60" s="715">
        <v>1</v>
      </c>
      <c r="F60" s="685">
        <v>0</v>
      </c>
      <c r="G60" s="715">
        <v>1</v>
      </c>
      <c r="H60" s="715">
        <v>1</v>
      </c>
      <c r="I60" s="686">
        <v>0</v>
      </c>
      <c r="J60" s="715">
        <v>1</v>
      </c>
      <c r="K60" s="715">
        <v>1</v>
      </c>
      <c r="L60" s="687">
        <v>0</v>
      </c>
      <c r="M60" s="456" t="s">
        <v>232</v>
      </c>
      <c r="N60" s="456" t="s">
        <v>1650</v>
      </c>
    </row>
    <row r="61" spans="1:14">
      <c r="A61" s="684" t="s">
        <v>1432</v>
      </c>
      <c r="B61" s="695"/>
      <c r="C61" s="695"/>
      <c r="D61" s="685">
        <v>0</v>
      </c>
      <c r="E61" s="715">
        <v>1</v>
      </c>
      <c r="F61" s="685">
        <v>0</v>
      </c>
      <c r="G61" s="715">
        <v>1</v>
      </c>
      <c r="H61" s="715">
        <v>1</v>
      </c>
      <c r="I61" s="686">
        <v>0</v>
      </c>
      <c r="J61" s="715">
        <v>1</v>
      </c>
      <c r="K61" s="715">
        <v>1</v>
      </c>
      <c r="L61" s="715">
        <v>1</v>
      </c>
      <c r="M61" s="456" t="s">
        <v>232</v>
      </c>
      <c r="N61" s="456" t="s">
        <v>1650</v>
      </c>
    </row>
    <row r="62" spans="1:14">
      <c r="A62" s="684" t="s">
        <v>1433</v>
      </c>
      <c r="B62" s="695"/>
      <c r="C62" s="695"/>
      <c r="D62" s="685">
        <v>0</v>
      </c>
      <c r="E62" s="715">
        <v>1</v>
      </c>
      <c r="F62" s="685">
        <v>0</v>
      </c>
      <c r="G62" s="715">
        <v>1</v>
      </c>
      <c r="H62" s="715">
        <v>1</v>
      </c>
      <c r="I62" s="686">
        <v>0</v>
      </c>
      <c r="J62" s="715">
        <v>1</v>
      </c>
      <c r="K62" s="715">
        <v>1</v>
      </c>
      <c r="L62" s="687">
        <v>0</v>
      </c>
      <c r="M62" s="456" t="s">
        <v>232</v>
      </c>
      <c r="N62" s="456" t="s">
        <v>1650</v>
      </c>
    </row>
    <row r="63" spans="1:14">
      <c r="A63" s="684" t="s">
        <v>1434</v>
      </c>
      <c r="B63" s="695"/>
      <c r="C63" s="695"/>
      <c r="D63" s="685">
        <v>0</v>
      </c>
      <c r="E63" s="715">
        <v>1</v>
      </c>
      <c r="F63" s="685">
        <v>0</v>
      </c>
      <c r="G63" s="715">
        <v>1</v>
      </c>
      <c r="H63" s="715">
        <v>1</v>
      </c>
      <c r="I63" s="686">
        <v>0</v>
      </c>
      <c r="J63" s="715">
        <v>1</v>
      </c>
      <c r="K63" s="715">
        <v>1</v>
      </c>
      <c r="L63" s="715">
        <v>1</v>
      </c>
      <c r="M63" s="456" t="s">
        <v>232</v>
      </c>
      <c r="N63" s="456" t="s">
        <v>1650</v>
      </c>
    </row>
    <row r="64" spans="1:14">
      <c r="A64" s="684" t="s">
        <v>1435</v>
      </c>
      <c r="B64" s="695"/>
      <c r="C64" s="695"/>
      <c r="D64" s="685">
        <v>0</v>
      </c>
      <c r="E64" s="685">
        <v>0</v>
      </c>
      <c r="F64" s="685">
        <v>0</v>
      </c>
      <c r="G64" s="685">
        <v>0</v>
      </c>
      <c r="H64" s="685">
        <v>0</v>
      </c>
      <c r="I64" s="686">
        <v>0</v>
      </c>
      <c r="J64" s="686">
        <v>0</v>
      </c>
      <c r="K64" s="715">
        <v>1</v>
      </c>
      <c r="L64" s="687">
        <v>0</v>
      </c>
      <c r="M64" s="456" t="s">
        <v>232</v>
      </c>
      <c r="N64" s="456" t="s">
        <v>1650</v>
      </c>
    </row>
    <row r="65" spans="1:14">
      <c r="A65" s="684" t="s">
        <v>1436</v>
      </c>
      <c r="B65" s="695"/>
      <c r="C65" s="695"/>
      <c r="D65" s="685">
        <v>0</v>
      </c>
      <c r="E65" s="685">
        <v>0</v>
      </c>
      <c r="F65" s="685">
        <v>0</v>
      </c>
      <c r="G65" s="685">
        <v>0</v>
      </c>
      <c r="H65" s="685">
        <v>0</v>
      </c>
      <c r="I65" s="686">
        <v>0</v>
      </c>
      <c r="J65" s="686">
        <v>0</v>
      </c>
      <c r="K65" s="715">
        <v>1</v>
      </c>
      <c r="L65" s="687">
        <v>0</v>
      </c>
      <c r="M65" s="456" t="s">
        <v>232</v>
      </c>
      <c r="N65" s="456" t="s">
        <v>1650</v>
      </c>
    </row>
    <row r="66" spans="1:14">
      <c r="A66" s="684" t="s">
        <v>1437</v>
      </c>
      <c r="B66" s="695"/>
      <c r="C66" s="695"/>
      <c r="D66" s="685">
        <v>0</v>
      </c>
      <c r="E66" s="685">
        <v>0</v>
      </c>
      <c r="F66" s="685">
        <v>0</v>
      </c>
      <c r="G66" s="685">
        <v>0</v>
      </c>
      <c r="H66" s="685">
        <v>0</v>
      </c>
      <c r="I66" s="686">
        <v>0</v>
      </c>
      <c r="J66" s="686">
        <v>0</v>
      </c>
      <c r="K66" s="715">
        <v>1</v>
      </c>
      <c r="L66" s="687">
        <v>0</v>
      </c>
      <c r="M66" s="456" t="s">
        <v>232</v>
      </c>
      <c r="N66" s="456" t="s">
        <v>1650</v>
      </c>
    </row>
    <row r="67" spans="1:14">
      <c r="A67" s="684" t="s">
        <v>1438</v>
      </c>
      <c r="B67" s="695"/>
      <c r="C67" s="695"/>
      <c r="D67" s="685">
        <v>0</v>
      </c>
      <c r="E67" s="685">
        <v>0</v>
      </c>
      <c r="F67" s="685">
        <v>0</v>
      </c>
      <c r="G67" s="685">
        <v>0</v>
      </c>
      <c r="H67" s="685">
        <v>0</v>
      </c>
      <c r="I67" s="686">
        <v>0</v>
      </c>
      <c r="J67" s="686">
        <v>0</v>
      </c>
      <c r="K67" s="685">
        <v>0</v>
      </c>
      <c r="L67" s="687">
        <v>0</v>
      </c>
      <c r="M67" s="456" t="s">
        <v>232</v>
      </c>
      <c r="N67" s="456" t="s">
        <v>1650</v>
      </c>
    </row>
    <row r="68" spans="1:14">
      <c r="A68" s="684" t="s">
        <v>1439</v>
      </c>
      <c r="B68" s="695"/>
      <c r="C68" s="695"/>
      <c r="D68" s="456"/>
      <c r="E68" s="715">
        <v>1</v>
      </c>
      <c r="F68" s="685">
        <v>0</v>
      </c>
      <c r="G68" s="685">
        <v>0</v>
      </c>
      <c r="H68" s="685">
        <v>0</v>
      </c>
      <c r="I68" s="686">
        <v>0</v>
      </c>
      <c r="J68" s="686">
        <v>0</v>
      </c>
      <c r="K68" s="685">
        <v>0</v>
      </c>
      <c r="L68" s="687">
        <v>0</v>
      </c>
      <c r="M68" s="456" t="s">
        <v>232</v>
      </c>
      <c r="N68" s="456" t="s">
        <v>1650</v>
      </c>
    </row>
    <row r="69" spans="1:14">
      <c r="A69" s="684" t="s">
        <v>1440</v>
      </c>
      <c r="B69" s="695"/>
      <c r="C69" s="695"/>
      <c r="D69" s="685">
        <v>0</v>
      </c>
      <c r="E69" s="685">
        <v>0</v>
      </c>
      <c r="F69" s="685">
        <v>0</v>
      </c>
      <c r="G69" s="685">
        <v>0</v>
      </c>
      <c r="H69" s="685">
        <v>0</v>
      </c>
      <c r="I69" s="686">
        <v>0</v>
      </c>
      <c r="J69" s="686">
        <v>0</v>
      </c>
      <c r="K69" s="685">
        <v>0</v>
      </c>
      <c r="L69" s="715">
        <v>1</v>
      </c>
      <c r="M69" s="456" t="s">
        <v>232</v>
      </c>
      <c r="N69" s="456" t="s">
        <v>1650</v>
      </c>
    </row>
    <row r="70" spans="1:14">
      <c r="A70" s="684" t="s">
        <v>1441</v>
      </c>
      <c r="B70" s="695"/>
      <c r="C70" s="695"/>
      <c r="D70" s="685">
        <v>0</v>
      </c>
      <c r="E70" s="685">
        <v>0</v>
      </c>
      <c r="F70" s="685">
        <v>0</v>
      </c>
      <c r="G70" s="685">
        <v>0</v>
      </c>
      <c r="H70" s="685">
        <v>0</v>
      </c>
      <c r="I70" s="686">
        <v>0</v>
      </c>
      <c r="J70" s="686">
        <v>0</v>
      </c>
      <c r="K70" s="685">
        <v>0</v>
      </c>
      <c r="L70" s="715">
        <v>1</v>
      </c>
      <c r="M70" s="456" t="s">
        <v>232</v>
      </c>
      <c r="N70" s="456" t="s">
        <v>1650</v>
      </c>
    </row>
    <row r="71" spans="1:14">
      <c r="A71" s="684" t="s">
        <v>1442</v>
      </c>
      <c r="B71" s="695"/>
      <c r="C71" s="695"/>
      <c r="D71" s="685">
        <v>0</v>
      </c>
      <c r="E71" s="685">
        <v>0</v>
      </c>
      <c r="F71" s="685">
        <v>0</v>
      </c>
      <c r="G71" s="685">
        <v>0</v>
      </c>
      <c r="H71" s="685">
        <v>0</v>
      </c>
      <c r="I71" s="686">
        <v>0</v>
      </c>
      <c r="J71" s="686">
        <v>0</v>
      </c>
      <c r="K71" s="685">
        <v>0</v>
      </c>
      <c r="L71" s="715">
        <v>1</v>
      </c>
      <c r="M71" s="456" t="s">
        <v>232</v>
      </c>
      <c r="N71" s="456" t="s">
        <v>1650</v>
      </c>
    </row>
    <row r="72" spans="1:14">
      <c r="A72" s="684"/>
      <c r="B72" s="695"/>
      <c r="C72" s="695"/>
      <c r="D72" s="685"/>
      <c r="E72" s="685"/>
      <c r="F72" s="685"/>
      <c r="G72" s="685"/>
      <c r="H72" s="685"/>
      <c r="I72" s="686"/>
      <c r="J72" s="686"/>
      <c r="K72" s="685"/>
      <c r="L72" s="687"/>
      <c r="M72" s="456" t="s">
        <v>232</v>
      </c>
      <c r="N72" s="456" t="s">
        <v>1650</v>
      </c>
    </row>
    <row r="73" spans="1:14" ht="33.75">
      <c r="A73" s="684"/>
      <c r="B73" s="680" t="s">
        <v>1386</v>
      </c>
      <c r="C73" s="680"/>
      <c r="D73" s="679" t="s">
        <v>1387</v>
      </c>
      <c r="E73" s="679" t="s">
        <v>1651</v>
      </c>
      <c r="F73" s="679" t="s">
        <v>1652</v>
      </c>
      <c r="G73" s="679" t="s">
        <v>1653</v>
      </c>
      <c r="H73" s="679" t="s">
        <v>1654</v>
      </c>
      <c r="I73" s="679" t="s">
        <v>1655</v>
      </c>
      <c r="J73" s="679" t="s">
        <v>1656</v>
      </c>
      <c r="K73" s="679" t="s">
        <v>1662</v>
      </c>
      <c r="L73" s="679" t="s">
        <v>1663</v>
      </c>
      <c r="M73" s="456"/>
      <c r="N73" s="456"/>
    </row>
    <row r="74" spans="1:14">
      <c r="A74" s="684" t="s">
        <v>1443</v>
      </c>
      <c r="B74" s="695"/>
      <c r="C74" s="695"/>
      <c r="D74" s="685">
        <v>0</v>
      </c>
      <c r="E74" s="715">
        <v>1</v>
      </c>
      <c r="F74" s="715">
        <v>1</v>
      </c>
      <c r="G74" s="715">
        <v>1</v>
      </c>
      <c r="H74" s="715">
        <v>1</v>
      </c>
      <c r="I74" s="715">
        <v>1</v>
      </c>
      <c r="J74" s="715">
        <v>1</v>
      </c>
      <c r="K74" s="685">
        <v>0</v>
      </c>
      <c r="L74" s="687">
        <v>0</v>
      </c>
      <c r="M74" s="456" t="s">
        <v>232</v>
      </c>
      <c r="N74" s="456" t="s">
        <v>1650</v>
      </c>
    </row>
    <row r="75" spans="1:14">
      <c r="A75" s="684" t="s">
        <v>1444</v>
      </c>
      <c r="B75" s="695"/>
      <c r="C75" s="695"/>
      <c r="D75" s="685">
        <v>0</v>
      </c>
      <c r="E75" s="715">
        <v>1</v>
      </c>
      <c r="F75" s="715">
        <v>1</v>
      </c>
      <c r="G75" s="715">
        <v>1</v>
      </c>
      <c r="H75" s="715">
        <v>1</v>
      </c>
      <c r="I75" s="715">
        <v>1</v>
      </c>
      <c r="J75" s="715">
        <v>1</v>
      </c>
      <c r="K75" s="685">
        <v>0</v>
      </c>
      <c r="L75" s="687">
        <v>0</v>
      </c>
      <c r="M75" s="456" t="s">
        <v>232</v>
      </c>
      <c r="N75" s="456" t="s">
        <v>1650</v>
      </c>
    </row>
    <row r="76" spans="1:14">
      <c r="A76" s="684" t="s">
        <v>1445</v>
      </c>
      <c r="B76" s="695"/>
      <c r="C76" s="695"/>
      <c r="D76" s="685">
        <v>0</v>
      </c>
      <c r="E76" s="715">
        <v>1</v>
      </c>
      <c r="F76" s="715">
        <v>1</v>
      </c>
      <c r="G76" s="715">
        <v>1</v>
      </c>
      <c r="H76" s="715">
        <v>1</v>
      </c>
      <c r="I76" s="715">
        <v>1</v>
      </c>
      <c r="J76" s="715">
        <v>1</v>
      </c>
      <c r="K76" s="685">
        <v>0</v>
      </c>
      <c r="L76" s="687">
        <v>0</v>
      </c>
      <c r="M76" s="456" t="s">
        <v>232</v>
      </c>
      <c r="N76" s="456" t="s">
        <v>1650</v>
      </c>
    </row>
    <row r="77" spans="1:14">
      <c r="A77" s="684" t="s">
        <v>1446</v>
      </c>
      <c r="B77" s="695"/>
      <c r="C77" s="695"/>
      <c r="D77" s="685">
        <v>0</v>
      </c>
      <c r="E77" s="715">
        <v>1</v>
      </c>
      <c r="F77" s="715">
        <v>1</v>
      </c>
      <c r="G77" s="715">
        <v>1</v>
      </c>
      <c r="H77" s="715">
        <v>1</v>
      </c>
      <c r="I77" s="715">
        <v>1</v>
      </c>
      <c r="J77" s="715">
        <v>1</v>
      </c>
      <c r="K77" s="685">
        <v>0</v>
      </c>
      <c r="L77" s="687">
        <v>0</v>
      </c>
      <c r="M77" s="456" t="s">
        <v>232</v>
      </c>
      <c r="N77" s="456" t="s">
        <v>1650</v>
      </c>
    </row>
    <row r="78" spans="1:14">
      <c r="A78" s="684" t="s">
        <v>1447</v>
      </c>
      <c r="B78" s="695"/>
      <c r="C78" s="695"/>
      <c r="D78" s="685">
        <v>0</v>
      </c>
      <c r="E78" s="715">
        <v>1</v>
      </c>
      <c r="F78" s="715">
        <v>1</v>
      </c>
      <c r="G78" s="715">
        <v>1</v>
      </c>
      <c r="H78" s="715">
        <v>1</v>
      </c>
      <c r="I78" s="715">
        <v>1</v>
      </c>
      <c r="J78" s="715">
        <v>1</v>
      </c>
      <c r="K78" s="685">
        <v>0</v>
      </c>
      <c r="L78" s="687">
        <v>0</v>
      </c>
      <c r="M78" s="456" t="s">
        <v>232</v>
      </c>
      <c r="N78" s="456" t="s">
        <v>1650</v>
      </c>
    </row>
    <row r="79" spans="1:14" ht="45">
      <c r="A79" s="684"/>
      <c r="B79" s="680" t="s">
        <v>1386</v>
      </c>
      <c r="C79" s="680"/>
      <c r="D79" s="680" t="s">
        <v>1387</v>
      </c>
      <c r="E79" s="681" t="s">
        <v>1388</v>
      </c>
      <c r="F79" s="679" t="s">
        <v>1389</v>
      </c>
      <c r="G79" s="679" t="s">
        <v>1390</v>
      </c>
      <c r="H79" s="679" t="s">
        <v>1391</v>
      </c>
      <c r="I79" s="682" t="s">
        <v>1392</v>
      </c>
      <c r="J79" s="682" t="s">
        <v>1393</v>
      </c>
      <c r="K79" s="681" t="s">
        <v>1394</v>
      </c>
      <c r="L79" s="683" t="s">
        <v>1395</v>
      </c>
      <c r="M79" s="456"/>
      <c r="N79" s="456"/>
    </row>
    <row r="80" spans="1:14">
      <c r="A80" s="684" t="s">
        <v>1448</v>
      </c>
      <c r="B80" s="695"/>
      <c r="C80" s="695"/>
      <c r="D80" s="685">
        <v>0</v>
      </c>
      <c r="E80" s="715">
        <v>1</v>
      </c>
      <c r="F80" s="715">
        <v>1</v>
      </c>
      <c r="G80" s="715">
        <v>1</v>
      </c>
      <c r="H80" s="715">
        <v>1</v>
      </c>
      <c r="I80" s="715">
        <v>1</v>
      </c>
      <c r="J80" s="715">
        <v>1</v>
      </c>
      <c r="K80" s="685">
        <v>0</v>
      </c>
      <c r="L80" s="687">
        <v>0</v>
      </c>
      <c r="M80" s="456" t="s">
        <v>232</v>
      </c>
      <c r="N80" s="456" t="s">
        <v>1650</v>
      </c>
    </row>
    <row r="81" spans="1:14">
      <c r="A81" s="684" t="s">
        <v>1449</v>
      </c>
      <c r="B81" s="695"/>
      <c r="C81" s="695"/>
      <c r="D81" s="685">
        <v>0</v>
      </c>
      <c r="E81" s="715">
        <v>1</v>
      </c>
      <c r="F81" s="715">
        <v>1</v>
      </c>
      <c r="G81" s="715">
        <v>1</v>
      </c>
      <c r="H81" s="715">
        <v>1</v>
      </c>
      <c r="I81" s="715">
        <v>1</v>
      </c>
      <c r="J81" s="715">
        <v>1</v>
      </c>
      <c r="K81" s="685">
        <v>0</v>
      </c>
      <c r="L81" s="687">
        <v>0</v>
      </c>
      <c r="M81" s="456" t="s">
        <v>232</v>
      </c>
      <c r="N81" s="456" t="s">
        <v>1664</v>
      </c>
    </row>
    <row r="82" spans="1:14">
      <c r="A82" s="684" t="s">
        <v>1695</v>
      </c>
      <c r="B82" s="695"/>
      <c r="C82" s="695"/>
      <c r="D82" s="685">
        <v>0</v>
      </c>
      <c r="E82" s="715">
        <v>1</v>
      </c>
      <c r="F82" s="715">
        <v>1</v>
      </c>
      <c r="G82" s="715">
        <v>1</v>
      </c>
      <c r="H82" s="715">
        <v>1</v>
      </c>
      <c r="I82" s="715">
        <v>1</v>
      </c>
      <c r="J82" s="715">
        <v>1</v>
      </c>
      <c r="K82" s="685">
        <v>0</v>
      </c>
      <c r="L82" s="687">
        <v>0</v>
      </c>
      <c r="M82" s="456" t="s">
        <v>232</v>
      </c>
      <c r="N82" s="456" t="s">
        <v>1664</v>
      </c>
    </row>
    <row r="83" spans="1:14" ht="45">
      <c r="A83" s="684"/>
      <c r="B83" s="680" t="s">
        <v>1386</v>
      </c>
      <c r="C83" s="680"/>
      <c r="D83" s="680" t="s">
        <v>1387</v>
      </c>
      <c r="E83" s="681" t="s">
        <v>1388</v>
      </c>
      <c r="F83" s="679" t="s">
        <v>1389</v>
      </c>
      <c r="G83" s="679" t="s">
        <v>1390</v>
      </c>
      <c r="H83" s="679" t="s">
        <v>1391</v>
      </c>
      <c r="I83" s="682" t="s">
        <v>1392</v>
      </c>
      <c r="J83" s="682" t="s">
        <v>1393</v>
      </c>
      <c r="K83" s="681" t="s">
        <v>1394</v>
      </c>
      <c r="L83" s="683" t="s">
        <v>1395</v>
      </c>
      <c r="M83" s="456"/>
      <c r="N83" s="456"/>
    </row>
    <row r="84" spans="1:14">
      <c r="A84" s="684" t="s">
        <v>1450</v>
      </c>
      <c r="B84" s="695"/>
      <c r="C84" s="695"/>
      <c r="D84" s="685">
        <v>0</v>
      </c>
      <c r="E84" s="715">
        <v>1</v>
      </c>
      <c r="F84" s="715">
        <v>1</v>
      </c>
      <c r="G84" s="715">
        <v>1</v>
      </c>
      <c r="H84" s="715">
        <v>1</v>
      </c>
      <c r="I84" s="715">
        <v>1</v>
      </c>
      <c r="J84" s="715">
        <v>1</v>
      </c>
      <c r="K84" s="685">
        <v>0</v>
      </c>
      <c r="L84" s="687">
        <v>0</v>
      </c>
      <c r="M84" s="456" t="s">
        <v>232</v>
      </c>
      <c r="N84" s="456" t="s">
        <v>1650</v>
      </c>
    </row>
    <row r="85" spans="1:14">
      <c r="A85" s="684" t="s">
        <v>1451</v>
      </c>
      <c r="B85" s="695"/>
      <c r="C85" s="695"/>
      <c r="D85" s="685">
        <v>0</v>
      </c>
      <c r="E85" s="685">
        <v>0</v>
      </c>
      <c r="F85" s="685">
        <v>0</v>
      </c>
      <c r="G85" s="685">
        <v>0</v>
      </c>
      <c r="H85" s="685">
        <v>0</v>
      </c>
      <c r="I85" s="686"/>
      <c r="J85" s="686"/>
      <c r="K85" s="715">
        <v>1</v>
      </c>
      <c r="L85" s="687">
        <v>0</v>
      </c>
      <c r="M85" s="456" t="s">
        <v>232</v>
      </c>
      <c r="N85" s="456" t="s">
        <v>1650</v>
      </c>
    </row>
    <row r="86" spans="1:14">
      <c r="A86" s="684" t="s">
        <v>1452</v>
      </c>
      <c r="B86" s="695"/>
      <c r="C86" s="695"/>
      <c r="D86" s="685">
        <v>0</v>
      </c>
      <c r="E86" s="685">
        <v>0</v>
      </c>
      <c r="F86" s="685">
        <v>0</v>
      </c>
      <c r="G86" s="685">
        <v>0</v>
      </c>
      <c r="H86" s="685">
        <v>0</v>
      </c>
      <c r="I86" s="686"/>
      <c r="J86" s="686"/>
      <c r="K86" s="685">
        <v>0</v>
      </c>
      <c r="L86" s="718">
        <v>1</v>
      </c>
      <c r="M86" s="456" t="s">
        <v>232</v>
      </c>
      <c r="N86" s="456" t="s">
        <v>1650</v>
      </c>
    </row>
    <row r="87" spans="1:14">
      <c r="A87" s="684" t="s">
        <v>1453</v>
      </c>
      <c r="B87" s="695"/>
      <c r="C87" s="695"/>
      <c r="D87" s="685">
        <v>0</v>
      </c>
      <c r="E87" s="715">
        <v>1</v>
      </c>
      <c r="F87" s="715">
        <v>1</v>
      </c>
      <c r="G87" s="715">
        <v>1</v>
      </c>
      <c r="H87" s="715">
        <v>1</v>
      </c>
      <c r="I87" s="715">
        <v>1</v>
      </c>
      <c r="J87" s="715">
        <v>1</v>
      </c>
      <c r="K87" s="685">
        <v>0</v>
      </c>
      <c r="L87" s="687">
        <v>0</v>
      </c>
      <c r="M87" s="456" t="s">
        <v>232</v>
      </c>
      <c r="N87" s="456" t="s">
        <v>1650</v>
      </c>
    </row>
    <row r="88" spans="1:14">
      <c r="A88" s="684" t="s">
        <v>1454</v>
      </c>
      <c r="B88" s="695"/>
      <c r="C88" s="695"/>
      <c r="D88" s="685">
        <v>0</v>
      </c>
      <c r="E88" s="685">
        <v>0</v>
      </c>
      <c r="F88" s="685">
        <v>0</v>
      </c>
      <c r="G88" s="685">
        <v>0</v>
      </c>
      <c r="H88" s="685">
        <v>0</v>
      </c>
      <c r="I88" s="686">
        <v>0</v>
      </c>
      <c r="J88" s="686">
        <v>0</v>
      </c>
      <c r="K88" s="715">
        <v>1</v>
      </c>
      <c r="L88" s="687">
        <v>0</v>
      </c>
      <c r="M88" s="456" t="s">
        <v>232</v>
      </c>
      <c r="N88" s="456" t="s">
        <v>1650</v>
      </c>
    </row>
    <row r="89" spans="1:14">
      <c r="A89" s="684" t="s">
        <v>1455</v>
      </c>
      <c r="B89" s="695"/>
      <c r="C89" s="695"/>
      <c r="D89" s="685">
        <v>0</v>
      </c>
      <c r="E89" s="685">
        <v>0</v>
      </c>
      <c r="F89" s="685">
        <v>0</v>
      </c>
      <c r="G89" s="685">
        <v>0</v>
      </c>
      <c r="H89" s="685">
        <v>0</v>
      </c>
      <c r="I89" s="686">
        <v>0</v>
      </c>
      <c r="J89" s="686">
        <v>0</v>
      </c>
      <c r="K89" s="685">
        <v>0</v>
      </c>
      <c r="L89" s="718">
        <v>1</v>
      </c>
      <c r="M89" s="456" t="s">
        <v>232</v>
      </c>
      <c r="N89" s="456" t="s">
        <v>1650</v>
      </c>
    </row>
    <row r="90" spans="1:14">
      <c r="A90" s="684"/>
      <c r="B90" s="695"/>
      <c r="C90" s="695"/>
      <c r="D90" s="685"/>
      <c r="E90" s="685"/>
      <c r="F90" s="685"/>
      <c r="G90" s="685"/>
      <c r="H90" s="685"/>
      <c r="I90" s="686"/>
      <c r="J90" s="686"/>
      <c r="K90" s="685"/>
      <c r="L90" s="687"/>
      <c r="M90" s="456"/>
      <c r="N90" s="456"/>
    </row>
    <row r="91" spans="1:14" ht="45">
      <c r="A91" s="684"/>
      <c r="B91" s="680" t="s">
        <v>1386</v>
      </c>
      <c r="C91" s="680"/>
      <c r="D91" s="680" t="s">
        <v>1387</v>
      </c>
      <c r="E91" s="681" t="s">
        <v>1388</v>
      </c>
      <c r="F91" s="679" t="s">
        <v>1389</v>
      </c>
      <c r="G91" s="679" t="s">
        <v>1390</v>
      </c>
      <c r="H91" s="679" t="s">
        <v>1391</v>
      </c>
      <c r="I91" s="682" t="s">
        <v>1392</v>
      </c>
      <c r="J91" s="682" t="s">
        <v>1393</v>
      </c>
      <c r="K91" s="681" t="s">
        <v>1394</v>
      </c>
      <c r="L91" s="683" t="s">
        <v>1395</v>
      </c>
      <c r="M91" s="456"/>
      <c r="N91" s="456"/>
    </row>
    <row r="92" spans="1:14">
      <c r="A92" s="684" t="s">
        <v>1696</v>
      </c>
      <c r="B92" s="695"/>
      <c r="C92" s="695"/>
      <c r="D92" s="685">
        <v>0</v>
      </c>
      <c r="E92" s="685">
        <v>0</v>
      </c>
      <c r="F92" s="685">
        <v>0</v>
      </c>
      <c r="G92" s="685">
        <v>0</v>
      </c>
      <c r="H92" s="685">
        <v>0</v>
      </c>
      <c r="I92" s="686">
        <v>0</v>
      </c>
      <c r="J92" s="686">
        <v>0</v>
      </c>
      <c r="K92" s="685">
        <v>0</v>
      </c>
      <c r="L92" s="718">
        <v>1</v>
      </c>
      <c r="M92" s="456" t="s">
        <v>232</v>
      </c>
      <c r="N92" s="456" t="s">
        <v>1650</v>
      </c>
    </row>
    <row r="93" spans="1:14">
      <c r="A93" s="684" t="s">
        <v>1697</v>
      </c>
      <c r="B93" s="695"/>
      <c r="C93" s="695"/>
      <c r="D93" s="685">
        <v>0</v>
      </c>
      <c r="E93" s="685">
        <v>0</v>
      </c>
      <c r="F93" s="685">
        <v>0</v>
      </c>
      <c r="G93" s="685">
        <v>0</v>
      </c>
      <c r="H93" s="685">
        <v>0</v>
      </c>
      <c r="I93" s="686">
        <v>0</v>
      </c>
      <c r="J93" s="686">
        <v>0</v>
      </c>
      <c r="K93" s="685">
        <v>0</v>
      </c>
      <c r="L93" s="718">
        <v>1</v>
      </c>
      <c r="M93" s="456" t="s">
        <v>232</v>
      </c>
      <c r="N93" s="456" t="s">
        <v>1650</v>
      </c>
    </row>
    <row r="94" spans="1:14">
      <c r="A94" s="684"/>
      <c r="B94" s="695"/>
      <c r="C94" s="695"/>
      <c r="D94" s="685"/>
      <c r="E94" s="685"/>
      <c r="F94" s="685"/>
      <c r="G94" s="685"/>
      <c r="H94" s="685"/>
      <c r="I94" s="686"/>
      <c r="J94" s="686"/>
      <c r="K94" s="685"/>
      <c r="L94" s="687"/>
      <c r="M94" s="456"/>
      <c r="N94" s="456"/>
    </row>
    <row r="95" spans="1:14">
      <c r="A95" s="684"/>
      <c r="B95" s="695"/>
      <c r="C95" s="695"/>
      <c r="D95" s="685"/>
      <c r="E95" s="685"/>
      <c r="F95" s="685"/>
      <c r="G95" s="685"/>
      <c r="H95" s="685"/>
      <c r="I95" s="686"/>
      <c r="J95" s="686"/>
      <c r="K95" s="685"/>
      <c r="L95" s="687"/>
      <c r="M95" s="456"/>
      <c r="N95" s="456"/>
    </row>
    <row r="96" spans="1:14">
      <c r="A96" s="684" t="s">
        <v>1456</v>
      </c>
      <c r="B96" s="695"/>
      <c r="C96" s="695"/>
      <c r="D96" s="685">
        <v>0</v>
      </c>
      <c r="E96" s="685">
        <v>0</v>
      </c>
      <c r="F96" s="685">
        <v>0</v>
      </c>
      <c r="G96" s="685">
        <v>0</v>
      </c>
      <c r="H96" s="685">
        <v>0</v>
      </c>
      <c r="I96" s="686">
        <v>0</v>
      </c>
      <c r="J96" s="686">
        <v>0</v>
      </c>
      <c r="K96" s="685">
        <v>0</v>
      </c>
      <c r="L96" s="718">
        <v>1</v>
      </c>
      <c r="M96" s="456" t="s">
        <v>232</v>
      </c>
      <c r="N96" s="456" t="s">
        <v>1666</v>
      </c>
    </row>
    <row r="97" spans="1:14">
      <c r="A97" s="689"/>
      <c r="B97" s="697"/>
      <c r="C97" s="697"/>
      <c r="D97" s="689"/>
      <c r="E97" s="689"/>
      <c r="F97" s="689"/>
      <c r="G97" s="689"/>
      <c r="H97" s="689"/>
      <c r="I97" s="690"/>
      <c r="J97" s="690"/>
      <c r="K97" s="689"/>
      <c r="L97" s="691"/>
      <c r="M97" s="695"/>
      <c r="N97" s="695"/>
    </row>
    <row r="98" spans="1:14">
      <c r="A98" s="684"/>
      <c r="B98" s="695"/>
      <c r="C98" s="695"/>
      <c r="D98" s="684"/>
      <c r="E98" s="684"/>
      <c r="F98" s="684"/>
      <c r="G98" s="684"/>
      <c r="H98" s="684"/>
      <c r="I98" s="688"/>
      <c r="J98" s="688"/>
      <c r="K98" s="684"/>
      <c r="L98" s="708" t="s">
        <v>1667</v>
      </c>
      <c r="M98" s="695"/>
      <c r="N98" s="695"/>
    </row>
    <row r="99" spans="1:14">
      <c r="A99" s="684" t="s">
        <v>1457</v>
      </c>
      <c r="B99" s="695"/>
      <c r="C99" s="695"/>
      <c r="D99" s="684"/>
      <c r="E99" s="684"/>
      <c r="F99" s="684"/>
      <c r="G99" s="684"/>
      <c r="H99" s="684"/>
      <c r="I99" s="688"/>
      <c r="J99" s="688"/>
      <c r="K99" s="684"/>
      <c r="L99" s="718">
        <v>1</v>
      </c>
      <c r="M99" s="456" t="s">
        <v>232</v>
      </c>
      <c r="N99" s="456" t="s">
        <v>1668</v>
      </c>
    </row>
    <row r="100" spans="1:14">
      <c r="A100" s="684" t="s">
        <v>1458</v>
      </c>
      <c r="B100" s="695"/>
      <c r="C100" s="695"/>
      <c r="D100" s="684"/>
      <c r="E100" s="684"/>
      <c r="F100" s="684"/>
      <c r="G100" s="684"/>
      <c r="H100" s="684"/>
      <c r="I100" s="688"/>
      <c r="J100" s="688"/>
      <c r="K100" s="684"/>
      <c r="L100" s="718">
        <v>1</v>
      </c>
      <c r="M100" s="456" t="s">
        <v>232</v>
      </c>
      <c r="N100" s="456" t="s">
        <v>1668</v>
      </c>
    </row>
    <row r="101" spans="1:14">
      <c r="A101" s="684" t="s">
        <v>1459</v>
      </c>
      <c r="B101" s="695"/>
      <c r="C101" s="695"/>
      <c r="D101" s="684"/>
      <c r="E101" s="684"/>
      <c r="F101" s="684"/>
      <c r="G101" s="684"/>
      <c r="H101" s="684"/>
      <c r="I101" s="688"/>
      <c r="J101" s="688"/>
      <c r="K101" s="684"/>
      <c r="L101" s="718">
        <v>1</v>
      </c>
      <c r="M101" s="456" t="s">
        <v>232</v>
      </c>
      <c r="N101" s="456" t="s">
        <v>1668</v>
      </c>
    </row>
    <row r="102" spans="1:14">
      <c r="A102" s="684" t="s">
        <v>1460</v>
      </c>
      <c r="B102" s="695"/>
      <c r="C102" s="695"/>
      <c r="D102" s="684"/>
      <c r="E102" s="684"/>
      <c r="F102" s="684"/>
      <c r="G102" s="684"/>
      <c r="H102" s="684"/>
      <c r="I102" s="688"/>
      <c r="J102" s="688"/>
      <c r="K102" s="684"/>
      <c r="L102" s="718">
        <v>1</v>
      </c>
      <c r="M102" s="456" t="s">
        <v>232</v>
      </c>
      <c r="N102" s="456" t="s">
        <v>1668</v>
      </c>
    </row>
    <row r="103" spans="1:14">
      <c r="A103" s="689"/>
      <c r="B103" s="697"/>
      <c r="C103" s="697"/>
      <c r="D103" s="689"/>
      <c r="E103" s="689"/>
      <c r="F103" s="689"/>
      <c r="G103" s="689"/>
      <c r="H103" s="689"/>
      <c r="I103" s="690"/>
      <c r="J103" s="690"/>
      <c r="K103" s="689"/>
      <c r="L103" s="691"/>
      <c r="M103" s="695"/>
      <c r="N103" s="695"/>
    </row>
    <row r="104" spans="1:14">
      <c r="A104" s="684" t="s">
        <v>488</v>
      </c>
      <c r="B104" s="695"/>
      <c r="C104" s="695"/>
      <c r="D104" s="684"/>
      <c r="E104" s="684"/>
      <c r="F104" s="684"/>
      <c r="G104" s="684"/>
      <c r="H104" s="684"/>
      <c r="I104" s="688"/>
      <c r="J104" s="688"/>
      <c r="K104" s="684"/>
      <c r="L104" s="718">
        <v>1</v>
      </c>
      <c r="M104" s="456" t="s">
        <v>232</v>
      </c>
      <c r="N104" s="456" t="s">
        <v>1650</v>
      </c>
    </row>
    <row r="105" spans="1:14">
      <c r="A105" s="684" t="s">
        <v>489</v>
      </c>
      <c r="B105" s="695"/>
      <c r="C105" s="695"/>
      <c r="D105" s="684"/>
      <c r="E105" s="684"/>
      <c r="F105" s="684"/>
      <c r="G105" s="684"/>
      <c r="H105" s="684"/>
      <c r="I105" s="688"/>
      <c r="J105" s="688"/>
      <c r="K105" s="684"/>
      <c r="L105" s="718">
        <v>1</v>
      </c>
      <c r="M105" s="456" t="s">
        <v>232</v>
      </c>
      <c r="N105" s="456" t="s">
        <v>1650</v>
      </c>
    </row>
    <row r="106" spans="1:14">
      <c r="A106" s="684" t="s">
        <v>490</v>
      </c>
      <c r="B106" s="695"/>
      <c r="C106" s="695"/>
      <c r="D106" s="684"/>
      <c r="E106" s="684"/>
      <c r="F106" s="684"/>
      <c r="G106" s="684"/>
      <c r="H106" s="684"/>
      <c r="I106" s="688"/>
      <c r="J106" s="688"/>
      <c r="K106" s="684"/>
      <c r="L106" s="718">
        <v>1</v>
      </c>
      <c r="M106" s="456" t="s">
        <v>232</v>
      </c>
      <c r="N106" s="456" t="s">
        <v>1650</v>
      </c>
    </row>
    <row r="107" spans="1:14">
      <c r="A107" s="684" t="s">
        <v>491</v>
      </c>
      <c r="B107" s="695"/>
      <c r="C107" s="695"/>
      <c r="D107" s="684"/>
      <c r="E107" s="684"/>
      <c r="F107" s="684"/>
      <c r="G107" s="684"/>
      <c r="H107" s="684"/>
      <c r="I107" s="688"/>
      <c r="J107" s="688"/>
      <c r="K107" s="684"/>
      <c r="L107" s="718">
        <v>1</v>
      </c>
      <c r="M107" s="456" t="s">
        <v>232</v>
      </c>
      <c r="N107" s="456" t="s">
        <v>1650</v>
      </c>
    </row>
    <row r="108" spans="1:14">
      <c r="A108" s="684" t="s">
        <v>492</v>
      </c>
      <c r="B108" s="695"/>
      <c r="C108" s="695"/>
      <c r="D108" s="684"/>
      <c r="E108" s="684"/>
      <c r="F108" s="684"/>
      <c r="G108" s="684"/>
      <c r="H108" s="684"/>
      <c r="I108" s="688"/>
      <c r="J108" s="688"/>
      <c r="K108" s="684"/>
      <c r="L108" s="718">
        <v>1</v>
      </c>
      <c r="M108" s="456" t="s">
        <v>232</v>
      </c>
      <c r="N108" s="456" t="s">
        <v>1650</v>
      </c>
    </row>
    <row r="109" spans="1:14">
      <c r="A109" s="684" t="s">
        <v>493</v>
      </c>
      <c r="B109" s="695"/>
      <c r="C109" s="695"/>
      <c r="D109" s="684"/>
      <c r="E109" s="684"/>
      <c r="F109" s="684"/>
      <c r="G109" s="684"/>
      <c r="H109" s="684"/>
      <c r="I109" s="688"/>
      <c r="J109" s="688"/>
      <c r="K109" s="684"/>
      <c r="L109" s="718">
        <v>1</v>
      </c>
      <c r="M109" s="456" t="s">
        <v>232</v>
      </c>
      <c r="N109" s="456" t="s">
        <v>1650</v>
      </c>
    </row>
    <row r="110" spans="1:14">
      <c r="A110" s="684" t="s">
        <v>494</v>
      </c>
      <c r="B110" s="695"/>
      <c r="C110" s="695"/>
      <c r="D110" s="684"/>
      <c r="E110" s="684"/>
      <c r="F110" s="684"/>
      <c r="G110" s="684"/>
      <c r="H110" s="684"/>
      <c r="I110" s="688"/>
      <c r="J110" s="688"/>
      <c r="K110" s="684"/>
      <c r="L110" s="718">
        <v>1</v>
      </c>
      <c r="M110" s="456" t="s">
        <v>232</v>
      </c>
      <c r="N110" s="456" t="s">
        <v>1650</v>
      </c>
    </row>
    <row r="111" spans="1:14">
      <c r="A111" s="684" t="s">
        <v>495</v>
      </c>
      <c r="B111" s="695"/>
      <c r="C111" s="695"/>
      <c r="D111" s="456"/>
      <c r="E111" s="456"/>
      <c r="F111" s="456"/>
      <c r="G111" s="456"/>
      <c r="H111" s="456"/>
      <c r="I111" s="686"/>
      <c r="J111" s="686"/>
      <c r="K111" s="456"/>
      <c r="L111" s="718">
        <v>1</v>
      </c>
      <c r="M111" s="456" t="s">
        <v>232</v>
      </c>
      <c r="N111" s="456" t="s">
        <v>1650</v>
      </c>
    </row>
    <row r="112" spans="1:14">
      <c r="A112" s="678"/>
      <c r="B112" s="678"/>
      <c r="C112" s="678"/>
      <c r="D112" s="678"/>
      <c r="E112" s="678"/>
      <c r="F112" s="678"/>
      <c r="G112" s="678"/>
      <c r="H112" s="678"/>
      <c r="I112" s="709"/>
      <c r="J112" s="709"/>
      <c r="K112" s="678"/>
      <c r="L112" s="710"/>
      <c r="M112" s="711"/>
      <c r="N112" s="711"/>
    </row>
    <row r="113" spans="1:14" ht="23.25">
      <c r="A113" s="695"/>
      <c r="B113" s="695"/>
      <c r="C113" s="695"/>
      <c r="D113" s="456"/>
      <c r="E113" s="456"/>
      <c r="F113" s="456"/>
      <c r="G113" s="456"/>
      <c r="H113" s="456"/>
      <c r="I113" s="712" t="s">
        <v>1461</v>
      </c>
      <c r="J113" s="712" t="s">
        <v>1462</v>
      </c>
      <c r="K113" s="456"/>
      <c r="L113" s="684"/>
      <c r="M113" s="456"/>
      <c r="N113" s="456"/>
    </row>
    <row r="114" spans="1:14">
      <c r="A114" s="684" t="s">
        <v>1463</v>
      </c>
      <c r="B114" s="695"/>
      <c r="C114" s="695"/>
      <c r="D114" s="456"/>
      <c r="E114" s="685"/>
      <c r="F114" s="685"/>
      <c r="G114" s="685"/>
      <c r="H114" s="685"/>
      <c r="I114" s="718">
        <v>1</v>
      </c>
      <c r="J114" s="718">
        <v>1</v>
      </c>
      <c r="K114" s="456"/>
      <c r="L114" s="684"/>
      <c r="M114" s="456" t="s">
        <v>232</v>
      </c>
      <c r="N114" s="456" t="s">
        <v>1669</v>
      </c>
    </row>
    <row r="115" spans="1:14">
      <c r="A115" s="695"/>
      <c r="B115" s="695"/>
      <c r="C115" s="695"/>
      <c r="D115" s="456"/>
      <c r="E115" s="456" t="s">
        <v>1670</v>
      </c>
      <c r="F115" s="456" t="s">
        <v>1671</v>
      </c>
      <c r="G115" s="456" t="s">
        <v>1672</v>
      </c>
      <c r="H115" s="456"/>
      <c r="I115" s="686"/>
      <c r="J115" s="686"/>
      <c r="K115" s="456"/>
      <c r="L115" s="456"/>
      <c r="M115" s="456"/>
      <c r="N115" s="456"/>
    </row>
    <row r="116" spans="1:14">
      <c r="A116" s="684" t="s">
        <v>1673</v>
      </c>
      <c r="B116" s="695"/>
      <c r="C116" s="695"/>
      <c r="D116" s="456"/>
      <c r="E116" s="686">
        <v>0</v>
      </c>
      <c r="F116" s="686">
        <v>0</v>
      </c>
      <c r="G116" s="718">
        <v>1</v>
      </c>
      <c r="H116" s="456"/>
      <c r="I116" s="686"/>
      <c r="J116" s="686"/>
      <c r="K116" s="456"/>
      <c r="L116" s="456"/>
      <c r="M116" s="456" t="s">
        <v>225</v>
      </c>
      <c r="N116" s="456" t="s">
        <v>1650</v>
      </c>
    </row>
    <row r="117" spans="1:14">
      <c r="A117" s="684" t="s">
        <v>1674</v>
      </c>
      <c r="B117" s="695"/>
      <c r="C117" s="695"/>
      <c r="D117" s="456"/>
      <c r="E117" s="718">
        <v>1</v>
      </c>
      <c r="F117" s="686">
        <v>0</v>
      </c>
      <c r="G117" s="718">
        <v>1</v>
      </c>
      <c r="H117" s="456"/>
      <c r="I117" s="686"/>
      <c r="J117" s="686"/>
      <c r="K117" s="456"/>
      <c r="L117" s="456"/>
      <c r="M117" s="456" t="s">
        <v>225</v>
      </c>
      <c r="N117" s="456" t="s">
        <v>1650</v>
      </c>
    </row>
    <row r="118" spans="1:14">
      <c r="A118" s="684" t="s">
        <v>1675</v>
      </c>
      <c r="B118" s="695"/>
      <c r="C118" s="695"/>
      <c r="D118" s="456"/>
      <c r="E118" s="718">
        <v>1</v>
      </c>
      <c r="F118" s="718">
        <v>1</v>
      </c>
      <c r="G118" s="718">
        <v>1</v>
      </c>
      <c r="H118" s="456"/>
      <c r="I118" s="686"/>
      <c r="J118" s="686"/>
      <c r="K118" s="456"/>
      <c r="L118" s="456"/>
      <c r="M118" s="456" t="s">
        <v>225</v>
      </c>
      <c r="N118" s="456" t="s">
        <v>1650</v>
      </c>
    </row>
    <row r="119" spans="1:14">
      <c r="A119" s="684" t="s">
        <v>1676</v>
      </c>
      <c r="B119" s="695"/>
      <c r="C119" s="695"/>
      <c r="D119" s="456"/>
      <c r="E119" s="686">
        <v>0</v>
      </c>
      <c r="F119" s="686">
        <v>0</v>
      </c>
      <c r="G119" s="686">
        <v>0</v>
      </c>
      <c r="H119" s="456"/>
      <c r="I119" s="686"/>
      <c r="J119" s="686"/>
      <c r="K119" s="456"/>
      <c r="L119" s="456"/>
      <c r="M119" s="456" t="s">
        <v>225</v>
      </c>
      <c r="N119" s="456" t="s">
        <v>1650</v>
      </c>
    </row>
    <row r="120" spans="1:14">
      <c r="A120" s="713"/>
      <c r="B120" s="695"/>
      <c r="C120" s="695"/>
      <c r="D120" s="456"/>
      <c r="E120" s="686">
        <v>0</v>
      </c>
      <c r="F120" s="686">
        <v>0</v>
      </c>
      <c r="G120" s="686">
        <v>0</v>
      </c>
      <c r="H120" s="456"/>
      <c r="I120" s="686"/>
      <c r="J120" s="686"/>
      <c r="K120" s="456"/>
      <c r="L120" s="456"/>
      <c r="M120" s="456"/>
      <c r="N120" s="456"/>
    </row>
    <row r="121" spans="1:14">
      <c r="A121" s="684" t="s">
        <v>1677</v>
      </c>
      <c r="B121" s="695"/>
      <c r="C121" s="695"/>
      <c r="D121" s="456"/>
      <c r="E121" s="686">
        <v>0</v>
      </c>
      <c r="F121" s="686">
        <v>0</v>
      </c>
      <c r="G121" s="718">
        <v>1</v>
      </c>
      <c r="H121" s="456"/>
      <c r="I121" s="686"/>
      <c r="J121" s="686"/>
      <c r="K121" s="456"/>
      <c r="L121" s="456"/>
      <c r="M121" s="456" t="s">
        <v>225</v>
      </c>
      <c r="N121" s="456" t="s">
        <v>1650</v>
      </c>
    </row>
    <row r="122" spans="1:14">
      <c r="A122" s="684" t="s">
        <v>1678</v>
      </c>
      <c r="B122" s="695"/>
      <c r="C122" s="695"/>
      <c r="D122" s="456"/>
      <c r="E122" s="718">
        <v>1</v>
      </c>
      <c r="F122" s="718">
        <v>1</v>
      </c>
      <c r="G122" s="718">
        <v>1</v>
      </c>
      <c r="H122" s="456"/>
      <c r="I122" s="686"/>
      <c r="J122" s="686"/>
      <c r="K122" s="456"/>
      <c r="L122" s="456"/>
      <c r="M122" s="456" t="s">
        <v>225</v>
      </c>
      <c r="N122" s="456" t="s">
        <v>1650</v>
      </c>
    </row>
    <row r="123" spans="1:14">
      <c r="A123" s="684" t="s">
        <v>1679</v>
      </c>
      <c r="B123" s="695"/>
      <c r="C123" s="695"/>
      <c r="D123" s="456"/>
      <c r="E123" s="718">
        <v>1</v>
      </c>
      <c r="F123" s="718">
        <v>1</v>
      </c>
      <c r="G123" s="718">
        <v>1</v>
      </c>
      <c r="H123" s="456"/>
      <c r="I123" s="686"/>
      <c r="J123" s="686"/>
      <c r="K123" s="456"/>
      <c r="L123" s="456"/>
      <c r="M123" s="456" t="s">
        <v>225</v>
      </c>
      <c r="N123" s="456" t="s">
        <v>1650</v>
      </c>
    </row>
    <row r="124" spans="1:14">
      <c r="A124" s="203"/>
      <c r="B124" s="203"/>
      <c r="C124" s="203"/>
      <c r="I124" s="714"/>
      <c r="J124" s="714"/>
    </row>
    <row r="125" spans="1:14">
      <c r="A125" s="684" t="s">
        <v>1698</v>
      </c>
      <c r="B125" s="695"/>
      <c r="C125" s="695"/>
      <c r="D125" s="720">
        <v>1</v>
      </c>
      <c r="E125" s="686"/>
      <c r="F125" s="686"/>
      <c r="G125" s="686"/>
      <c r="H125" s="456"/>
      <c r="I125" s="686"/>
      <c r="J125" s="686"/>
      <c r="K125" s="720">
        <v>1</v>
      </c>
      <c r="L125" s="456"/>
      <c r="M125" s="456" t="s">
        <v>225</v>
      </c>
      <c r="N125" s="456" t="s">
        <v>1665</v>
      </c>
    </row>
    <row r="126" spans="1:14">
      <c r="A126" s="684" t="s">
        <v>1699</v>
      </c>
      <c r="B126" s="695"/>
      <c r="C126" s="695"/>
      <c r="D126" s="720">
        <v>1</v>
      </c>
      <c r="E126" s="686"/>
      <c r="F126" s="686"/>
      <c r="G126" s="686"/>
      <c r="H126" s="456"/>
      <c r="I126" s="686"/>
      <c r="J126" s="686"/>
      <c r="K126" s="720">
        <v>1</v>
      </c>
      <c r="L126" s="456"/>
      <c r="M126" s="456" t="s">
        <v>225</v>
      </c>
      <c r="N126" s="456" t="s">
        <v>1665</v>
      </c>
    </row>
    <row r="127" spans="1:14">
      <c r="A127" s="684" t="s">
        <v>1700</v>
      </c>
      <c r="B127" s="695"/>
      <c r="C127" s="695"/>
      <c r="D127" s="720">
        <v>1</v>
      </c>
      <c r="E127" s="686"/>
      <c r="F127" s="686"/>
      <c r="G127" s="686"/>
      <c r="H127" s="456"/>
      <c r="I127" s="686"/>
      <c r="J127" s="686"/>
      <c r="K127" s="720">
        <v>1</v>
      </c>
      <c r="L127" s="456"/>
      <c r="M127" s="456" t="s">
        <v>225</v>
      </c>
      <c r="N127" s="456" t="s">
        <v>1665</v>
      </c>
    </row>
    <row r="128" spans="1:14">
      <c r="A128" s="203"/>
      <c r="B128" s="203"/>
      <c r="C128" s="203"/>
      <c r="I128" s="714"/>
      <c r="J128" s="714"/>
    </row>
    <row r="129" spans="1:14">
      <c r="A129" s="684" t="s">
        <v>1701</v>
      </c>
      <c r="B129" s="719">
        <v>0.01</v>
      </c>
      <c r="C129" s="203"/>
      <c r="D129" s="456"/>
      <c r="E129" s="686"/>
      <c r="F129" s="686"/>
      <c r="G129" s="686"/>
      <c r="H129" s="456"/>
      <c r="I129" s="686"/>
      <c r="J129" s="686"/>
      <c r="K129" s="456"/>
      <c r="L129" s="456"/>
      <c r="M129" s="456" t="s">
        <v>232</v>
      </c>
      <c r="N129" s="456" t="s">
        <v>1658</v>
      </c>
    </row>
    <row r="130" spans="1:14">
      <c r="A130" s="684" t="s">
        <v>1702</v>
      </c>
      <c r="B130" s="694">
        <v>0</v>
      </c>
      <c r="C130" s="203"/>
      <c r="D130" s="456"/>
      <c r="E130" s="686"/>
      <c r="F130" s="686"/>
      <c r="G130" s="686"/>
      <c r="H130" s="456"/>
      <c r="I130" s="686"/>
      <c r="J130" s="686"/>
      <c r="K130" s="456"/>
      <c r="L130" s="456"/>
      <c r="M130" s="456" t="s">
        <v>232</v>
      </c>
      <c r="N130" s="456" t="s">
        <v>1658</v>
      </c>
    </row>
    <row r="131" spans="1:14">
      <c r="A131" s="684" t="s">
        <v>1703</v>
      </c>
      <c r="B131" s="694">
        <v>0</v>
      </c>
      <c r="C131" s="203"/>
      <c r="D131" s="456"/>
      <c r="E131" s="686"/>
      <c r="F131" s="686"/>
      <c r="G131" s="686"/>
      <c r="H131" s="456"/>
      <c r="I131" s="686"/>
      <c r="J131" s="686"/>
      <c r="K131" s="456"/>
      <c r="L131" s="456"/>
      <c r="M131" s="456" t="s">
        <v>232</v>
      </c>
      <c r="N131" s="456" t="s">
        <v>1658</v>
      </c>
    </row>
    <row r="132" spans="1:14">
      <c r="A132" s="684" t="s">
        <v>1704</v>
      </c>
      <c r="B132" s="694">
        <v>0</v>
      </c>
      <c r="C132" s="203"/>
      <c r="D132" s="456"/>
      <c r="E132" s="686"/>
      <c r="F132" s="686"/>
      <c r="G132" s="686"/>
      <c r="H132" s="456"/>
      <c r="I132" s="686"/>
      <c r="J132" s="686"/>
      <c r="K132" s="456"/>
      <c r="L132" s="456"/>
      <c r="M132" s="456" t="s">
        <v>232</v>
      </c>
      <c r="N132" s="456" t="s">
        <v>1705</v>
      </c>
    </row>
    <row r="133" spans="1:14" ht="56.25">
      <c r="A133" s="203"/>
      <c r="B133" s="693" t="s">
        <v>1386</v>
      </c>
      <c r="C133" s="693"/>
      <c r="D133" s="693" t="s">
        <v>1387</v>
      </c>
      <c r="E133" s="693" t="s">
        <v>1388</v>
      </c>
      <c r="F133" s="693" t="s">
        <v>1389</v>
      </c>
      <c r="G133" s="693" t="s">
        <v>1390</v>
      </c>
      <c r="H133" s="693" t="s">
        <v>1391</v>
      </c>
      <c r="I133" s="693" t="s">
        <v>1719</v>
      </c>
      <c r="J133" s="693" t="s">
        <v>1720</v>
      </c>
      <c r="K133" s="693" t="s">
        <v>1394</v>
      </c>
      <c r="L133" s="693" t="s">
        <v>1395</v>
      </c>
    </row>
    <row r="134" spans="1:14">
      <c r="A134" s="684" t="s">
        <v>1725</v>
      </c>
      <c r="B134" s="684"/>
      <c r="C134" s="684"/>
      <c r="D134" s="685">
        <v>0</v>
      </c>
      <c r="E134" s="715">
        <v>1</v>
      </c>
      <c r="F134" s="715">
        <v>1</v>
      </c>
      <c r="G134" s="715">
        <v>1</v>
      </c>
      <c r="H134" s="715">
        <v>1</v>
      </c>
      <c r="I134" s="715">
        <v>1</v>
      </c>
      <c r="J134" s="715">
        <v>1</v>
      </c>
      <c r="K134" s="715">
        <v>1</v>
      </c>
      <c r="L134" s="715">
        <v>1</v>
      </c>
      <c r="M134" s="456" t="s">
        <v>232</v>
      </c>
      <c r="N134" s="456" t="s">
        <v>1650</v>
      </c>
    </row>
    <row r="135" spans="1:14">
      <c r="A135" s="684" t="s">
        <v>1726</v>
      </c>
      <c r="B135" s="684"/>
      <c r="C135" s="684"/>
      <c r="D135" s="685">
        <v>0</v>
      </c>
      <c r="E135" s="715">
        <v>1</v>
      </c>
      <c r="F135" s="715">
        <v>1</v>
      </c>
      <c r="G135" s="715">
        <v>1</v>
      </c>
      <c r="H135" s="715">
        <v>1</v>
      </c>
      <c r="I135" s="715">
        <v>1</v>
      </c>
      <c r="J135" s="715">
        <v>1</v>
      </c>
      <c r="K135" s="715">
        <v>1</v>
      </c>
      <c r="L135" s="715">
        <v>1</v>
      </c>
      <c r="M135" s="456" t="s">
        <v>232</v>
      </c>
      <c r="N135" s="456" t="s">
        <v>1650</v>
      </c>
    </row>
    <row r="136" spans="1:14">
      <c r="A136" s="203"/>
      <c r="B136" s="203"/>
      <c r="C136" s="203"/>
      <c r="I136" s="714"/>
      <c r="J136" s="714"/>
      <c r="N136" s="456"/>
    </row>
    <row r="137" spans="1:14">
      <c r="A137" s="684" t="s">
        <v>1727</v>
      </c>
      <c r="B137" s="695"/>
      <c r="C137" s="695"/>
      <c r="D137" s="685">
        <v>0</v>
      </c>
      <c r="E137" s="715">
        <v>1</v>
      </c>
      <c r="F137" s="715">
        <v>1</v>
      </c>
      <c r="G137" s="715">
        <v>1</v>
      </c>
      <c r="H137" s="715">
        <v>1</v>
      </c>
      <c r="I137" s="715">
        <v>1</v>
      </c>
      <c r="J137" s="715">
        <v>1</v>
      </c>
      <c r="K137" s="685">
        <v>0</v>
      </c>
      <c r="L137" s="687">
        <v>0</v>
      </c>
      <c r="M137" s="456" t="s">
        <v>232</v>
      </c>
      <c r="N137" s="456" t="s">
        <v>1650</v>
      </c>
    </row>
    <row r="138" spans="1:14">
      <c r="A138" s="684" t="s">
        <v>1728</v>
      </c>
      <c r="B138" s="695"/>
      <c r="C138" s="695"/>
      <c r="D138" s="685">
        <v>0</v>
      </c>
      <c r="E138" s="715">
        <v>1</v>
      </c>
      <c r="F138" s="715">
        <v>1</v>
      </c>
      <c r="G138" s="715">
        <v>1</v>
      </c>
      <c r="H138" s="715">
        <v>1</v>
      </c>
      <c r="I138" s="715">
        <v>1</v>
      </c>
      <c r="J138" s="715">
        <v>1</v>
      </c>
      <c r="K138" s="685">
        <v>0</v>
      </c>
      <c r="L138" s="687">
        <v>0</v>
      </c>
      <c r="M138" s="456" t="s">
        <v>232</v>
      </c>
      <c r="N138" s="456" t="s">
        <v>1650</v>
      </c>
    </row>
  </sheetData>
  <conditionalFormatting sqref="A110">
    <cfRule type="expression" dxfId="97" priority="1">
      <formula>$I110="ja"</formula>
    </cfRule>
  </conditionalFormatting>
  <conditionalFormatting sqref="A111">
    <cfRule type="expression" dxfId="96" priority="16">
      <formula>$I111="ja"</formula>
    </cfRule>
  </conditionalFormatting>
  <conditionalFormatting sqref="A111">
    <cfRule type="expression" dxfId="95" priority="15">
      <formula>$I111="ja"</formula>
    </cfRule>
  </conditionalFormatting>
  <conditionalFormatting sqref="A104">
    <cfRule type="expression" dxfId="94" priority="14">
      <formula>$I104="ja"</formula>
    </cfRule>
  </conditionalFormatting>
  <conditionalFormatting sqref="A104">
    <cfRule type="expression" dxfId="93" priority="13">
      <formula>$I104="ja"</formula>
    </cfRule>
  </conditionalFormatting>
  <conditionalFormatting sqref="A105">
    <cfRule type="expression" dxfId="92" priority="12">
      <formula>$I105="ja"</formula>
    </cfRule>
  </conditionalFormatting>
  <conditionalFormatting sqref="A105">
    <cfRule type="expression" dxfId="91" priority="11">
      <formula>$I105="ja"</formula>
    </cfRule>
  </conditionalFormatting>
  <conditionalFormatting sqref="A106">
    <cfRule type="expression" dxfId="90" priority="10">
      <formula>$I106="ja"</formula>
    </cfRule>
  </conditionalFormatting>
  <conditionalFormatting sqref="A106">
    <cfRule type="expression" dxfId="89" priority="9">
      <formula>$I106="ja"</formula>
    </cfRule>
  </conditionalFormatting>
  <conditionalFormatting sqref="A107">
    <cfRule type="expression" dxfId="88" priority="8">
      <formula>$I107="ja"</formula>
    </cfRule>
  </conditionalFormatting>
  <conditionalFormatting sqref="A107">
    <cfRule type="expression" dxfId="87" priority="7">
      <formula>$I107="ja"</formula>
    </cfRule>
  </conditionalFormatting>
  <conditionalFormatting sqref="A108">
    <cfRule type="expression" dxfId="86" priority="6">
      <formula>$I108="ja"</formula>
    </cfRule>
  </conditionalFormatting>
  <conditionalFormatting sqref="A108">
    <cfRule type="expression" dxfId="85" priority="5">
      <formula>$I108="ja"</formula>
    </cfRule>
  </conditionalFormatting>
  <conditionalFormatting sqref="A109">
    <cfRule type="expression" dxfId="84" priority="4">
      <formula>$I109="ja"</formula>
    </cfRule>
  </conditionalFormatting>
  <conditionalFormatting sqref="A109">
    <cfRule type="expression" dxfId="83" priority="3">
      <formula>$I109="ja"</formula>
    </cfRule>
  </conditionalFormatting>
  <conditionalFormatting sqref="A110">
    <cfRule type="expression" dxfId="82" priority="2">
      <formula>$I110="ja"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W724"/>
  <sheetViews>
    <sheetView workbookViewId="0">
      <selection activeCell="G44" sqref="G44"/>
    </sheetView>
  </sheetViews>
  <sheetFormatPr defaultColWidth="0" defaultRowHeight="12.75" zeroHeight="1"/>
  <cols>
    <col min="1" max="1" width="2.7109375" style="721" customWidth="1"/>
    <col min="2" max="2" width="3.28515625" style="721" customWidth="1"/>
    <col min="3" max="3" width="2.42578125" style="721" customWidth="1"/>
    <col min="4" max="4" width="54.42578125" style="721" customWidth="1"/>
    <col min="5" max="5" width="17.42578125" style="721" customWidth="1"/>
    <col min="6" max="7" width="19" style="721" bestFit="1" customWidth="1"/>
    <col min="8" max="8" width="17.28515625" style="721" bestFit="1" customWidth="1"/>
    <col min="9" max="9" width="23.42578125" style="721" customWidth="1"/>
    <col min="10" max="10" width="19.5703125" style="721" customWidth="1"/>
    <col min="11" max="11" width="25" style="721" bestFit="1" customWidth="1"/>
    <col min="12" max="12" width="16.7109375" style="721" customWidth="1"/>
    <col min="13" max="13" width="19" style="721" bestFit="1" customWidth="1"/>
    <col min="14" max="14" width="25" style="721" hidden="1" customWidth="1"/>
    <col min="15" max="15" width="13.42578125" style="721" hidden="1" customWidth="1"/>
    <col min="16" max="16" width="16" style="721" hidden="1" customWidth="1"/>
    <col min="17" max="18" width="19" style="721" hidden="1" customWidth="1"/>
    <col min="19" max="19" width="16.5703125" style="721" hidden="1" customWidth="1"/>
    <col min="20" max="23" width="10" style="721" hidden="1" customWidth="1"/>
    <col min="24" max="16384" width="10" style="721" hidden="1"/>
  </cols>
  <sheetData>
    <row r="1" spans="2:23">
      <c r="D1" s="722"/>
    </row>
    <row r="2" spans="2:23">
      <c r="D2" s="723"/>
      <c r="E2" s="723" t="str">
        <f ca="1">UPPER(MID(CELL("filename",A1),FIND("[",CELL("filename",A1))+1,FIND("]",CELL("filename",A1))-FIND("[",CELL("filename",A1))-5))</f>
        <v>LPM MB15 - EPACITY DSL 20170201 OPENBAAR.</v>
      </c>
    </row>
    <row r="3" spans="2:23">
      <c r="D3" s="722"/>
      <c r="E3" s="721" t="str">
        <f ca="1">UPPER(MID(CELL("filename",A2),FIND("]",CELL("filename",A2))+1,LEN(CELL("filename",A2))))</f>
        <v>PARAMETERS ULL</v>
      </c>
    </row>
    <row r="4" spans="2:23" s="724" customFormat="1">
      <c r="D4" s="725"/>
    </row>
    <row r="5" spans="2:23"/>
    <row r="6" spans="2:23">
      <c r="D6" s="723"/>
    </row>
    <row r="7" spans="2:23" s="728" customFormat="1">
      <c r="B7" s="726" t="s">
        <v>456</v>
      </c>
      <c r="C7" s="727" t="s">
        <v>455</v>
      </c>
      <c r="N7" s="721"/>
      <c r="O7" s="721"/>
      <c r="P7" s="721"/>
      <c r="Q7" s="721"/>
      <c r="R7" s="721"/>
      <c r="S7" s="721"/>
      <c r="T7" s="721"/>
      <c r="U7" s="721"/>
      <c r="V7" s="721"/>
      <c r="W7" s="721"/>
    </row>
    <row r="8" spans="2:23" s="731" customFormat="1">
      <c r="B8" s="729"/>
      <c r="C8" s="730"/>
      <c r="N8" s="721"/>
      <c r="O8" s="721"/>
      <c r="P8" s="721"/>
      <c r="Q8" s="721"/>
      <c r="R8" s="721"/>
      <c r="S8" s="721"/>
      <c r="T8" s="721"/>
      <c r="U8" s="721"/>
      <c r="V8" s="721"/>
      <c r="W8" s="721"/>
    </row>
    <row r="9" spans="2:23">
      <c r="D9" s="723" t="s">
        <v>454</v>
      </c>
      <c r="E9" s="732"/>
      <c r="F9" s="732"/>
      <c r="G9" s="732"/>
      <c r="H9" s="732"/>
      <c r="I9" s="732"/>
      <c r="J9" s="732"/>
      <c r="K9" s="730"/>
      <c r="L9" s="730"/>
      <c r="M9" s="730"/>
    </row>
    <row r="10" spans="2:23">
      <c r="D10" s="733" t="s">
        <v>453</v>
      </c>
      <c r="E10" s="233">
        <v>36</v>
      </c>
      <c r="F10" s="234"/>
      <c r="G10" s="234"/>
      <c r="H10" s="234"/>
      <c r="I10" s="234"/>
      <c r="J10" s="234"/>
      <c r="K10" s="234"/>
      <c r="L10" s="234"/>
      <c r="M10" s="234"/>
    </row>
    <row r="11" spans="2:23">
      <c r="D11" s="731"/>
      <c r="E11" s="234"/>
      <c r="F11" s="234"/>
      <c r="G11" s="234"/>
      <c r="H11" s="234"/>
      <c r="I11" s="234"/>
      <c r="J11" s="234"/>
      <c r="K11" s="234"/>
      <c r="L11" s="234"/>
      <c r="M11" s="234"/>
    </row>
    <row r="12" spans="2:23"/>
    <row r="13" spans="2:23" s="728" customFormat="1">
      <c r="B13" s="726" t="s">
        <v>1464</v>
      </c>
      <c r="C13" s="727" t="s">
        <v>451</v>
      </c>
      <c r="N13" s="721"/>
      <c r="O13" s="721"/>
      <c r="P13" s="721"/>
      <c r="Q13" s="721"/>
      <c r="R13" s="721"/>
      <c r="S13" s="721"/>
      <c r="T13" s="721"/>
      <c r="U13" s="721"/>
      <c r="V13" s="721"/>
      <c r="W13" s="721"/>
    </row>
    <row r="14" spans="2:23">
      <c r="D14" s="229"/>
      <c r="E14" s="734"/>
      <c r="F14" s="734"/>
      <c r="G14" s="228"/>
      <c r="H14" s="228"/>
      <c r="I14" s="735"/>
      <c r="J14" s="735"/>
      <c r="K14" s="735"/>
      <c r="L14" s="736"/>
      <c r="N14" s="731"/>
      <c r="O14" s="731"/>
      <c r="P14" s="731"/>
    </row>
    <row r="15" spans="2:23">
      <c r="B15" s="721" t="s">
        <v>450</v>
      </c>
      <c r="D15" s="229"/>
      <c r="E15" s="734"/>
      <c r="G15" s="734"/>
      <c r="H15" s="232"/>
      <c r="I15" s="735"/>
      <c r="J15" s="735"/>
      <c r="K15" s="735"/>
      <c r="L15" s="736"/>
      <c r="N15" s="731"/>
      <c r="O15" s="731"/>
      <c r="P15" s="731"/>
    </row>
    <row r="16" spans="2:23">
      <c r="D16" s="229"/>
      <c r="E16" s="734"/>
      <c r="F16" s="734"/>
      <c r="G16" s="734"/>
      <c r="H16" s="737"/>
      <c r="I16" s="735"/>
      <c r="J16" s="735"/>
      <c r="K16" s="735"/>
      <c r="L16" s="736"/>
      <c r="N16" s="731"/>
      <c r="O16" s="731"/>
      <c r="P16" s="731"/>
    </row>
    <row r="17" spans="2:23">
      <c r="D17" s="738" t="s">
        <v>1735</v>
      </c>
      <c r="E17" s="739">
        <v>100</v>
      </c>
      <c r="F17" s="734" t="s">
        <v>449</v>
      </c>
      <c r="G17" s="734"/>
      <c r="I17" s="735"/>
      <c r="J17" s="735"/>
      <c r="K17" s="735"/>
      <c r="L17" s="736"/>
      <c r="N17" s="731"/>
      <c r="O17" s="731"/>
      <c r="P17" s="731"/>
    </row>
    <row r="18" spans="2:23">
      <c r="D18" s="229"/>
      <c r="E18" s="234"/>
      <c r="F18" s="734"/>
      <c r="G18" s="734"/>
      <c r="I18" s="735"/>
      <c r="J18" s="735"/>
      <c r="K18" s="735"/>
      <c r="L18" s="736"/>
      <c r="N18" s="731"/>
      <c r="O18" s="731"/>
      <c r="P18" s="731"/>
    </row>
    <row r="19" spans="2:23">
      <c r="D19" s="229"/>
      <c r="E19" s="231"/>
      <c r="F19" s="734"/>
      <c r="G19" s="228"/>
      <c r="H19" s="228"/>
      <c r="I19" s="735"/>
      <c r="J19" s="735"/>
      <c r="K19" s="735"/>
      <c r="L19" s="736"/>
      <c r="N19" s="731"/>
      <c r="O19" s="731"/>
      <c r="P19" s="731"/>
    </row>
    <row r="20" spans="2:23" s="728" customFormat="1">
      <c r="B20" s="726" t="s">
        <v>452</v>
      </c>
      <c r="C20" s="727" t="s">
        <v>1465</v>
      </c>
      <c r="N20" s="721"/>
      <c r="O20" s="721"/>
      <c r="P20" s="721"/>
      <c r="Q20" s="721"/>
      <c r="R20" s="721"/>
      <c r="S20" s="721"/>
      <c r="T20" s="721"/>
      <c r="U20" s="721"/>
      <c r="V20" s="721"/>
      <c r="W20" s="721"/>
    </row>
    <row r="21" spans="2:23">
      <c r="D21" s="229"/>
      <c r="E21" s="231"/>
      <c r="F21" s="734"/>
      <c r="G21" s="228"/>
      <c r="H21" s="228"/>
      <c r="I21" s="735"/>
      <c r="J21" s="735"/>
      <c r="K21" s="735"/>
      <c r="L21" s="736"/>
      <c r="N21" s="731"/>
      <c r="O21" s="731"/>
      <c r="P21" s="731"/>
    </row>
    <row r="22" spans="2:23">
      <c r="D22" s="229"/>
      <c r="E22" s="231"/>
      <c r="F22" s="734"/>
      <c r="G22" s="228"/>
      <c r="H22" s="228"/>
      <c r="I22" s="735"/>
      <c r="J22" s="735"/>
      <c r="K22" s="735"/>
      <c r="L22" s="736"/>
      <c r="N22" s="731"/>
      <c r="O22" s="731"/>
      <c r="P22" s="731"/>
    </row>
    <row r="23" spans="2:23">
      <c r="D23" s="229"/>
      <c r="E23" s="465" t="s">
        <v>1289</v>
      </c>
      <c r="F23" s="465" t="s">
        <v>438</v>
      </c>
      <c r="G23" s="465" t="s">
        <v>1290</v>
      </c>
      <c r="H23" s="466" t="s">
        <v>1291</v>
      </c>
      <c r="I23" s="735"/>
      <c r="J23" s="735"/>
      <c r="K23" s="735"/>
      <c r="L23" s="736"/>
      <c r="N23" s="731"/>
      <c r="O23" s="731"/>
      <c r="P23" s="731"/>
    </row>
    <row r="24" spans="2:23">
      <c r="D24" s="230" t="s">
        <v>1466</v>
      </c>
      <c r="E24" s="740">
        <v>1</v>
      </c>
      <c r="F24" s="740">
        <v>0</v>
      </c>
      <c r="G24" s="740">
        <v>0</v>
      </c>
      <c r="H24" s="740">
        <v>0</v>
      </c>
      <c r="I24" s="735"/>
      <c r="J24" s="735"/>
      <c r="K24" s="735"/>
      <c r="L24" s="736"/>
      <c r="N24" s="731"/>
      <c r="O24" s="731"/>
      <c r="P24" s="731"/>
    </row>
    <row r="25" spans="2:23">
      <c r="D25" s="229"/>
      <c r="E25" s="231"/>
      <c r="F25" s="734"/>
      <c r="G25" s="228"/>
      <c r="H25" s="228"/>
      <c r="I25" s="735"/>
      <c r="J25" s="735"/>
      <c r="K25" s="735"/>
      <c r="L25" s="736"/>
      <c r="N25" s="731"/>
      <c r="O25" s="731"/>
      <c r="P25" s="731"/>
    </row>
    <row r="26" spans="2:23">
      <c r="D26" s="230" t="s">
        <v>1467</v>
      </c>
      <c r="E26" s="741">
        <v>100</v>
      </c>
      <c r="F26" s="742" t="s">
        <v>1468</v>
      </c>
      <c r="G26" s="228"/>
      <c r="H26" s="228"/>
      <c r="I26" s="735"/>
      <c r="J26" s="735"/>
      <c r="K26" s="735"/>
      <c r="L26" s="736"/>
      <c r="N26" s="731"/>
      <c r="O26" s="731"/>
      <c r="P26" s="731"/>
    </row>
    <row r="27" spans="2:23">
      <c r="D27" s="229"/>
      <c r="E27" s="231"/>
      <c r="F27" s="734"/>
      <c r="G27" s="228"/>
      <c r="H27" s="228"/>
      <c r="I27" s="735"/>
      <c r="J27" s="735"/>
      <c r="K27" s="735"/>
      <c r="L27" s="736"/>
      <c r="N27" s="731"/>
      <c r="O27" s="731"/>
      <c r="P27" s="731"/>
    </row>
    <row r="28" spans="2:23">
      <c r="D28" s="230" t="s">
        <v>1469</v>
      </c>
      <c r="E28" s="467">
        <f>$E$24*'Inkoop tarief elementen'!$E$13+$F$24*'Inkoop tarief elementen'!$E$15+$G$24*'Inkoop tarief elementen'!$E$16+$H$24*($E$26+'Inkoop tarief elementen'!$E$13)</f>
        <v>70.790000000000006</v>
      </c>
      <c r="F28" s="734"/>
      <c r="G28" s="228"/>
      <c r="H28" s="228"/>
      <c r="I28" s="735"/>
      <c r="J28" s="735"/>
      <c r="K28" s="735"/>
      <c r="L28" s="736"/>
      <c r="N28" s="731"/>
      <c r="O28" s="731"/>
      <c r="P28" s="731"/>
    </row>
    <row r="29" spans="2:23">
      <c r="D29" s="230" t="s">
        <v>1470</v>
      </c>
      <c r="E29" s="467">
        <f>$E$24*'Inkoop tarief elementen'!$F$13+$F$24*'Inkoop tarief elementen'!$F$17+$G$24*'Inkoop tarief elementen'!$F$17+$H$24*($E$26+'Inkoop tarief elementen'!$F$13)</f>
        <v>166.88</v>
      </c>
      <c r="F29" s="734"/>
      <c r="G29" s="228"/>
      <c r="H29" s="228"/>
      <c r="I29" s="735"/>
      <c r="J29" s="735"/>
      <c r="K29" s="735"/>
      <c r="L29" s="736"/>
      <c r="N29" s="731"/>
      <c r="O29" s="731"/>
      <c r="P29" s="731"/>
    </row>
    <row r="30" spans="2:23">
      <c r="D30" s="230" t="s">
        <v>1737</v>
      </c>
      <c r="E30" s="467">
        <f>$E$24*'Tarieven W&amp;O'!$H$81+$F$24*'Tarieven W&amp;O'!$H$84+$G$24*'Tarieven W&amp;O'!$H$88+$H$24*($E$26+'Tarieven W&amp;O'!$H$81)</f>
        <v>40</v>
      </c>
      <c r="F30" s="734"/>
      <c r="G30" s="228"/>
      <c r="H30" s="228"/>
      <c r="I30" s="735"/>
      <c r="J30" s="735"/>
      <c r="K30" s="735"/>
      <c r="L30" s="736"/>
      <c r="N30" s="731"/>
      <c r="O30" s="731"/>
      <c r="P30" s="731"/>
    </row>
    <row r="31" spans="2:23">
      <c r="D31" s="230" t="s">
        <v>1738</v>
      </c>
      <c r="E31" s="467">
        <f>$E$24*'Annex 4 VULA'!$J$37+$F$24*'Tarieven W&amp;O'!$H$98+$G$24*'Tarieven W&amp;O'!$H$98+$H$24*($E$26+'Annex 4 VULA'!$J$37)</f>
        <v>0</v>
      </c>
      <c r="F31" s="734"/>
      <c r="G31" s="228"/>
      <c r="H31" s="228"/>
      <c r="I31" s="735"/>
      <c r="J31" s="735"/>
      <c r="K31" s="735"/>
      <c r="L31" s="736"/>
      <c r="N31" s="731"/>
      <c r="O31" s="731"/>
      <c r="P31" s="731"/>
    </row>
    <row r="32" spans="2:23">
      <c r="D32" s="229"/>
      <c r="E32" s="734"/>
      <c r="F32" s="734"/>
      <c r="G32" s="228"/>
      <c r="H32" s="228"/>
      <c r="I32" s="735"/>
      <c r="J32" s="735"/>
      <c r="K32" s="735"/>
      <c r="L32" s="736"/>
      <c r="N32" s="731"/>
      <c r="O32" s="731"/>
      <c r="P32" s="731"/>
    </row>
    <row r="33" spans="2:23" s="728" customFormat="1">
      <c r="B33" s="726" t="s">
        <v>1471</v>
      </c>
      <c r="C33" s="727" t="s">
        <v>448</v>
      </c>
      <c r="N33" s="721"/>
      <c r="O33" s="721"/>
      <c r="P33" s="721"/>
      <c r="Q33" s="721"/>
      <c r="R33" s="721"/>
      <c r="S33" s="721"/>
      <c r="T33" s="721"/>
      <c r="U33" s="721"/>
      <c r="V33" s="721"/>
      <c r="W33" s="721"/>
    </row>
    <row r="34" spans="2:23">
      <c r="E34" s="734"/>
      <c r="F34" s="734"/>
      <c r="G34" s="228"/>
      <c r="H34" s="228"/>
      <c r="I34" s="735"/>
      <c r="J34" s="735"/>
      <c r="K34" s="735"/>
      <c r="L34" s="736"/>
      <c r="N34" s="731"/>
      <c r="O34" s="731"/>
      <c r="P34" s="731"/>
    </row>
    <row r="35" spans="2:23">
      <c r="E35" s="734"/>
      <c r="F35" s="734"/>
      <c r="G35" s="228"/>
      <c r="H35" s="228"/>
      <c r="I35" s="735"/>
      <c r="J35" s="735"/>
      <c r="K35" s="735"/>
      <c r="L35" s="736"/>
      <c r="N35" s="731"/>
      <c r="O35" s="731"/>
      <c r="P35" s="731"/>
    </row>
    <row r="36" spans="2:23">
      <c r="D36" s="230" t="s">
        <v>447</v>
      </c>
      <c r="E36" s="743">
        <v>1</v>
      </c>
      <c r="F36" s="734"/>
      <c r="G36" s="228"/>
      <c r="H36" s="228"/>
      <c r="I36" s="735"/>
      <c r="J36" s="735"/>
      <c r="K36" s="735"/>
      <c r="L36" s="736"/>
      <c r="N36" s="731"/>
      <c r="O36" s="731"/>
      <c r="P36" s="731"/>
    </row>
    <row r="37" spans="2:23">
      <c r="D37" s="230" t="s">
        <v>446</v>
      </c>
      <c r="E37" s="744">
        <v>1</v>
      </c>
      <c r="F37" s="734"/>
      <c r="G37" s="228"/>
      <c r="H37" s="228"/>
      <c r="I37" s="735"/>
      <c r="J37" s="735"/>
      <c r="K37" s="735"/>
      <c r="L37" s="736"/>
      <c r="N37" s="731"/>
      <c r="O37" s="731"/>
      <c r="P37" s="731"/>
    </row>
    <row r="38" spans="2:23">
      <c r="D38" s="230" t="s">
        <v>445</v>
      </c>
      <c r="E38" s="739">
        <v>1</v>
      </c>
      <c r="F38" s="734"/>
      <c r="G38" s="228"/>
      <c r="H38" s="228"/>
      <c r="I38" s="735"/>
      <c r="J38" s="735"/>
      <c r="K38" s="735"/>
      <c r="L38" s="736"/>
      <c r="N38" s="731"/>
      <c r="O38" s="731"/>
      <c r="P38" s="731"/>
    </row>
    <row r="39" spans="2:23">
      <c r="D39" s="230" t="s">
        <v>444</v>
      </c>
      <c r="E39" s="739">
        <v>50</v>
      </c>
      <c r="F39" s="734" t="s">
        <v>442</v>
      </c>
      <c r="G39" s="228"/>
      <c r="H39" s="228"/>
      <c r="I39" s="735"/>
      <c r="J39" s="735"/>
      <c r="K39" s="735"/>
      <c r="L39" s="736"/>
      <c r="N39" s="731"/>
      <c r="O39" s="731"/>
      <c r="P39" s="731"/>
    </row>
    <row r="40" spans="2:23">
      <c r="D40" s="230" t="s">
        <v>443</v>
      </c>
      <c r="E40" s="739">
        <v>50</v>
      </c>
      <c r="F40" s="734" t="s">
        <v>442</v>
      </c>
      <c r="G40" s="228"/>
      <c r="H40" s="228"/>
      <c r="I40" s="735"/>
      <c r="J40" s="735"/>
      <c r="K40" s="735"/>
      <c r="L40" s="736"/>
      <c r="N40" s="731"/>
      <c r="O40" s="731"/>
      <c r="P40" s="731"/>
    </row>
    <row r="41" spans="2:23">
      <c r="D41" s="230" t="s">
        <v>441</v>
      </c>
      <c r="E41" s="739">
        <v>100000</v>
      </c>
      <c r="F41" s="734"/>
      <c r="G41" s="228"/>
      <c r="H41" s="228"/>
      <c r="I41" s="735"/>
      <c r="J41" s="735"/>
      <c r="K41" s="735"/>
      <c r="L41" s="736"/>
      <c r="N41" s="731"/>
      <c r="O41" s="731"/>
      <c r="P41" s="731"/>
    </row>
    <row r="42" spans="2:23">
      <c r="D42" s="230" t="s">
        <v>1748</v>
      </c>
      <c r="E42" s="934">
        <v>0.9</v>
      </c>
      <c r="F42" s="734"/>
      <c r="G42" s="228"/>
      <c r="H42" s="228"/>
      <c r="I42" s="735"/>
      <c r="J42" s="735"/>
      <c r="K42" s="735"/>
      <c r="L42" s="736"/>
      <c r="N42" s="731"/>
      <c r="O42" s="731"/>
      <c r="P42" s="731"/>
    </row>
    <row r="43" spans="2:23">
      <c r="D43" s="230" t="s">
        <v>1749</v>
      </c>
      <c r="E43" s="934">
        <v>0.9</v>
      </c>
      <c r="F43" s="734"/>
      <c r="G43" s="228"/>
      <c r="H43" s="228"/>
      <c r="I43" s="735"/>
      <c r="J43" s="735"/>
      <c r="K43" s="735"/>
      <c r="L43" s="736"/>
      <c r="N43" s="731"/>
      <c r="O43" s="731"/>
      <c r="P43" s="731"/>
    </row>
    <row r="44" spans="2:23">
      <c r="E44" s="734"/>
      <c r="F44" s="734"/>
      <c r="G44" s="228"/>
      <c r="H44" s="228"/>
      <c r="I44" s="735"/>
      <c r="J44" s="735"/>
      <c r="K44" s="735"/>
      <c r="L44" s="736"/>
      <c r="N44" s="731"/>
      <c r="O44" s="731"/>
      <c r="P44" s="731"/>
    </row>
    <row r="45" spans="2:23">
      <c r="E45" s="734"/>
      <c r="F45" s="734"/>
      <c r="G45" s="228"/>
      <c r="H45" s="228"/>
      <c r="I45" s="735"/>
      <c r="J45" s="735"/>
      <c r="K45" s="735"/>
      <c r="L45" s="736"/>
      <c r="N45" s="731"/>
      <c r="O45" s="731"/>
      <c r="P45" s="731"/>
    </row>
    <row r="46" spans="2:23" s="728" customFormat="1" ht="13.5" customHeight="1">
      <c r="B46" s="726" t="s">
        <v>1472</v>
      </c>
      <c r="C46" s="727" t="s">
        <v>440</v>
      </c>
      <c r="N46" s="721"/>
      <c r="O46" s="721"/>
      <c r="P46" s="721"/>
      <c r="Q46" s="721"/>
      <c r="R46" s="721"/>
      <c r="S46" s="721"/>
      <c r="T46" s="721"/>
      <c r="U46" s="721"/>
      <c r="V46" s="721"/>
      <c r="W46" s="721"/>
    </row>
    <row r="47" spans="2:23">
      <c r="E47" s="734"/>
      <c r="F47" s="734"/>
      <c r="G47" s="228"/>
      <c r="H47" s="228"/>
      <c r="I47" s="735"/>
      <c r="J47" s="735"/>
      <c r="K47" s="735"/>
      <c r="L47" s="736"/>
      <c r="N47" s="731"/>
      <c r="O47" s="731"/>
      <c r="P47" s="731"/>
    </row>
    <row r="48" spans="2:23">
      <c r="D48" s="723" t="s">
        <v>209</v>
      </c>
      <c r="E48" s="737" t="s">
        <v>439</v>
      </c>
      <c r="F48" s="734"/>
      <c r="G48" s="228"/>
      <c r="H48" s="228"/>
      <c r="I48" s="735"/>
      <c r="J48" s="735"/>
      <c r="K48" s="735"/>
      <c r="L48" s="736"/>
      <c r="N48" s="731"/>
      <c r="O48" s="731"/>
      <c r="P48" s="731"/>
    </row>
    <row r="49" spans="2:23">
      <c r="D49" s="745" t="s">
        <v>1403</v>
      </c>
      <c r="E49" s="746">
        <v>1</v>
      </c>
      <c r="F49" s="734"/>
      <c r="G49" s="228"/>
      <c r="H49" s="228"/>
      <c r="I49" s="735"/>
      <c r="J49" s="735"/>
      <c r="K49" s="735"/>
      <c r="L49" s="736"/>
      <c r="N49" s="731"/>
      <c r="O49" s="731"/>
      <c r="P49" s="731"/>
    </row>
    <row r="50" spans="2:23">
      <c r="D50" s="745" t="s">
        <v>1404</v>
      </c>
      <c r="E50" s="746">
        <v>1</v>
      </c>
      <c r="F50" s="734"/>
      <c r="G50" s="228"/>
      <c r="H50" s="228"/>
      <c r="I50" s="735"/>
      <c r="J50" s="735"/>
      <c r="K50" s="735"/>
      <c r="L50" s="736"/>
      <c r="N50" s="731"/>
      <c r="O50" s="731"/>
      <c r="P50" s="731"/>
    </row>
    <row r="51" spans="2:23">
      <c r="D51" s="745" t="s">
        <v>1405</v>
      </c>
      <c r="E51" s="746">
        <v>1</v>
      </c>
      <c r="F51" s="734"/>
      <c r="G51" s="228"/>
      <c r="H51" s="228"/>
      <c r="I51" s="735"/>
      <c r="J51" s="735"/>
      <c r="K51" s="735"/>
      <c r="L51" s="736"/>
      <c r="N51" s="731"/>
      <c r="O51" s="731"/>
      <c r="P51" s="731"/>
    </row>
    <row r="52" spans="2:23">
      <c r="D52" s="745" t="s">
        <v>1406</v>
      </c>
      <c r="E52" s="746">
        <v>1</v>
      </c>
      <c r="F52" s="734"/>
      <c r="G52" s="228"/>
      <c r="H52" s="228"/>
      <c r="I52" s="735"/>
      <c r="J52" s="735"/>
      <c r="K52" s="735"/>
      <c r="L52" s="736"/>
      <c r="N52" s="731"/>
      <c r="O52" s="731"/>
      <c r="P52" s="731"/>
    </row>
    <row r="53" spans="2:23">
      <c r="D53" s="745" t="s">
        <v>1407</v>
      </c>
      <c r="E53" s="746">
        <v>1</v>
      </c>
      <c r="F53" s="734"/>
      <c r="G53" s="228"/>
      <c r="H53" s="228"/>
      <c r="I53" s="735"/>
      <c r="J53" s="735"/>
      <c r="K53" s="735"/>
      <c r="L53" s="736"/>
      <c r="N53" s="731"/>
      <c r="O53" s="731"/>
      <c r="P53" s="731"/>
    </row>
    <row r="54" spans="2:23">
      <c r="D54" s="745" t="s">
        <v>1408</v>
      </c>
      <c r="E54" s="746">
        <v>1</v>
      </c>
      <c r="F54" s="734"/>
      <c r="G54" s="228"/>
      <c r="H54" s="228"/>
      <c r="I54" s="735"/>
      <c r="J54" s="735"/>
      <c r="K54" s="735"/>
      <c r="L54" s="736"/>
      <c r="N54" s="731"/>
      <c r="O54" s="731"/>
      <c r="P54" s="731"/>
    </row>
    <row r="55" spans="2:23">
      <c r="E55" s="734"/>
      <c r="F55" s="734"/>
      <c r="G55" s="228"/>
      <c r="H55" s="228"/>
      <c r="I55" s="735"/>
      <c r="J55" s="735"/>
      <c r="K55" s="735"/>
      <c r="L55" s="736"/>
      <c r="N55" s="731"/>
      <c r="O55" s="731"/>
      <c r="P55" s="731"/>
    </row>
    <row r="56" spans="2:23" s="728" customFormat="1" ht="13.5" customHeight="1">
      <c r="B56" s="726" t="s">
        <v>1473</v>
      </c>
      <c r="C56" s="727" t="s">
        <v>1474</v>
      </c>
      <c r="N56" s="721"/>
      <c r="O56" s="721"/>
      <c r="P56" s="721"/>
      <c r="Q56" s="721"/>
      <c r="R56" s="721"/>
      <c r="S56" s="721"/>
      <c r="T56" s="721"/>
      <c r="U56" s="721"/>
      <c r="V56" s="721"/>
      <c r="W56" s="721"/>
    </row>
    <row r="57" spans="2:23">
      <c r="D57" s="229"/>
      <c r="E57" s="734"/>
      <c r="F57" s="734"/>
      <c r="G57" s="228"/>
      <c r="H57" s="228"/>
      <c r="I57" s="735"/>
      <c r="J57" s="735"/>
      <c r="K57" s="735"/>
      <c r="L57" s="736"/>
      <c r="N57" s="731"/>
      <c r="O57" s="731"/>
      <c r="P57" s="731"/>
    </row>
    <row r="58" spans="2:23">
      <c r="D58" s="733" t="s">
        <v>453</v>
      </c>
      <c r="E58" s="233">
        <f>7*12</f>
        <v>84</v>
      </c>
      <c r="F58" s="734"/>
      <c r="G58" s="228"/>
      <c r="H58" s="228"/>
      <c r="I58" s="735"/>
      <c r="J58" s="735"/>
      <c r="K58" s="735"/>
      <c r="L58" s="736"/>
      <c r="N58" s="731"/>
      <c r="O58" s="731"/>
      <c r="P58" s="731"/>
    </row>
    <row r="59" spans="2:23">
      <c r="D59" s="229"/>
      <c r="E59" s="734"/>
      <c r="F59" s="734"/>
      <c r="G59" s="228"/>
      <c r="H59" s="228"/>
      <c r="I59" s="735"/>
      <c r="J59" s="735"/>
      <c r="K59" s="735"/>
      <c r="L59" s="736"/>
      <c r="N59" s="731"/>
      <c r="O59" s="731"/>
      <c r="P59" s="731"/>
    </row>
    <row r="60" spans="2:23">
      <c r="D60" s="230" t="s">
        <v>1475</v>
      </c>
      <c r="E60" s="747">
        <v>10000000</v>
      </c>
      <c r="F60" s="734"/>
      <c r="G60" s="228"/>
      <c r="H60" s="228"/>
      <c r="I60" s="735"/>
      <c r="J60" s="735"/>
      <c r="K60" s="735"/>
      <c r="L60" s="736"/>
      <c r="N60" s="731"/>
      <c r="O60" s="731"/>
      <c r="P60" s="731"/>
    </row>
    <row r="61" spans="2:23">
      <c r="D61" s="229"/>
      <c r="E61" s="734"/>
      <c r="F61" s="734"/>
      <c r="G61" s="228"/>
      <c r="H61" s="228"/>
      <c r="I61" s="735"/>
      <c r="J61" s="735"/>
      <c r="K61" s="735"/>
      <c r="L61" s="736"/>
      <c r="N61" s="731"/>
      <c r="O61" s="731"/>
      <c r="P61" s="731"/>
    </row>
    <row r="62" spans="2:23">
      <c r="D62" s="229"/>
      <c r="E62" s="734"/>
      <c r="F62" s="734"/>
      <c r="G62" s="228"/>
      <c r="H62" s="228"/>
      <c r="I62" s="735"/>
      <c r="J62" s="735"/>
      <c r="K62" s="735"/>
      <c r="L62" s="736"/>
      <c r="N62" s="731"/>
      <c r="O62" s="731"/>
      <c r="P62" s="731"/>
    </row>
    <row r="63" spans="2:23">
      <c r="D63" s="229"/>
      <c r="E63" s="734"/>
      <c r="F63" s="734"/>
      <c r="G63" s="228"/>
      <c r="H63" s="228"/>
      <c r="I63" s="735"/>
      <c r="J63" s="735"/>
      <c r="K63" s="735"/>
      <c r="L63" s="736"/>
      <c r="N63" s="731"/>
      <c r="O63" s="731"/>
      <c r="P63" s="731"/>
    </row>
    <row r="64" spans="2:23" s="728" customFormat="1">
      <c r="B64" s="726" t="s">
        <v>437</v>
      </c>
      <c r="C64" s="727"/>
    </row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</sheetData>
  <pageMargins left="0.75" right="0.75" top="1" bottom="1" header="0.5" footer="0.5"/>
  <pageSetup paperSize="9" scale="28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820"/>
  <sheetViews>
    <sheetView workbookViewId="0">
      <selection activeCell="D16" sqref="D16"/>
    </sheetView>
  </sheetViews>
  <sheetFormatPr defaultColWidth="0" defaultRowHeight="14.25" zeroHeight="1"/>
  <cols>
    <col min="1" max="1" width="2.7109375" style="766" customWidth="1"/>
    <col min="2" max="2" width="3.28515625" style="766" customWidth="1"/>
    <col min="3" max="3" width="2.42578125" style="766" customWidth="1"/>
    <col min="4" max="4" width="81.28515625" style="766" customWidth="1"/>
    <col min="5" max="5" width="17.42578125" style="766" customWidth="1"/>
    <col min="6" max="7" width="19" style="766" bestFit="1" customWidth="1"/>
    <col min="8" max="8" width="19" style="766" customWidth="1"/>
    <col min="9" max="9" width="17.28515625" style="766" bestFit="1" customWidth="1"/>
    <col min="10" max="10" width="23.42578125" style="766" customWidth="1"/>
    <col min="11" max="11" width="28.5703125" style="766" customWidth="1"/>
    <col min="12" max="12" width="25" style="766" bestFit="1" customWidth="1"/>
    <col min="13" max="13" width="16.7109375" style="766" customWidth="1"/>
    <col min="14" max="14" width="19" style="766" bestFit="1" customWidth="1"/>
    <col min="15" max="15" width="25" style="766" hidden="1" customWidth="1"/>
    <col min="16" max="16" width="13.42578125" style="766" hidden="1" customWidth="1"/>
    <col min="17" max="17" width="16" style="766" hidden="1" customWidth="1"/>
    <col min="18" max="19" width="19" style="766" hidden="1" customWidth="1"/>
    <col min="20" max="20" width="16.5703125" style="766" hidden="1" customWidth="1"/>
    <col min="21" max="24" width="10" style="766" hidden="1" customWidth="1"/>
    <col min="25" max="16384" width="10" style="766" hidden="1"/>
  </cols>
  <sheetData>
    <row r="1" spans="2:24">
      <c r="D1" s="767"/>
    </row>
    <row r="2" spans="2:24" ht="15">
      <c r="D2" s="768"/>
      <c r="E2" s="768" t="str">
        <f ca="1">UPPER(MID(CELL("filename",A1),FIND("[",CELL("filename",A1))+1,FIND("]",CELL("filename",A1))-FIND("[",CELL("filename",A1))-5))</f>
        <v>LPM MB15 - EPACITY DSL 20170201 OPENBAAR.</v>
      </c>
    </row>
    <row r="3" spans="2:24">
      <c r="D3" s="767"/>
      <c r="E3" s="766" t="str">
        <f ca="1">UPPER(MID(CELL("filename",A2),FIND("]",CELL("filename",A2))+1,LEN(CELL("filename",A2))))</f>
        <v>COLLOCATIE</v>
      </c>
    </row>
    <row r="4" spans="2:24" s="769" customFormat="1">
      <c r="D4" s="770"/>
    </row>
    <row r="5" spans="2:24"/>
    <row r="6" spans="2:24" ht="15">
      <c r="D6" s="768"/>
    </row>
    <row r="7" spans="2:24" s="773" customFormat="1" ht="15">
      <c r="B7" s="771" t="s">
        <v>456</v>
      </c>
      <c r="C7" s="772" t="s">
        <v>1476</v>
      </c>
      <c r="O7" s="766"/>
      <c r="P7" s="766"/>
      <c r="Q7" s="766"/>
      <c r="R7" s="766"/>
      <c r="S7" s="766"/>
      <c r="T7" s="766"/>
      <c r="U7" s="766"/>
      <c r="V7" s="766"/>
      <c r="W7" s="766"/>
      <c r="X7" s="766"/>
    </row>
    <row r="8" spans="2:24" s="776" customFormat="1" ht="15">
      <c r="B8" s="774"/>
      <c r="C8" s="775"/>
      <c r="O8" s="766"/>
      <c r="P8" s="766"/>
      <c r="Q8" s="766"/>
      <c r="R8" s="766"/>
      <c r="S8" s="766"/>
      <c r="T8" s="766"/>
      <c r="U8" s="766"/>
      <c r="V8" s="766"/>
      <c r="W8" s="766"/>
      <c r="X8" s="766"/>
    </row>
    <row r="9" spans="2:24" s="776" customFormat="1" ht="15">
      <c r="B9" s="774"/>
      <c r="C9" s="775"/>
      <c r="D9" s="777" t="s">
        <v>1477</v>
      </c>
      <c r="E9" s="773"/>
      <c r="F9" s="778"/>
      <c r="O9" s="766"/>
      <c r="P9" s="766"/>
      <c r="Q9" s="766"/>
      <c r="R9" s="766"/>
      <c r="S9" s="766"/>
      <c r="T9" s="766"/>
      <c r="U9" s="766"/>
      <c r="V9" s="766"/>
      <c r="W9" s="766"/>
      <c r="X9" s="766"/>
    </row>
    <row r="10" spans="2:24">
      <c r="D10" s="779" t="s">
        <v>1478</v>
      </c>
      <c r="E10" s="938">
        <v>5794.92</v>
      </c>
      <c r="F10" s="780" t="s">
        <v>286</v>
      </c>
      <c r="G10" s="781"/>
      <c r="H10" s="781"/>
      <c r="I10" s="781"/>
      <c r="J10" s="781"/>
      <c r="K10" s="781"/>
      <c r="L10" s="781"/>
    </row>
    <row r="11" spans="2:24">
      <c r="D11" s="782" t="s">
        <v>1478</v>
      </c>
      <c r="E11" s="938">
        <v>963.15</v>
      </c>
      <c r="F11" s="783" t="s">
        <v>1479</v>
      </c>
      <c r="G11" s="781"/>
      <c r="H11" s="781"/>
      <c r="I11" s="781"/>
      <c r="J11" s="781"/>
      <c r="K11" s="781"/>
      <c r="L11" s="781"/>
    </row>
    <row r="12" spans="2:24">
      <c r="D12" s="782" t="s">
        <v>1480</v>
      </c>
      <c r="E12" s="938">
        <v>5880.22</v>
      </c>
      <c r="F12" s="783" t="s">
        <v>286</v>
      </c>
      <c r="G12" s="781"/>
      <c r="H12" s="781"/>
      <c r="I12" s="781"/>
      <c r="J12" s="781"/>
      <c r="K12" s="781"/>
      <c r="L12" s="781"/>
    </row>
    <row r="13" spans="2:24">
      <c r="D13" s="782" t="s">
        <v>1481</v>
      </c>
      <c r="E13" s="938">
        <v>2565.9299999999998</v>
      </c>
      <c r="F13" s="783" t="s">
        <v>286</v>
      </c>
      <c r="G13" s="781"/>
      <c r="H13" s="781"/>
      <c r="I13" s="781"/>
      <c r="J13" s="781"/>
      <c r="K13" s="781"/>
      <c r="L13" s="781"/>
    </row>
    <row r="14" spans="2:24">
      <c r="D14" s="782" t="s">
        <v>1482</v>
      </c>
      <c r="E14" s="938">
        <v>2212.0300000000002</v>
      </c>
      <c r="F14" s="783" t="s">
        <v>286</v>
      </c>
      <c r="G14" s="781"/>
      <c r="H14" s="781"/>
      <c r="I14" s="781"/>
      <c r="J14" s="781"/>
      <c r="K14" s="781"/>
      <c r="L14" s="781"/>
    </row>
    <row r="15" spans="2:24">
      <c r="D15" s="782" t="s">
        <v>1483</v>
      </c>
      <c r="E15" s="938">
        <v>7427.13</v>
      </c>
      <c r="F15" s="783" t="s">
        <v>286</v>
      </c>
      <c r="G15" s="781"/>
      <c r="H15" s="781"/>
      <c r="I15" s="781"/>
      <c r="J15" s="781"/>
      <c r="K15" s="781"/>
      <c r="L15" s="781"/>
    </row>
    <row r="16" spans="2:24">
      <c r="D16" s="782" t="s">
        <v>1484</v>
      </c>
      <c r="E16" s="938">
        <v>6583.11</v>
      </c>
      <c r="F16" s="783" t="s">
        <v>286</v>
      </c>
      <c r="G16" s="781"/>
      <c r="H16" s="781"/>
      <c r="I16" s="781"/>
      <c r="J16" s="781"/>
      <c r="K16" s="781"/>
      <c r="L16" s="781"/>
    </row>
    <row r="17" spans="4:12">
      <c r="D17" s="782" t="s">
        <v>1483</v>
      </c>
      <c r="E17" s="938">
        <v>0.13</v>
      </c>
      <c r="F17" s="783" t="s">
        <v>1485</v>
      </c>
      <c r="G17" s="781"/>
      <c r="H17" s="781"/>
      <c r="I17" s="781"/>
      <c r="J17" s="781"/>
      <c r="K17" s="781"/>
      <c r="L17" s="781"/>
    </row>
    <row r="18" spans="4:12">
      <c r="D18" s="782" t="s">
        <v>1486</v>
      </c>
      <c r="E18" s="938">
        <v>3.06</v>
      </c>
      <c r="F18" s="783" t="s">
        <v>1487</v>
      </c>
      <c r="G18" s="781"/>
      <c r="H18" s="781"/>
      <c r="I18" s="781"/>
      <c r="J18" s="781"/>
      <c r="K18" s="781"/>
      <c r="L18" s="781"/>
    </row>
    <row r="19" spans="4:12">
      <c r="D19" s="784" t="s">
        <v>1488</v>
      </c>
      <c r="E19" s="938">
        <v>2.97</v>
      </c>
      <c r="F19" s="785" t="s">
        <v>1487</v>
      </c>
      <c r="G19" s="781"/>
      <c r="H19" s="781"/>
      <c r="I19" s="781"/>
      <c r="J19" s="781"/>
      <c r="K19" s="781"/>
      <c r="L19" s="781"/>
    </row>
    <row r="20" spans="4:12">
      <c r="D20" s="781"/>
      <c r="E20" s="781"/>
      <c r="F20" s="781"/>
      <c r="G20" s="781"/>
      <c r="H20" s="781"/>
      <c r="I20" s="781"/>
      <c r="J20" s="781"/>
      <c r="K20" s="781"/>
      <c r="L20" s="781"/>
    </row>
    <row r="21" spans="4:12" ht="15">
      <c r="D21" s="786" t="s">
        <v>1489</v>
      </c>
      <c r="E21" s="787"/>
      <c r="F21" s="788"/>
      <c r="G21" s="781"/>
      <c r="H21" s="781"/>
      <c r="I21" s="781"/>
      <c r="J21" s="781"/>
      <c r="K21" s="781"/>
      <c r="L21" s="781"/>
    </row>
    <row r="22" spans="4:12">
      <c r="D22" s="779" t="s">
        <v>1478</v>
      </c>
      <c r="E22" s="938">
        <v>5795.27</v>
      </c>
      <c r="F22" s="780" t="s">
        <v>286</v>
      </c>
      <c r="G22" s="781"/>
      <c r="H22" s="781"/>
      <c r="I22" s="781"/>
      <c r="J22" s="781"/>
      <c r="K22" s="781"/>
      <c r="L22" s="781"/>
    </row>
    <row r="23" spans="4:12">
      <c r="D23" s="782" t="s">
        <v>1478</v>
      </c>
      <c r="E23" s="938">
        <v>963.15</v>
      </c>
      <c r="F23" s="783" t="s">
        <v>1479</v>
      </c>
      <c r="G23" s="781"/>
      <c r="H23" s="781"/>
      <c r="I23" s="781"/>
      <c r="J23" s="781"/>
      <c r="K23" s="781"/>
      <c r="L23" s="781"/>
    </row>
    <row r="24" spans="4:12">
      <c r="D24" s="782" t="s">
        <v>1482</v>
      </c>
      <c r="E24" s="938">
        <v>2212.19</v>
      </c>
      <c r="F24" s="783" t="s">
        <v>286</v>
      </c>
      <c r="G24" s="781"/>
      <c r="H24" s="781"/>
      <c r="I24" s="781"/>
      <c r="J24" s="781"/>
      <c r="K24" s="781"/>
      <c r="L24" s="781"/>
    </row>
    <row r="25" spans="4:12">
      <c r="D25" s="782" t="s">
        <v>1483</v>
      </c>
      <c r="E25" s="938">
        <v>7426.79</v>
      </c>
      <c r="F25" s="783" t="s">
        <v>286</v>
      </c>
      <c r="G25" s="781"/>
      <c r="H25" s="781"/>
      <c r="I25" s="781"/>
      <c r="J25" s="781"/>
      <c r="K25" s="781"/>
      <c r="L25" s="781"/>
    </row>
    <row r="26" spans="4:12">
      <c r="D26" s="782" t="s">
        <v>1490</v>
      </c>
      <c r="E26" s="938">
        <v>4027.69</v>
      </c>
      <c r="F26" s="783" t="s">
        <v>286</v>
      </c>
      <c r="G26" s="781"/>
      <c r="H26" s="781"/>
      <c r="I26" s="781"/>
      <c r="J26" s="781"/>
      <c r="K26" s="781"/>
      <c r="L26" s="781"/>
    </row>
    <row r="27" spans="4:12">
      <c r="D27" s="782" t="s">
        <v>1491</v>
      </c>
      <c r="E27" s="938">
        <v>224</v>
      </c>
      <c r="F27" s="783" t="s">
        <v>286</v>
      </c>
      <c r="G27" s="781"/>
      <c r="H27" s="781"/>
      <c r="I27" s="781"/>
      <c r="J27" s="781"/>
      <c r="K27" s="781"/>
      <c r="L27" s="781"/>
    </row>
    <row r="28" spans="4:12">
      <c r="D28" s="782" t="s">
        <v>1491</v>
      </c>
      <c r="E28" s="938">
        <v>33.229999999999997</v>
      </c>
      <c r="F28" s="783" t="s">
        <v>1492</v>
      </c>
      <c r="G28" s="781"/>
      <c r="H28" s="781"/>
      <c r="I28" s="781"/>
      <c r="J28" s="781"/>
      <c r="K28" s="781"/>
      <c r="L28" s="781"/>
    </row>
    <row r="29" spans="4:12">
      <c r="D29" s="782" t="s">
        <v>1483</v>
      </c>
      <c r="E29" s="938">
        <v>0.13</v>
      </c>
      <c r="F29" s="783" t="s">
        <v>1485</v>
      </c>
      <c r="G29" s="781"/>
      <c r="H29" s="781"/>
      <c r="I29" s="781"/>
      <c r="J29" s="781"/>
      <c r="K29" s="781"/>
      <c r="L29" s="781"/>
    </row>
    <row r="30" spans="4:12">
      <c r="D30" s="784" t="s">
        <v>1493</v>
      </c>
      <c r="E30" s="938">
        <v>0.09</v>
      </c>
      <c r="F30" s="785" t="s">
        <v>1485</v>
      </c>
      <c r="G30" s="781"/>
      <c r="H30" s="781"/>
      <c r="I30" s="781"/>
      <c r="J30" s="781"/>
      <c r="K30" s="781"/>
      <c r="L30" s="781"/>
    </row>
    <row r="31" spans="4:12">
      <c r="D31" s="781"/>
      <c r="E31" s="781"/>
      <c r="F31" s="781"/>
      <c r="G31" s="781"/>
      <c r="H31" s="781"/>
      <c r="I31" s="781"/>
      <c r="J31" s="781"/>
      <c r="K31" s="781"/>
      <c r="L31" s="781"/>
    </row>
    <row r="32" spans="4:12" ht="15">
      <c r="D32" s="786" t="s">
        <v>1494</v>
      </c>
      <c r="E32" s="787"/>
      <c r="F32" s="788"/>
      <c r="G32" s="781"/>
      <c r="H32" s="781"/>
      <c r="I32" s="781"/>
      <c r="J32" s="781"/>
      <c r="K32" s="781"/>
      <c r="L32" s="781"/>
    </row>
    <row r="33" spans="4:12">
      <c r="D33" s="779" t="s">
        <v>1495</v>
      </c>
      <c r="E33" s="789">
        <v>1</v>
      </c>
      <c r="F33" s="780"/>
      <c r="G33" s="781"/>
      <c r="H33" s="781"/>
      <c r="I33" s="781"/>
      <c r="J33" s="781"/>
      <c r="K33" s="781"/>
      <c r="L33" s="781"/>
    </row>
    <row r="34" spans="4:12">
      <c r="D34" s="782" t="s">
        <v>1478</v>
      </c>
      <c r="E34" s="790">
        <f>$E$33*'EDC minus lijst ULL'!$I$114/2</f>
        <v>0.5</v>
      </c>
      <c r="F34" s="783"/>
      <c r="G34" s="781"/>
      <c r="H34" s="781"/>
      <c r="I34" s="781"/>
      <c r="J34" s="781"/>
      <c r="K34" s="781"/>
      <c r="L34" s="781"/>
    </row>
    <row r="35" spans="4:12">
      <c r="D35" s="782" t="s">
        <v>1482</v>
      </c>
      <c r="E35" s="790">
        <f>$E$33*'EDC minus lijst ULL'!$I$114/2</f>
        <v>0.5</v>
      </c>
      <c r="F35" s="783"/>
      <c r="G35" s="781"/>
      <c r="H35" s="781"/>
      <c r="I35" s="781"/>
      <c r="J35" s="781"/>
      <c r="K35" s="781"/>
      <c r="L35" s="781"/>
    </row>
    <row r="36" spans="4:12">
      <c r="D36" s="782" t="s">
        <v>1483</v>
      </c>
      <c r="E36" s="790">
        <f>$E$33*'EDC minus lijst ULL'!$I$114/2</f>
        <v>0.5</v>
      </c>
      <c r="F36" s="783"/>
      <c r="G36" s="781"/>
      <c r="H36" s="781"/>
      <c r="I36" s="781"/>
      <c r="J36" s="781"/>
      <c r="K36" s="781"/>
      <c r="L36" s="781"/>
    </row>
    <row r="37" spans="4:12">
      <c r="D37" s="782" t="s">
        <v>1490</v>
      </c>
      <c r="E37" s="791">
        <v>1</v>
      </c>
      <c r="F37" s="783"/>
      <c r="G37" s="781"/>
      <c r="H37" s="781"/>
      <c r="I37" s="781"/>
      <c r="J37" s="781"/>
      <c r="K37" s="781"/>
      <c r="L37" s="781"/>
    </row>
    <row r="38" spans="4:12">
      <c r="D38" s="782" t="s">
        <v>1491</v>
      </c>
      <c r="E38" s="790">
        <f>$E$33*'EDC minus lijst ULL'!$I$114/2</f>
        <v>0.5</v>
      </c>
      <c r="F38" s="783"/>
      <c r="G38" s="781"/>
      <c r="H38" s="781"/>
      <c r="I38" s="781"/>
      <c r="J38" s="781"/>
      <c r="K38" s="781"/>
      <c r="L38" s="781"/>
    </row>
    <row r="39" spans="4:12">
      <c r="D39" s="784" t="s">
        <v>1496</v>
      </c>
      <c r="E39" s="468">
        <f>$E$33*'EDC minus lijst ULL'!$J$114</f>
        <v>1</v>
      </c>
      <c r="F39" s="785"/>
      <c r="G39" s="781"/>
      <c r="H39" s="781"/>
      <c r="I39" s="781"/>
      <c r="J39" s="781"/>
      <c r="K39" s="781"/>
      <c r="L39" s="781"/>
    </row>
    <row r="40" spans="4:12">
      <c r="D40" s="781"/>
      <c r="E40" s="781"/>
      <c r="F40" s="781"/>
      <c r="G40" s="781"/>
      <c r="H40" s="781"/>
      <c r="I40" s="781"/>
      <c r="J40" s="781"/>
      <c r="K40" s="781"/>
      <c r="L40" s="781"/>
    </row>
    <row r="41" spans="4:12">
      <c r="D41" s="779" t="s">
        <v>1497</v>
      </c>
      <c r="E41" s="792">
        <v>50</v>
      </c>
      <c r="F41" s="780" t="s">
        <v>442</v>
      </c>
      <c r="G41" s="781"/>
      <c r="H41" s="781"/>
      <c r="I41" s="781"/>
      <c r="J41" s="781"/>
      <c r="K41" s="781"/>
      <c r="L41" s="781"/>
    </row>
    <row r="42" spans="4:12">
      <c r="D42" s="784" t="s">
        <v>1498</v>
      </c>
      <c r="E42" s="792">
        <v>50</v>
      </c>
      <c r="F42" s="785" t="s">
        <v>442</v>
      </c>
      <c r="G42" s="781"/>
      <c r="H42" s="781"/>
      <c r="I42" s="781"/>
      <c r="J42" s="781"/>
      <c r="K42" s="781"/>
      <c r="L42" s="781"/>
    </row>
    <row r="43" spans="4:12">
      <c r="D43" s="781"/>
      <c r="E43" s="781"/>
      <c r="F43" s="781"/>
      <c r="G43" s="781"/>
      <c r="H43" s="781"/>
      <c r="I43" s="781"/>
      <c r="J43" s="781"/>
      <c r="K43" s="781"/>
      <c r="L43" s="781"/>
    </row>
    <row r="44" spans="4:12">
      <c r="D44" s="779" t="s">
        <v>1499</v>
      </c>
      <c r="E44" s="793">
        <v>1</v>
      </c>
      <c r="F44" s="780"/>
      <c r="G44" s="781"/>
      <c r="H44" s="781"/>
      <c r="I44" s="781"/>
      <c r="J44" s="781"/>
      <c r="K44" s="781"/>
      <c r="L44" s="781"/>
    </row>
    <row r="45" spans="4:12">
      <c r="D45" s="784" t="s">
        <v>1500</v>
      </c>
      <c r="E45" s="793">
        <v>1</v>
      </c>
      <c r="F45" s="785"/>
      <c r="G45" s="781"/>
      <c r="H45" s="781"/>
      <c r="I45" s="781"/>
      <c r="J45" s="781"/>
      <c r="K45" s="781"/>
      <c r="L45" s="781"/>
    </row>
    <row r="46" spans="4:12">
      <c r="D46" s="781"/>
      <c r="E46" s="781"/>
      <c r="F46" s="781"/>
      <c r="G46" s="781"/>
      <c r="H46" s="781"/>
      <c r="I46" s="781"/>
      <c r="J46" s="781"/>
      <c r="K46" s="781"/>
      <c r="L46" s="781"/>
    </row>
    <row r="47" spans="4:12">
      <c r="D47" s="779" t="s">
        <v>1501</v>
      </c>
      <c r="E47" s="792">
        <v>10000</v>
      </c>
      <c r="F47" s="780"/>
      <c r="G47" s="781"/>
      <c r="H47" s="781"/>
      <c r="I47" s="781"/>
      <c r="J47" s="781"/>
      <c r="K47" s="781"/>
      <c r="L47" s="781"/>
    </row>
    <row r="48" spans="4:12">
      <c r="D48" s="782" t="s">
        <v>1502</v>
      </c>
      <c r="E48" s="792">
        <v>1000</v>
      </c>
      <c r="F48" s="783"/>
      <c r="G48" s="781"/>
      <c r="H48" s="781"/>
      <c r="I48" s="781"/>
      <c r="J48" s="781"/>
      <c r="K48" s="781"/>
      <c r="L48" s="781"/>
    </row>
    <row r="49" spans="2:24">
      <c r="D49" s="782" t="s">
        <v>1503</v>
      </c>
      <c r="E49" s="468">
        <f>'Parameters ULL'!$E$60</f>
        <v>10000000</v>
      </c>
      <c r="F49" s="783"/>
      <c r="G49" s="781"/>
      <c r="H49" s="781"/>
      <c r="I49" s="781"/>
      <c r="J49" s="781"/>
      <c r="K49" s="781"/>
      <c r="L49" s="781"/>
    </row>
    <row r="50" spans="2:24">
      <c r="D50" s="784" t="s">
        <v>1504</v>
      </c>
      <c r="E50" s="792">
        <v>10000000</v>
      </c>
      <c r="F50" s="785" t="s">
        <v>1505</v>
      </c>
      <c r="G50" s="781"/>
      <c r="H50" s="781"/>
      <c r="I50" s="781"/>
      <c r="J50" s="781"/>
      <c r="K50" s="781"/>
      <c r="L50" s="781"/>
    </row>
    <row r="51" spans="2:24">
      <c r="D51" s="781"/>
      <c r="E51" s="781"/>
      <c r="F51" s="781"/>
      <c r="G51" s="781"/>
      <c r="H51" s="781"/>
      <c r="I51" s="781"/>
      <c r="J51" s="781"/>
      <c r="K51" s="781"/>
      <c r="L51" s="781"/>
    </row>
    <row r="52" spans="2:24"/>
    <row r="53" spans="2:24" s="773" customFormat="1" ht="15">
      <c r="B53" s="771" t="s">
        <v>1506</v>
      </c>
      <c r="C53" s="772" t="s">
        <v>1507</v>
      </c>
      <c r="O53" s="766"/>
      <c r="P53" s="766"/>
      <c r="Q53" s="766"/>
      <c r="R53" s="766"/>
      <c r="S53" s="766"/>
      <c r="T53" s="766"/>
      <c r="U53" s="766"/>
      <c r="V53" s="766"/>
      <c r="W53" s="766"/>
      <c r="X53" s="766"/>
    </row>
    <row r="54" spans="2:24"/>
    <row r="55" spans="2:24" ht="15.75">
      <c r="D55" s="794" t="s">
        <v>1508</v>
      </c>
    </row>
    <row r="56" spans="2:24"/>
    <row r="57" spans="2:24">
      <c r="E57" s="795" t="s">
        <v>1509</v>
      </c>
      <c r="F57" s="795" t="s">
        <v>146</v>
      </c>
      <c r="G57" s="795" t="s">
        <v>1510</v>
      </c>
      <c r="H57" s="795" t="s">
        <v>1511</v>
      </c>
      <c r="I57" s="795" t="s">
        <v>1512</v>
      </c>
      <c r="J57" s="795" t="s">
        <v>1513</v>
      </c>
    </row>
    <row r="58" spans="2:24">
      <c r="D58" s="795" t="s">
        <v>1478</v>
      </c>
      <c r="E58" s="796">
        <f>'EDC minus lijst ULL'!$I$3/2</f>
        <v>5.0000000000000001E-3</v>
      </c>
      <c r="F58" s="797">
        <f>$E$10</f>
        <v>5794.92</v>
      </c>
      <c r="G58" s="798">
        <f>$E$11</f>
        <v>963.15</v>
      </c>
      <c r="H58" s="798"/>
      <c r="I58" s="799">
        <f>$E$41</f>
        <v>50</v>
      </c>
      <c r="J58" s="800">
        <f>E58*(F58/(12*I58)+G58/12)</f>
        <v>0.44960350000000004</v>
      </c>
    </row>
    <row r="59" spans="2:24">
      <c r="D59" s="795" t="s">
        <v>1496</v>
      </c>
      <c r="E59" s="801">
        <v>1</v>
      </c>
      <c r="F59" s="797"/>
      <c r="G59" s="798">
        <f>$E$18</f>
        <v>3.06</v>
      </c>
      <c r="H59" s="798"/>
      <c r="I59" s="799"/>
      <c r="J59" s="800">
        <f>E59*G59/12</f>
        <v>0.255</v>
      </c>
    </row>
    <row r="60" spans="2:24">
      <c r="D60" s="795" t="s">
        <v>1514</v>
      </c>
      <c r="E60" s="801">
        <v>1</v>
      </c>
      <c r="F60" s="797"/>
      <c r="G60" s="798">
        <f>$E$19</f>
        <v>2.97</v>
      </c>
      <c r="H60" s="798"/>
      <c r="I60" s="799"/>
      <c r="J60" s="800">
        <f>E60*G60/12</f>
        <v>0.24750000000000003</v>
      </c>
    </row>
    <row r="61" spans="2:24">
      <c r="D61" s="795" t="s">
        <v>1515</v>
      </c>
      <c r="E61" s="802">
        <f>1/(600*$E$44)</f>
        <v>1.6666666666666668E-3</v>
      </c>
      <c r="F61" s="797">
        <f>$E$12</f>
        <v>5880.22</v>
      </c>
      <c r="G61" s="798"/>
      <c r="H61" s="798"/>
      <c r="I61" s="799">
        <f>$E$41</f>
        <v>50</v>
      </c>
      <c r="J61" s="800">
        <f>E61*(F61/(12*I61)+G61/12)</f>
        <v>1.6333944444444446E-2</v>
      </c>
    </row>
    <row r="62" spans="2:24">
      <c r="D62" s="795" t="s">
        <v>1481</v>
      </c>
      <c r="E62" s="802">
        <f>1/(1000*$E$45)</f>
        <v>1E-3</v>
      </c>
      <c r="F62" s="797">
        <f>$E$13</f>
        <v>2565.9299999999998</v>
      </c>
      <c r="G62" s="469"/>
      <c r="H62" s="469"/>
      <c r="I62" s="470">
        <f>$E$41</f>
        <v>50</v>
      </c>
      <c r="J62" s="800">
        <f>E62*(F62/(12*I62)+G62/12)</f>
        <v>4.2765499999999996E-3</v>
      </c>
    </row>
    <row r="63" spans="2:24">
      <c r="D63" s="795" t="s">
        <v>1482</v>
      </c>
      <c r="E63" s="802">
        <f>$E$47/$E$50</f>
        <v>1E-3</v>
      </c>
      <c r="F63" s="797">
        <f>$E$14</f>
        <v>2212.0300000000002</v>
      </c>
      <c r="G63" s="469"/>
      <c r="H63" s="469"/>
      <c r="I63" s="470">
        <f>$E$42</f>
        <v>50</v>
      </c>
      <c r="J63" s="800">
        <f>E63*(F63/(12*I63)+G63/12)</f>
        <v>3.6867166666666668E-3</v>
      </c>
    </row>
    <row r="64" spans="2:24">
      <c r="D64" s="795" t="s">
        <v>1483</v>
      </c>
      <c r="E64" s="802">
        <f t="shared" ref="E64:E65" si="0">$E$47/$E$50</f>
        <v>1E-3</v>
      </c>
      <c r="F64" s="797">
        <f>$E$15</f>
        <v>7427.13</v>
      </c>
      <c r="G64" s="469"/>
      <c r="H64" s="469"/>
      <c r="I64" s="470">
        <f>$E$42</f>
        <v>50</v>
      </c>
      <c r="J64" s="800">
        <f>E64*(F64/(12*I64)+G64/12)</f>
        <v>1.237855E-2</v>
      </c>
    </row>
    <row r="65" spans="4:11">
      <c r="D65" s="803" t="s">
        <v>1484</v>
      </c>
      <c r="E65" s="804">
        <f t="shared" si="0"/>
        <v>1E-3</v>
      </c>
      <c r="F65" s="797">
        <f>$E$16</f>
        <v>6583.11</v>
      </c>
      <c r="G65" s="471"/>
      <c r="H65" s="471"/>
      <c r="I65" s="470">
        <f>$E$42</f>
        <v>50</v>
      </c>
      <c r="J65" s="800">
        <f>E65*(F65/(12*I65)+G65/12)</f>
        <v>1.097185E-2</v>
      </c>
    </row>
    <row r="66" spans="4:11">
      <c r="D66" s="805"/>
      <c r="E66" s="806"/>
      <c r="F66" s="773"/>
      <c r="G66" s="773"/>
      <c r="H66" s="773"/>
      <c r="I66" s="773"/>
      <c r="J66" s="778"/>
    </row>
    <row r="67" spans="4:11" ht="15">
      <c r="D67" s="807" t="s">
        <v>479</v>
      </c>
      <c r="E67" s="808"/>
      <c r="F67" s="809"/>
      <c r="G67" s="810"/>
      <c r="H67" s="810"/>
      <c r="I67" s="811"/>
      <c r="J67" s="812">
        <f>SUM(J58:J66)</f>
        <v>0.99975111111111126</v>
      </c>
    </row>
    <row r="68" spans="4:11"/>
    <row r="69" spans="4:11"/>
    <row r="70" spans="4:11" ht="15.75">
      <c r="D70" s="794" t="s">
        <v>1516</v>
      </c>
    </row>
    <row r="71" spans="4:11"/>
    <row r="72" spans="4:11">
      <c r="E72" s="795" t="s">
        <v>1509</v>
      </c>
      <c r="F72" s="795" t="s">
        <v>146</v>
      </c>
      <c r="G72" s="795" t="s">
        <v>1510</v>
      </c>
      <c r="H72" s="795" t="s">
        <v>1511</v>
      </c>
      <c r="I72" s="795" t="s">
        <v>1512</v>
      </c>
      <c r="J72" s="795" t="s">
        <v>1513</v>
      </c>
    </row>
    <row r="73" spans="4:11">
      <c r="D73" s="795" t="s">
        <v>1478</v>
      </c>
      <c r="E73" s="796">
        <f>'EDC minus lijst ULL'!$I$6/2</f>
        <v>5.0000000000000001E-3</v>
      </c>
      <c r="F73" s="797">
        <f>$E$10</f>
        <v>5794.92</v>
      </c>
      <c r="G73" s="798">
        <f>$E$11</f>
        <v>963.15</v>
      </c>
      <c r="H73" s="798"/>
      <c r="I73" s="799">
        <f>$E$41</f>
        <v>50</v>
      </c>
      <c r="J73" s="800">
        <f>E73*(F73/(12*I73)+G73/12)</f>
        <v>0.44960350000000004</v>
      </c>
    </row>
    <row r="74" spans="4:11">
      <c r="D74" s="795" t="s">
        <v>1496</v>
      </c>
      <c r="E74" s="801">
        <v>1</v>
      </c>
      <c r="F74" s="797"/>
      <c r="G74" s="798">
        <f>$E$18</f>
        <v>3.06</v>
      </c>
      <c r="H74" s="798"/>
      <c r="I74" s="799"/>
      <c r="J74" s="800">
        <f>E74*G74/12</f>
        <v>0.255</v>
      </c>
      <c r="K74" s="472"/>
    </row>
    <row r="75" spans="4:11">
      <c r="D75" s="795" t="s">
        <v>1514</v>
      </c>
      <c r="E75" s="801">
        <v>1</v>
      </c>
      <c r="F75" s="797"/>
      <c r="G75" s="798">
        <f>$E$19</f>
        <v>2.97</v>
      </c>
      <c r="H75" s="798"/>
      <c r="I75" s="799"/>
      <c r="J75" s="800">
        <f>E75*G75/12</f>
        <v>0.24750000000000003</v>
      </c>
      <c r="K75" s="472"/>
    </row>
    <row r="76" spans="4:11">
      <c r="D76" s="795" t="s">
        <v>1515</v>
      </c>
      <c r="E76" s="802">
        <f>1/(600*$E$44)</f>
        <v>1.6666666666666668E-3</v>
      </c>
      <c r="F76" s="797">
        <f>$E$12</f>
        <v>5880.22</v>
      </c>
      <c r="G76" s="798"/>
      <c r="H76" s="798"/>
      <c r="I76" s="799">
        <f>$E$41</f>
        <v>50</v>
      </c>
      <c r="J76" s="800">
        <f>E76*(F76/(12*I76)+G76/12)</f>
        <v>1.6333944444444446E-2</v>
      </c>
    </row>
    <row r="77" spans="4:11">
      <c r="D77" s="795" t="s">
        <v>1481</v>
      </c>
      <c r="E77" s="802">
        <f>1/(1000*$E$45)</f>
        <v>1E-3</v>
      </c>
      <c r="F77" s="797">
        <f>$E$13</f>
        <v>2565.9299999999998</v>
      </c>
      <c r="G77" s="469"/>
      <c r="H77" s="469"/>
      <c r="I77" s="470">
        <f>$E$41</f>
        <v>50</v>
      </c>
      <c r="J77" s="800">
        <f>E77*(F77/(12*I77)+G77/12)</f>
        <v>4.2765499999999996E-3</v>
      </c>
    </row>
    <row r="78" spans="4:11">
      <c r="D78" s="795" t="s">
        <v>1482</v>
      </c>
      <c r="E78" s="802">
        <f>$E$47/$E$50</f>
        <v>1E-3</v>
      </c>
      <c r="F78" s="797">
        <f>$E$14</f>
        <v>2212.0300000000002</v>
      </c>
      <c r="G78" s="469"/>
      <c r="H78" s="469"/>
      <c r="I78" s="470">
        <f>$E$42</f>
        <v>50</v>
      </c>
      <c r="J78" s="800">
        <f>E78*(F78/(12*I78)+G78/12)</f>
        <v>3.6867166666666668E-3</v>
      </c>
    </row>
    <row r="79" spans="4:11">
      <c r="D79" s="795" t="s">
        <v>1483</v>
      </c>
      <c r="E79" s="802">
        <f t="shared" ref="E79:E80" si="1">$E$47/$E$50</f>
        <v>1E-3</v>
      </c>
      <c r="F79" s="797">
        <f>$E$15</f>
        <v>7427.13</v>
      </c>
      <c r="G79" s="469"/>
      <c r="H79" s="469"/>
      <c r="I79" s="470">
        <f>$E$42</f>
        <v>50</v>
      </c>
      <c r="J79" s="800">
        <f>E79*(F79/(12*I79)+G79/12)</f>
        <v>1.237855E-2</v>
      </c>
    </row>
    <row r="80" spans="4:11">
      <c r="D80" s="803" t="s">
        <v>1484</v>
      </c>
      <c r="E80" s="804">
        <f t="shared" si="1"/>
        <v>1E-3</v>
      </c>
      <c r="F80" s="797">
        <f>$E$16</f>
        <v>6583.11</v>
      </c>
      <c r="G80" s="471"/>
      <c r="H80" s="471"/>
      <c r="I80" s="470">
        <f>$E$42</f>
        <v>50</v>
      </c>
      <c r="J80" s="800">
        <f>E80*(F80/(12*I80)+G80/12)</f>
        <v>1.097185E-2</v>
      </c>
    </row>
    <row r="81" spans="4:10">
      <c r="D81" s="805"/>
      <c r="E81" s="806"/>
      <c r="F81" s="773"/>
      <c r="G81" s="773"/>
      <c r="H81" s="773"/>
      <c r="I81" s="773"/>
      <c r="J81" s="778"/>
    </row>
    <row r="82" spans="4:10" ht="15">
      <c r="D82" s="807" t="s">
        <v>479</v>
      </c>
      <c r="E82" s="808"/>
      <c r="F82" s="809"/>
      <c r="G82" s="810"/>
      <c r="H82" s="810"/>
      <c r="I82" s="811"/>
      <c r="J82" s="812">
        <f>SUM(J73:J81)</f>
        <v>0.99975111111111126</v>
      </c>
    </row>
    <row r="83" spans="4:10"/>
    <row r="84" spans="4:10"/>
    <row r="85" spans="4:10" ht="15.75">
      <c r="D85" s="794" t="s">
        <v>1517</v>
      </c>
    </row>
    <row r="86" spans="4:10" ht="15.75">
      <c r="D86" s="794"/>
    </row>
    <row r="87" spans="4:10">
      <c r="E87" s="795" t="s">
        <v>1509</v>
      </c>
      <c r="F87" s="795" t="s">
        <v>146</v>
      </c>
      <c r="G87" s="795" t="s">
        <v>1510</v>
      </c>
      <c r="H87" s="795" t="s">
        <v>1511</v>
      </c>
      <c r="I87" s="795" t="s">
        <v>1512</v>
      </c>
      <c r="J87" s="795" t="s">
        <v>1513</v>
      </c>
    </row>
    <row r="88" spans="4:10">
      <c r="D88" s="795" t="s">
        <v>1478</v>
      </c>
      <c r="E88" s="796">
        <f>'EDC minus lijst ULL'!$I$9/2</f>
        <v>5.0000000000000001E-3</v>
      </c>
      <c r="F88" s="797">
        <f>$E$10</f>
        <v>5794.92</v>
      </c>
      <c r="G88" s="798">
        <f>$E$11</f>
        <v>963.15</v>
      </c>
      <c r="H88" s="798"/>
      <c r="I88" s="799">
        <f>$E$41</f>
        <v>50</v>
      </c>
      <c r="J88" s="800">
        <f>E88*(F88/(12*I88)+G88/12)</f>
        <v>0.44960350000000004</v>
      </c>
    </row>
    <row r="89" spans="4:10">
      <c r="D89" s="795" t="s">
        <v>1496</v>
      </c>
      <c r="E89" s="801">
        <v>2</v>
      </c>
      <c r="F89" s="797"/>
      <c r="G89" s="798">
        <f>$E$18</f>
        <v>3.06</v>
      </c>
      <c r="H89" s="798"/>
      <c r="I89" s="799"/>
      <c r="J89" s="800">
        <f>E89*G89/12</f>
        <v>0.51</v>
      </c>
    </row>
    <row r="90" spans="4:10">
      <c r="D90" s="795" t="s">
        <v>1514</v>
      </c>
      <c r="E90" s="801">
        <v>2</v>
      </c>
      <c r="F90" s="797"/>
      <c r="G90" s="798">
        <f>$E$19</f>
        <v>2.97</v>
      </c>
      <c r="H90" s="798"/>
      <c r="I90" s="799"/>
      <c r="J90" s="800">
        <f>E90*G90/12</f>
        <v>0.49500000000000005</v>
      </c>
    </row>
    <row r="91" spans="4:10">
      <c r="D91" s="795" t="s">
        <v>1518</v>
      </c>
      <c r="E91" s="802">
        <f>2/(600*$E$44)</f>
        <v>3.3333333333333335E-3</v>
      </c>
      <c r="F91" s="797">
        <f>$E$12</f>
        <v>5880.22</v>
      </c>
      <c r="G91" s="798"/>
      <c r="H91" s="798"/>
      <c r="I91" s="799">
        <f>$E$41</f>
        <v>50</v>
      </c>
      <c r="J91" s="800">
        <f>E91*(F91/(12*I91)+G91/12)</f>
        <v>3.2667888888888892E-2</v>
      </c>
    </row>
    <row r="92" spans="4:10">
      <c r="D92" s="795" t="s">
        <v>1481</v>
      </c>
      <c r="E92" s="802">
        <f>2/(1000*$E$45)</f>
        <v>2E-3</v>
      </c>
      <c r="F92" s="797">
        <f>$E$13</f>
        <v>2565.9299999999998</v>
      </c>
      <c r="G92" s="469"/>
      <c r="H92" s="469"/>
      <c r="I92" s="470">
        <f>$E$41</f>
        <v>50</v>
      </c>
      <c r="J92" s="800">
        <f>E92*(F92/(12*I92)+G92/12)</f>
        <v>8.5530999999999992E-3</v>
      </c>
    </row>
    <row r="93" spans="4:10">
      <c r="D93" s="795" t="s">
        <v>1482</v>
      </c>
      <c r="E93" s="802">
        <f>$E$47/$E$50</f>
        <v>1E-3</v>
      </c>
      <c r="F93" s="797">
        <f>$E$14</f>
        <v>2212.0300000000002</v>
      </c>
      <c r="G93" s="469"/>
      <c r="H93" s="469"/>
      <c r="I93" s="470">
        <f>$E$42</f>
        <v>50</v>
      </c>
      <c r="J93" s="800">
        <f>E93*(F93/(12*I93)+G93/12)</f>
        <v>3.6867166666666668E-3</v>
      </c>
    </row>
    <row r="94" spans="4:10">
      <c r="D94" s="795" t="s">
        <v>1483</v>
      </c>
      <c r="E94" s="802">
        <f t="shared" ref="E94:E95" si="2">$E$47/$E$50</f>
        <v>1E-3</v>
      </c>
      <c r="F94" s="797">
        <f>$E$15</f>
        <v>7427.13</v>
      </c>
      <c r="G94" s="469"/>
      <c r="H94" s="469"/>
      <c r="I94" s="470">
        <f>$E$42</f>
        <v>50</v>
      </c>
      <c r="J94" s="800">
        <f>E94*(F94/(12*I94)+G94/12)</f>
        <v>1.237855E-2</v>
      </c>
    </row>
    <row r="95" spans="4:10">
      <c r="D95" s="795" t="s">
        <v>1484</v>
      </c>
      <c r="E95" s="802">
        <f t="shared" si="2"/>
        <v>1E-3</v>
      </c>
      <c r="F95" s="797">
        <f>$E$16</f>
        <v>6583.11</v>
      </c>
      <c r="G95" s="471"/>
      <c r="H95" s="471"/>
      <c r="I95" s="470">
        <f>$E$42</f>
        <v>50</v>
      </c>
      <c r="J95" s="800">
        <f>E95*(F95/(12*I95)+G95/12)</f>
        <v>1.097185E-2</v>
      </c>
    </row>
    <row r="96" spans="4:10">
      <c r="D96" s="805"/>
      <c r="E96" s="806"/>
      <c r="F96" s="773"/>
      <c r="G96" s="773"/>
      <c r="H96" s="773"/>
      <c r="I96" s="773"/>
      <c r="J96" s="778"/>
    </row>
    <row r="97" spans="4:10" ht="15">
      <c r="D97" s="777" t="s">
        <v>479</v>
      </c>
      <c r="E97" s="813"/>
      <c r="F97" s="772"/>
      <c r="G97" s="814"/>
      <c r="H97" s="814"/>
      <c r="I97" s="815"/>
      <c r="J97" s="816">
        <f>SUM(J88:J96)</f>
        <v>1.5228616055555559</v>
      </c>
    </row>
    <row r="98" spans="4:10">
      <c r="D98" s="776"/>
      <c r="E98" s="817"/>
    </row>
    <row r="99" spans="4:10"/>
    <row r="100" spans="4:10" ht="15.75">
      <c r="D100" s="794" t="s">
        <v>1519</v>
      </c>
    </row>
    <row r="101" spans="4:10"/>
    <row r="102" spans="4:10">
      <c r="E102" s="795" t="s">
        <v>1509</v>
      </c>
      <c r="F102" s="795" t="s">
        <v>146</v>
      </c>
      <c r="G102" s="795" t="s">
        <v>1510</v>
      </c>
      <c r="H102" s="795" t="s">
        <v>1511</v>
      </c>
      <c r="I102" s="795" t="s">
        <v>1512</v>
      </c>
      <c r="J102" s="795" t="s">
        <v>1513</v>
      </c>
    </row>
    <row r="103" spans="4:10">
      <c r="D103" s="795" t="s">
        <v>1478</v>
      </c>
      <c r="E103" s="818">
        <f>$E$34*$E$48/$E$49</f>
        <v>5.0000000000000002E-5</v>
      </c>
      <c r="F103" s="797">
        <f>$E$22</f>
        <v>5795.27</v>
      </c>
      <c r="G103" s="798">
        <f>$E$23</f>
        <v>963.15</v>
      </c>
      <c r="H103" s="798"/>
      <c r="I103" s="799">
        <f>$E$41</f>
        <v>50</v>
      </c>
      <c r="J103" s="819">
        <f>E103*(F103/(12*I103)+G103/12)</f>
        <v>4.4960641666666667E-3</v>
      </c>
    </row>
    <row r="104" spans="4:10">
      <c r="D104" s="795" t="s">
        <v>1482</v>
      </c>
      <c r="E104" s="818">
        <f>$E$35*$E$48/$E$49</f>
        <v>5.0000000000000002E-5</v>
      </c>
      <c r="F104" s="797">
        <f>$E$24</f>
        <v>2212.19</v>
      </c>
      <c r="G104" s="798"/>
      <c r="H104" s="798"/>
      <c r="I104" s="799">
        <f t="shared" ref="I104:I109" si="3">$E$42</f>
        <v>50</v>
      </c>
      <c r="J104" s="819">
        <f>E104*(F104/(12*I104)+G104/12)</f>
        <v>1.8434916666666668E-4</v>
      </c>
    </row>
    <row r="105" spans="4:10">
      <c r="D105" s="795" t="s">
        <v>1483</v>
      </c>
      <c r="E105" s="818">
        <f>$E$36*$E$48/$E$49</f>
        <v>5.0000000000000002E-5</v>
      </c>
      <c r="F105" s="797">
        <f>$E$25</f>
        <v>7426.79</v>
      </c>
      <c r="G105" s="798"/>
      <c r="H105" s="798"/>
      <c r="I105" s="799">
        <f t="shared" si="3"/>
        <v>50</v>
      </c>
      <c r="J105" s="819">
        <f>E105*(F105/(12*I105)+G105/12)</f>
        <v>6.188991666666667E-4</v>
      </c>
    </row>
    <row r="106" spans="4:10">
      <c r="D106" s="795" t="s">
        <v>1490</v>
      </c>
      <c r="E106" s="818">
        <f>$E$37*$E$48/$E$49</f>
        <v>1E-4</v>
      </c>
      <c r="F106" s="797">
        <f>$E$26</f>
        <v>4027.69</v>
      </c>
      <c r="G106" s="798"/>
      <c r="H106" s="798"/>
      <c r="I106" s="799">
        <f t="shared" si="3"/>
        <v>50</v>
      </c>
      <c r="J106" s="819">
        <f>E106*(F106/(12*I106)+G106/12)</f>
        <v>6.7128166666666667E-4</v>
      </c>
    </row>
    <row r="107" spans="4:10">
      <c r="D107" s="795" t="s">
        <v>1491</v>
      </c>
      <c r="E107" s="818">
        <f>$E$38*$E$48/$E$49</f>
        <v>5.0000000000000002E-5</v>
      </c>
      <c r="F107" s="797">
        <f>$E$27</f>
        <v>224</v>
      </c>
      <c r="G107" s="469">
        <f>$E$28*12</f>
        <v>398.76</v>
      </c>
      <c r="H107" s="469"/>
      <c r="I107" s="799">
        <f t="shared" si="3"/>
        <v>50</v>
      </c>
      <c r="J107" s="819">
        <f>E107*(F107/(12*I107)+G107/12)</f>
        <v>1.6801666666666666E-3</v>
      </c>
    </row>
    <row r="108" spans="4:10">
      <c r="D108" s="795" t="s">
        <v>1520</v>
      </c>
      <c r="E108" s="818">
        <f>$E$39*$E$48/$E$49</f>
        <v>1E-4</v>
      </c>
      <c r="F108" s="797"/>
      <c r="G108" s="469"/>
      <c r="H108" s="469">
        <f>$E$29</f>
        <v>0.13</v>
      </c>
      <c r="I108" s="470">
        <f t="shared" si="3"/>
        <v>50</v>
      </c>
      <c r="J108" s="819">
        <f>E108*H108</f>
        <v>1.3000000000000001E-5</v>
      </c>
    </row>
    <row r="109" spans="4:10">
      <c r="D109" s="795" t="s">
        <v>1521</v>
      </c>
      <c r="E109" s="818">
        <f>$E$39*$E$48/$E$49</f>
        <v>1E-4</v>
      </c>
      <c r="F109" s="797"/>
      <c r="G109" s="471"/>
      <c r="H109" s="471">
        <f>$E$30</f>
        <v>0.09</v>
      </c>
      <c r="I109" s="470">
        <f t="shared" si="3"/>
        <v>50</v>
      </c>
      <c r="J109" s="819">
        <f>E109*H109</f>
        <v>9.0000000000000002E-6</v>
      </c>
    </row>
    <row r="110" spans="4:10">
      <c r="D110" s="805"/>
      <c r="E110" s="806"/>
      <c r="F110" s="773"/>
      <c r="G110" s="773"/>
      <c r="H110" s="773"/>
      <c r="I110" s="773"/>
      <c r="J110" s="778"/>
    </row>
    <row r="111" spans="4:10" ht="15">
      <c r="D111" s="777" t="s">
        <v>479</v>
      </c>
      <c r="E111" s="813"/>
      <c r="F111" s="772"/>
      <c r="G111" s="814"/>
      <c r="H111" s="814"/>
      <c r="I111" s="815"/>
      <c r="J111" s="820">
        <f>SUM(J103:J110)</f>
        <v>7.6727608333333336E-3</v>
      </c>
    </row>
    <row r="112" spans="4:10"/>
    <row r="113" spans="4:10"/>
    <row r="114" spans="4:10" ht="15.75">
      <c r="D114" s="667" t="s">
        <v>1680</v>
      </c>
    </row>
    <row r="115" spans="4:10" ht="15.75">
      <c r="D115" s="794"/>
    </row>
    <row r="116" spans="4:10">
      <c r="D116" s="766" t="s">
        <v>1522</v>
      </c>
      <c r="E116" s="795" t="s">
        <v>1509</v>
      </c>
      <c r="F116" s="795" t="s">
        <v>146</v>
      </c>
      <c r="G116" s="795" t="s">
        <v>1510</v>
      </c>
      <c r="H116" s="795" t="s">
        <v>1511</v>
      </c>
      <c r="I116" s="795" t="s">
        <v>1512</v>
      </c>
      <c r="J116" s="795" t="s">
        <v>1513</v>
      </c>
    </row>
    <row r="117" spans="4:10" ht="15">
      <c r="D117" s="795" t="s">
        <v>1478</v>
      </c>
      <c r="E117" s="796">
        <f>AVERAGE('EDC minus lijst ULL'!$I$13:$I$18)/2</f>
        <v>5.0000000000000001E-3</v>
      </c>
      <c r="F117" s="797">
        <f>$E$10</f>
        <v>5794.92</v>
      </c>
      <c r="G117" s="798">
        <f>$E$11</f>
        <v>963.15</v>
      </c>
      <c r="H117" s="798"/>
      <c r="I117" s="799">
        <f>$E$41</f>
        <v>50</v>
      </c>
      <c r="J117" s="816">
        <f>E117*(F117/(12*I117)+G117/12)</f>
        <v>0.44960350000000004</v>
      </c>
    </row>
    <row r="118" spans="4:10"/>
    <row r="119" spans="4:10"/>
    <row r="120" spans="4:10" ht="15.75">
      <c r="D120" s="794" t="s">
        <v>1517</v>
      </c>
    </row>
    <row r="121" spans="4:10"/>
    <row r="122" spans="4:10">
      <c r="D122" s="766" t="s">
        <v>1523</v>
      </c>
      <c r="E122" s="795" t="s">
        <v>1509</v>
      </c>
      <c r="F122" s="795" t="s">
        <v>146</v>
      </c>
      <c r="G122" s="795" t="s">
        <v>1510</v>
      </c>
      <c r="H122" s="795" t="s">
        <v>1511</v>
      </c>
      <c r="I122" s="795" t="s">
        <v>1512</v>
      </c>
      <c r="J122" s="795" t="s">
        <v>1513</v>
      </c>
    </row>
    <row r="123" spans="4:10">
      <c r="D123" s="795" t="s">
        <v>1496</v>
      </c>
      <c r="E123" s="801">
        <v>1</v>
      </c>
      <c r="F123" s="797"/>
      <c r="G123" s="798">
        <f>$E$18</f>
        <v>3.06</v>
      </c>
      <c r="H123" s="798"/>
      <c r="I123" s="799"/>
      <c r="J123" s="800">
        <f>E123*G123/12</f>
        <v>0.255</v>
      </c>
    </row>
    <row r="124" spans="4:10">
      <c r="D124" s="795" t="s">
        <v>1514</v>
      </c>
      <c r="E124" s="801">
        <v>1</v>
      </c>
      <c r="F124" s="797"/>
      <c r="G124" s="798">
        <f>$E$19</f>
        <v>2.97</v>
      </c>
      <c r="H124" s="798"/>
      <c r="I124" s="799"/>
      <c r="J124" s="800">
        <f>E124*G124/12</f>
        <v>0.24750000000000003</v>
      </c>
    </row>
    <row r="125" spans="4:10">
      <c r="D125" s="795" t="s">
        <v>1515</v>
      </c>
      <c r="E125" s="802">
        <f>1/(600*$E$44)</f>
        <v>1.6666666666666668E-3</v>
      </c>
      <c r="F125" s="797">
        <f>$E$12</f>
        <v>5880.22</v>
      </c>
      <c r="G125" s="798"/>
      <c r="H125" s="798"/>
      <c r="I125" s="799">
        <f>$E$41</f>
        <v>50</v>
      </c>
      <c r="J125" s="800">
        <f>E125*(F125/(12*I125)+G125/12)</f>
        <v>1.6333944444444446E-2</v>
      </c>
    </row>
    <row r="126" spans="4:10">
      <c r="D126" s="795" t="s">
        <v>1481</v>
      </c>
      <c r="E126" s="802">
        <f>1/(1000*$E$45)</f>
        <v>1E-3</v>
      </c>
      <c r="F126" s="797">
        <f>$E$13</f>
        <v>2565.9299999999998</v>
      </c>
      <c r="G126" s="469"/>
      <c r="H126" s="469"/>
      <c r="I126" s="470">
        <f>$E$41</f>
        <v>50</v>
      </c>
      <c r="J126" s="800">
        <f>E126*(F126/(12*I126)+G126/12)</f>
        <v>4.2765499999999996E-3</v>
      </c>
    </row>
    <row r="127" spans="4:10">
      <c r="D127" s="795" t="s">
        <v>1482</v>
      </c>
      <c r="E127" s="802">
        <f>$E$47/$E$50</f>
        <v>1E-3</v>
      </c>
      <c r="F127" s="797">
        <f>$E$14</f>
        <v>2212.0300000000002</v>
      </c>
      <c r="G127" s="469"/>
      <c r="H127" s="469"/>
      <c r="I127" s="470">
        <f>$E$42</f>
        <v>50</v>
      </c>
      <c r="J127" s="800">
        <f>E127*(F127/(12*I127)+G127/12)</f>
        <v>3.6867166666666668E-3</v>
      </c>
    </row>
    <row r="128" spans="4:10">
      <c r="D128" s="795" t="s">
        <v>1483</v>
      </c>
      <c r="E128" s="802">
        <f t="shared" ref="E128:E129" si="4">$E$47/$E$50</f>
        <v>1E-3</v>
      </c>
      <c r="F128" s="797">
        <f>$E$15</f>
        <v>7427.13</v>
      </c>
      <c r="G128" s="469"/>
      <c r="H128" s="469"/>
      <c r="I128" s="470">
        <f>$E$42</f>
        <v>50</v>
      </c>
      <c r="J128" s="800">
        <f>E128*(F128/(12*I128)+G128/12)</f>
        <v>1.237855E-2</v>
      </c>
    </row>
    <row r="129" spans="4:10">
      <c r="D129" s="803" t="s">
        <v>1484</v>
      </c>
      <c r="E129" s="804">
        <f t="shared" si="4"/>
        <v>1E-3</v>
      </c>
      <c r="F129" s="797">
        <f>$E$16</f>
        <v>6583.11</v>
      </c>
      <c r="G129" s="471"/>
      <c r="H129" s="471"/>
      <c r="I129" s="470">
        <f>$E$42</f>
        <v>50</v>
      </c>
      <c r="J129" s="800">
        <f>E129*(F129/(12*I129)+G129/12)</f>
        <v>1.097185E-2</v>
      </c>
    </row>
    <row r="130" spans="4:10">
      <c r="D130" s="805"/>
      <c r="E130" s="806"/>
      <c r="F130" s="773"/>
      <c r="G130" s="773"/>
      <c r="H130" s="773"/>
      <c r="I130" s="773"/>
      <c r="J130" s="778"/>
    </row>
    <row r="131" spans="4:10" ht="15">
      <c r="D131" s="807" t="s">
        <v>479</v>
      </c>
      <c r="E131" s="808"/>
      <c r="F131" s="809"/>
      <c r="G131" s="810"/>
      <c r="H131" s="810"/>
      <c r="I131" s="811"/>
      <c r="J131" s="812">
        <f>SUM(J122:J130)</f>
        <v>0.55014761111111121</v>
      </c>
    </row>
    <row r="132" spans="4:10"/>
    <row r="133" spans="4:10"/>
    <row r="134" spans="4:10" ht="15.75">
      <c r="D134" s="794" t="s">
        <v>1524</v>
      </c>
    </row>
    <row r="135" spans="4:10" ht="15.75">
      <c r="D135" s="794"/>
    </row>
    <row r="136" spans="4:10">
      <c r="E136" s="795" t="s">
        <v>1509</v>
      </c>
      <c r="F136" s="795" t="s">
        <v>146</v>
      </c>
      <c r="G136" s="795" t="s">
        <v>1510</v>
      </c>
      <c r="H136" s="795" t="s">
        <v>1511</v>
      </c>
      <c r="I136" s="795" t="s">
        <v>1512</v>
      </c>
      <c r="J136" s="795" t="s">
        <v>1513</v>
      </c>
    </row>
    <row r="137" spans="4:10">
      <c r="D137" s="795" t="s">
        <v>1478</v>
      </c>
      <c r="E137" s="796">
        <f>'EDC minus lijst ULL'!$I$60</f>
        <v>0</v>
      </c>
      <c r="F137" s="797">
        <f>$E$10</f>
        <v>5794.92</v>
      </c>
      <c r="G137" s="798">
        <f>$E$11</f>
        <v>963.15</v>
      </c>
      <c r="H137" s="798"/>
      <c r="I137" s="799">
        <f>$E$41</f>
        <v>50</v>
      </c>
      <c r="J137" s="800">
        <f>E137*(F137/(12*I137)+G137/12)</f>
        <v>0</v>
      </c>
    </row>
    <row r="138" spans="4:10">
      <c r="D138" s="795" t="s">
        <v>1496</v>
      </c>
      <c r="E138" s="801">
        <v>2</v>
      </c>
      <c r="F138" s="797"/>
      <c r="G138" s="798">
        <f>$E$18</f>
        <v>3.06</v>
      </c>
      <c r="H138" s="798"/>
      <c r="I138" s="799"/>
      <c r="J138" s="800">
        <f>E138*G138/12</f>
        <v>0.51</v>
      </c>
    </row>
    <row r="139" spans="4:10">
      <c r="D139" s="795" t="s">
        <v>1514</v>
      </c>
      <c r="E139" s="801">
        <v>2</v>
      </c>
      <c r="F139" s="797"/>
      <c r="G139" s="798">
        <f>$E$19</f>
        <v>2.97</v>
      </c>
      <c r="H139" s="798"/>
      <c r="I139" s="799"/>
      <c r="J139" s="800">
        <f>E139*G139/12</f>
        <v>0.49500000000000005</v>
      </c>
    </row>
    <row r="140" spans="4:10">
      <c r="D140" s="795" t="s">
        <v>1518</v>
      </c>
      <c r="E140" s="802">
        <f>2/(600*$E$44)</f>
        <v>3.3333333333333335E-3</v>
      </c>
      <c r="F140" s="797">
        <f>$E$12</f>
        <v>5880.22</v>
      </c>
      <c r="G140" s="798"/>
      <c r="H140" s="798"/>
      <c r="I140" s="799">
        <f>$E$41</f>
        <v>50</v>
      </c>
      <c r="J140" s="800">
        <f>E140*(F140/(12*I140)+G140/12)</f>
        <v>3.2667888888888892E-2</v>
      </c>
    </row>
    <row r="141" spans="4:10">
      <c r="D141" s="795" t="s">
        <v>1481</v>
      </c>
      <c r="E141" s="802">
        <f>2/(1000*$E$45)</f>
        <v>2E-3</v>
      </c>
      <c r="F141" s="797">
        <f>$E$13</f>
        <v>2565.9299999999998</v>
      </c>
      <c r="G141" s="469"/>
      <c r="H141" s="469"/>
      <c r="I141" s="470">
        <f>$E$41</f>
        <v>50</v>
      </c>
      <c r="J141" s="800">
        <f>E141*(F141/(12*I141)+G141/12)</f>
        <v>8.5530999999999992E-3</v>
      </c>
    </row>
    <row r="142" spans="4:10">
      <c r="D142" s="795" t="s">
        <v>1482</v>
      </c>
      <c r="E142" s="802">
        <f>$E$47/$E$50</f>
        <v>1E-3</v>
      </c>
      <c r="F142" s="797">
        <f>$E$14</f>
        <v>2212.0300000000002</v>
      </c>
      <c r="G142" s="469"/>
      <c r="H142" s="469"/>
      <c r="I142" s="470">
        <f>$E$42</f>
        <v>50</v>
      </c>
      <c r="J142" s="800">
        <f>E142*(F142/(12*I142)+G142/12)</f>
        <v>3.6867166666666668E-3</v>
      </c>
    </row>
    <row r="143" spans="4:10">
      <c r="D143" s="795" t="s">
        <v>1483</v>
      </c>
      <c r="E143" s="802">
        <f t="shared" ref="E143:E144" si="5">$E$47/$E$50</f>
        <v>1E-3</v>
      </c>
      <c r="F143" s="797">
        <f>$E$15</f>
        <v>7427.13</v>
      </c>
      <c r="G143" s="469"/>
      <c r="H143" s="469"/>
      <c r="I143" s="470">
        <f>$E$42</f>
        <v>50</v>
      </c>
      <c r="J143" s="800">
        <f>E143*(F143/(12*I143)+G143/12)</f>
        <v>1.237855E-2</v>
      </c>
    </row>
    <row r="144" spans="4:10">
      <c r="D144" s="795" t="s">
        <v>1484</v>
      </c>
      <c r="E144" s="802">
        <f t="shared" si="5"/>
        <v>1E-3</v>
      </c>
      <c r="F144" s="797">
        <f>$E$16</f>
        <v>6583.11</v>
      </c>
      <c r="G144" s="471"/>
      <c r="H144" s="471"/>
      <c r="I144" s="470">
        <f>$E$42</f>
        <v>50</v>
      </c>
      <c r="J144" s="800">
        <f>E144*(F144/(12*I144)+G144/12)</f>
        <v>1.097185E-2</v>
      </c>
    </row>
    <row r="145" spans="4:11">
      <c r="D145" s="805"/>
      <c r="E145" s="806"/>
      <c r="F145" s="773"/>
      <c r="G145" s="773"/>
      <c r="H145" s="773"/>
      <c r="I145" s="773"/>
      <c r="J145" s="778"/>
    </row>
    <row r="146" spans="4:11" ht="15">
      <c r="D146" s="777" t="s">
        <v>479</v>
      </c>
      <c r="E146" s="813"/>
      <c r="F146" s="772"/>
      <c r="G146" s="814"/>
      <c r="H146" s="814"/>
      <c r="I146" s="815"/>
      <c r="J146" s="816">
        <f>SUM(J137:J145)</f>
        <v>1.0732581055555559</v>
      </c>
    </row>
    <row r="147" spans="4:11">
      <c r="D147" s="776"/>
      <c r="E147" s="817"/>
    </row>
    <row r="148" spans="4:11"/>
    <row r="149" spans="4:11" ht="15.75">
      <c r="D149" s="794" t="s">
        <v>1525</v>
      </c>
    </row>
    <row r="150" spans="4:11"/>
    <row r="151" spans="4:11">
      <c r="E151" s="795" t="s">
        <v>1509</v>
      </c>
      <c r="F151" s="795" t="s">
        <v>146</v>
      </c>
      <c r="G151" s="795" t="s">
        <v>1510</v>
      </c>
      <c r="H151" s="795" t="s">
        <v>1511</v>
      </c>
      <c r="I151" s="795" t="s">
        <v>1512</v>
      </c>
      <c r="J151" s="795" t="s">
        <v>1513</v>
      </c>
    </row>
    <row r="152" spans="4:11">
      <c r="D152" s="795" t="s">
        <v>1478</v>
      </c>
      <c r="E152" s="796">
        <f>'EDC minus lijst ULL'!$I$36/2</f>
        <v>5.0000000000000001E-3</v>
      </c>
      <c r="F152" s="797">
        <f>$E$10</f>
        <v>5794.92</v>
      </c>
      <c r="G152" s="798">
        <f>$E$11</f>
        <v>963.15</v>
      </c>
      <c r="H152" s="798"/>
      <c r="I152" s="799">
        <f>$E$41</f>
        <v>50</v>
      </c>
      <c r="J152" s="800">
        <f>E152*(F152/(12*I152)+G152/12)</f>
        <v>0.44960350000000004</v>
      </c>
    </row>
    <row r="153" spans="4:11">
      <c r="D153" s="795" t="s">
        <v>1496</v>
      </c>
      <c r="E153" s="801">
        <v>1</v>
      </c>
      <c r="F153" s="797"/>
      <c r="G153" s="798">
        <f>$E$18</f>
        <v>3.06</v>
      </c>
      <c r="H153" s="798"/>
      <c r="I153" s="799"/>
      <c r="J153" s="800">
        <f>E153*G153/12</f>
        <v>0.255</v>
      </c>
      <c r="K153" s="472"/>
    </row>
    <row r="154" spans="4:11">
      <c r="D154" s="795" t="s">
        <v>1514</v>
      </c>
      <c r="E154" s="801">
        <v>1</v>
      </c>
      <c r="F154" s="797"/>
      <c r="G154" s="798">
        <f>$E$19</f>
        <v>2.97</v>
      </c>
      <c r="H154" s="798"/>
      <c r="I154" s="799"/>
      <c r="J154" s="800">
        <f>E154*G154/12</f>
        <v>0.24750000000000003</v>
      </c>
      <c r="K154" s="472"/>
    </row>
    <row r="155" spans="4:11">
      <c r="D155" s="795" t="s">
        <v>1515</v>
      </c>
      <c r="E155" s="802">
        <f>1/(600*$E$44)</f>
        <v>1.6666666666666668E-3</v>
      </c>
      <c r="F155" s="797">
        <f>$E$12</f>
        <v>5880.22</v>
      </c>
      <c r="G155" s="798"/>
      <c r="H155" s="798"/>
      <c r="I155" s="799">
        <f>$E$41</f>
        <v>50</v>
      </c>
      <c r="J155" s="800">
        <f>E155*(F155/(12*I155)+G155/12)</f>
        <v>1.6333944444444446E-2</v>
      </c>
    </row>
    <row r="156" spans="4:11">
      <c r="D156" s="795" t="s">
        <v>1481</v>
      </c>
      <c r="E156" s="802">
        <f>1/(1000*$E$45)</f>
        <v>1E-3</v>
      </c>
      <c r="F156" s="797">
        <f>$E$13</f>
        <v>2565.9299999999998</v>
      </c>
      <c r="G156" s="469"/>
      <c r="H156" s="469"/>
      <c r="I156" s="470">
        <f>$E$41</f>
        <v>50</v>
      </c>
      <c r="J156" s="800">
        <f>E156*(F156/(12*I156)+G156/12)</f>
        <v>4.2765499999999996E-3</v>
      </c>
    </row>
    <row r="157" spans="4:11">
      <c r="D157" s="795" t="s">
        <v>1482</v>
      </c>
      <c r="E157" s="802">
        <f>$E$47/$E$50</f>
        <v>1E-3</v>
      </c>
      <c r="F157" s="797">
        <f>$E$14</f>
        <v>2212.0300000000002</v>
      </c>
      <c r="G157" s="469"/>
      <c r="H157" s="469"/>
      <c r="I157" s="470">
        <f>$E$42</f>
        <v>50</v>
      </c>
      <c r="J157" s="800">
        <f>E157*(F157/(12*I157)+G157/12)</f>
        <v>3.6867166666666668E-3</v>
      </c>
    </row>
    <row r="158" spans="4:11">
      <c r="D158" s="795" t="s">
        <v>1483</v>
      </c>
      <c r="E158" s="802">
        <f t="shared" ref="E158:E159" si="6">$E$47/$E$50</f>
        <v>1E-3</v>
      </c>
      <c r="F158" s="797">
        <f>$E$15</f>
        <v>7427.13</v>
      </c>
      <c r="G158" s="469"/>
      <c r="H158" s="469"/>
      <c r="I158" s="470">
        <f>$E$42</f>
        <v>50</v>
      </c>
      <c r="J158" s="800">
        <f>E158*(F158/(12*I158)+G158/12)</f>
        <v>1.237855E-2</v>
      </c>
    </row>
    <row r="159" spans="4:11">
      <c r="D159" s="803" t="s">
        <v>1484</v>
      </c>
      <c r="E159" s="804">
        <f t="shared" si="6"/>
        <v>1E-3</v>
      </c>
      <c r="F159" s="797">
        <f>$E$16</f>
        <v>6583.11</v>
      </c>
      <c r="G159" s="471"/>
      <c r="H159" s="471"/>
      <c r="I159" s="470">
        <f>$E$42</f>
        <v>50</v>
      </c>
      <c r="J159" s="800">
        <f>E159*(F159/(12*I159)+G159/12)</f>
        <v>1.097185E-2</v>
      </c>
    </row>
    <row r="160" spans="4:11">
      <c r="D160" s="805"/>
      <c r="E160" s="806"/>
      <c r="F160" s="773"/>
      <c r="G160" s="773"/>
      <c r="H160" s="773"/>
      <c r="I160" s="773"/>
      <c r="J160" s="778"/>
    </row>
    <row r="161" spans="4:10" ht="15">
      <c r="D161" s="807" t="s">
        <v>479</v>
      </c>
      <c r="E161" s="808"/>
      <c r="F161" s="809"/>
      <c r="G161" s="810"/>
      <c r="H161" s="810"/>
      <c r="I161" s="811"/>
      <c r="J161" s="812">
        <f>SUM(J152:J160)</f>
        <v>0.99975111111111126</v>
      </c>
    </row>
    <row r="162" spans="4:10"/>
    <row r="163" spans="4:10"/>
    <row r="164" spans="4:10" ht="15.75">
      <c r="D164" s="794" t="s">
        <v>1526</v>
      </c>
    </row>
    <row r="165" spans="4:10"/>
    <row r="166" spans="4:10">
      <c r="E166" s="795" t="s">
        <v>1509</v>
      </c>
      <c r="F166" s="795" t="s">
        <v>146</v>
      </c>
      <c r="G166" s="795" t="s">
        <v>1510</v>
      </c>
      <c r="H166" s="795" t="s">
        <v>1511</v>
      </c>
      <c r="I166" s="795" t="s">
        <v>1512</v>
      </c>
      <c r="J166" s="795" t="s">
        <v>1513</v>
      </c>
    </row>
    <row r="167" spans="4:10">
      <c r="D167" s="795" t="s">
        <v>1478</v>
      </c>
      <c r="E167" s="796">
        <f>'EDC minus lijst ULL'!$I$34/2</f>
        <v>5.0000000000000001E-3</v>
      </c>
      <c r="F167" s="797">
        <f>$E$10</f>
        <v>5794.92</v>
      </c>
      <c r="G167" s="798">
        <f>$E$11</f>
        <v>963.15</v>
      </c>
      <c r="H167" s="798"/>
      <c r="I167" s="799">
        <f>$E$41</f>
        <v>50</v>
      </c>
      <c r="J167" s="800">
        <f>E167*(F167/(12*I167)+G167/12)</f>
        <v>0.44960350000000004</v>
      </c>
    </row>
    <row r="168" spans="4:10">
      <c r="D168" s="795" t="s">
        <v>1496</v>
      </c>
      <c r="E168" s="801">
        <v>1</v>
      </c>
      <c r="F168" s="797"/>
      <c r="G168" s="798">
        <f>$E$18</f>
        <v>3.06</v>
      </c>
      <c r="H168" s="798"/>
      <c r="I168" s="799"/>
      <c r="J168" s="800">
        <f>E168*G168/12</f>
        <v>0.255</v>
      </c>
    </row>
    <row r="169" spans="4:10">
      <c r="D169" s="795" t="s">
        <v>1514</v>
      </c>
      <c r="E169" s="801">
        <v>1</v>
      </c>
      <c r="F169" s="797"/>
      <c r="G169" s="798">
        <f>$E$19</f>
        <v>2.97</v>
      </c>
      <c r="H169" s="798"/>
      <c r="I169" s="799"/>
      <c r="J169" s="800">
        <f>E169*G169/12</f>
        <v>0.24750000000000003</v>
      </c>
    </row>
    <row r="170" spans="4:10">
      <c r="D170" s="795" t="s">
        <v>1515</v>
      </c>
      <c r="E170" s="802">
        <f>1/(600*$E$44)</f>
        <v>1.6666666666666668E-3</v>
      </c>
      <c r="F170" s="797">
        <f>$E$12</f>
        <v>5880.22</v>
      </c>
      <c r="G170" s="798"/>
      <c r="H170" s="798"/>
      <c r="I170" s="799">
        <f>$E$41</f>
        <v>50</v>
      </c>
      <c r="J170" s="800">
        <f>E170*(F170/(12*I170)+G170/12)</f>
        <v>1.6333944444444446E-2</v>
      </c>
    </row>
    <row r="171" spans="4:10">
      <c r="D171" s="795" t="s">
        <v>1481</v>
      </c>
      <c r="E171" s="802">
        <f>1/(1000*$E$45)</f>
        <v>1E-3</v>
      </c>
      <c r="F171" s="797">
        <f>$E$13</f>
        <v>2565.9299999999998</v>
      </c>
      <c r="G171" s="469"/>
      <c r="H171" s="469"/>
      <c r="I171" s="470">
        <f>$E$41</f>
        <v>50</v>
      </c>
      <c r="J171" s="800">
        <f>E171*(F171/(12*I171)+G171/12)</f>
        <v>4.2765499999999996E-3</v>
      </c>
    </row>
    <row r="172" spans="4:10">
      <c r="D172" s="795" t="s">
        <v>1482</v>
      </c>
      <c r="E172" s="802">
        <f>$E$47/$E$50</f>
        <v>1E-3</v>
      </c>
      <c r="F172" s="797">
        <f>$E$14</f>
        <v>2212.0300000000002</v>
      </c>
      <c r="G172" s="469"/>
      <c r="H172" s="469"/>
      <c r="I172" s="470">
        <f>$E$42</f>
        <v>50</v>
      </c>
      <c r="J172" s="800">
        <f>E172*(F172/(12*I172)+G172/12)</f>
        <v>3.6867166666666668E-3</v>
      </c>
    </row>
    <row r="173" spans="4:10">
      <c r="D173" s="795" t="s">
        <v>1483</v>
      </c>
      <c r="E173" s="802">
        <f t="shared" ref="E173:E174" si="7">$E$47/$E$50</f>
        <v>1E-3</v>
      </c>
      <c r="F173" s="797">
        <f>$E$15</f>
        <v>7427.13</v>
      </c>
      <c r="G173" s="469"/>
      <c r="H173" s="469"/>
      <c r="I173" s="470">
        <f>$E$42</f>
        <v>50</v>
      </c>
      <c r="J173" s="800">
        <f>E173*(F173/(12*I173)+G173/12)</f>
        <v>1.237855E-2</v>
      </c>
    </row>
    <row r="174" spans="4:10">
      <c r="D174" s="803" t="s">
        <v>1484</v>
      </c>
      <c r="E174" s="804">
        <f t="shared" si="7"/>
        <v>1E-3</v>
      </c>
      <c r="F174" s="797">
        <f>$E$16</f>
        <v>6583.11</v>
      </c>
      <c r="G174" s="471"/>
      <c r="H174" s="471"/>
      <c r="I174" s="470">
        <f>$E$42</f>
        <v>50</v>
      </c>
      <c r="J174" s="800">
        <f>E174*(F174/(12*I174)+G174/12)</f>
        <v>1.097185E-2</v>
      </c>
    </row>
    <row r="175" spans="4:10">
      <c r="D175" s="805"/>
      <c r="E175" s="806"/>
      <c r="F175" s="773"/>
      <c r="G175" s="773"/>
      <c r="H175" s="773"/>
      <c r="I175" s="773"/>
      <c r="J175" s="778"/>
    </row>
    <row r="176" spans="4:10" ht="15">
      <c r="D176" s="807" t="s">
        <v>479</v>
      </c>
      <c r="E176" s="808"/>
      <c r="F176" s="809"/>
      <c r="G176" s="810"/>
      <c r="H176" s="810"/>
      <c r="I176" s="811"/>
      <c r="J176" s="812">
        <f>SUM(J167:J175)</f>
        <v>0.99975111111111126</v>
      </c>
    </row>
    <row r="177" spans="4:10"/>
    <row r="178" spans="4:10"/>
    <row r="179" spans="4:10"/>
    <row r="180" spans="4:10" ht="15.75">
      <c r="D180" s="794" t="s">
        <v>1527</v>
      </c>
    </row>
    <row r="181" spans="4:10"/>
    <row r="182" spans="4:10">
      <c r="E182" s="795" t="s">
        <v>1509</v>
      </c>
      <c r="F182" s="795" t="s">
        <v>146</v>
      </c>
      <c r="G182" s="795" t="s">
        <v>1510</v>
      </c>
      <c r="H182" s="795" t="s">
        <v>1511</v>
      </c>
      <c r="I182" s="795" t="s">
        <v>1512</v>
      </c>
      <c r="J182" s="795" t="s">
        <v>1513</v>
      </c>
    </row>
    <row r="183" spans="4:10">
      <c r="D183" s="795" t="s">
        <v>1478</v>
      </c>
      <c r="E183" s="796">
        <f>'EDC minus lijst ULL'!$I$35/2</f>
        <v>5.0000000000000001E-3</v>
      </c>
      <c r="F183" s="797">
        <f>$E$10</f>
        <v>5794.92</v>
      </c>
      <c r="G183" s="798">
        <f>$E$11</f>
        <v>963.15</v>
      </c>
      <c r="H183" s="798"/>
      <c r="I183" s="799">
        <f>$E$41</f>
        <v>50</v>
      </c>
      <c r="J183" s="800">
        <f>E183*(F183/(12*I183)+G183/12)</f>
        <v>0.44960350000000004</v>
      </c>
    </row>
    <row r="184" spans="4:10">
      <c r="D184" s="795" t="s">
        <v>1496</v>
      </c>
      <c r="E184" s="801">
        <v>2</v>
      </c>
      <c r="F184" s="797"/>
      <c r="G184" s="798">
        <f>$E$18</f>
        <v>3.06</v>
      </c>
      <c r="H184" s="798"/>
      <c r="I184" s="799"/>
      <c r="J184" s="800">
        <f>E184*G184/12</f>
        <v>0.51</v>
      </c>
    </row>
    <row r="185" spans="4:10">
      <c r="D185" s="795" t="s">
        <v>1514</v>
      </c>
      <c r="E185" s="801">
        <v>2</v>
      </c>
      <c r="F185" s="797"/>
      <c r="G185" s="798">
        <f>$E$19</f>
        <v>2.97</v>
      </c>
      <c r="H185" s="798"/>
      <c r="I185" s="799"/>
      <c r="J185" s="800">
        <f>E185*G185/12</f>
        <v>0.49500000000000005</v>
      </c>
    </row>
    <row r="186" spans="4:10">
      <c r="D186" s="795" t="s">
        <v>1515</v>
      </c>
      <c r="E186" s="802">
        <f>2/(600*$E$44)</f>
        <v>3.3333333333333335E-3</v>
      </c>
      <c r="F186" s="797">
        <f>$E$12</f>
        <v>5880.22</v>
      </c>
      <c r="G186" s="798"/>
      <c r="H186" s="798"/>
      <c r="I186" s="799">
        <f>$E$41</f>
        <v>50</v>
      </c>
      <c r="J186" s="800">
        <f>E186*(F186/(12*I186)+G186/12)</f>
        <v>3.2667888888888892E-2</v>
      </c>
    </row>
    <row r="187" spans="4:10">
      <c r="D187" s="795" t="s">
        <v>1481</v>
      </c>
      <c r="E187" s="802">
        <f>2/(1000*$E$45)</f>
        <v>2E-3</v>
      </c>
      <c r="F187" s="797">
        <f>$E$13</f>
        <v>2565.9299999999998</v>
      </c>
      <c r="G187" s="469"/>
      <c r="H187" s="469"/>
      <c r="I187" s="470">
        <f>$E$41</f>
        <v>50</v>
      </c>
      <c r="J187" s="800">
        <f>E187*(F187/(12*I187)+G187/12)</f>
        <v>8.5530999999999992E-3</v>
      </c>
    </row>
    <row r="188" spans="4:10">
      <c r="D188" s="795" t="s">
        <v>1482</v>
      </c>
      <c r="E188" s="802">
        <f>$E$47/$E$50</f>
        <v>1E-3</v>
      </c>
      <c r="F188" s="797">
        <f>$E$14</f>
        <v>2212.0300000000002</v>
      </c>
      <c r="G188" s="469"/>
      <c r="H188" s="469"/>
      <c r="I188" s="470">
        <f>$E$42</f>
        <v>50</v>
      </c>
      <c r="J188" s="800">
        <f>E188*(F188/(12*I188)+G188/12)</f>
        <v>3.6867166666666668E-3</v>
      </c>
    </row>
    <row r="189" spans="4:10">
      <c r="D189" s="795" t="s">
        <v>1483</v>
      </c>
      <c r="E189" s="802">
        <f t="shared" ref="E189:E190" si="8">$E$47/$E$50</f>
        <v>1E-3</v>
      </c>
      <c r="F189" s="797">
        <f>$E$15</f>
        <v>7427.13</v>
      </c>
      <c r="G189" s="469"/>
      <c r="H189" s="469"/>
      <c r="I189" s="470">
        <f>$E$42</f>
        <v>50</v>
      </c>
      <c r="J189" s="800">
        <f>E189*(F189/(12*I189)+G189/12)</f>
        <v>1.237855E-2</v>
      </c>
    </row>
    <row r="190" spans="4:10">
      <c r="D190" s="803" t="s">
        <v>1484</v>
      </c>
      <c r="E190" s="804">
        <f t="shared" si="8"/>
        <v>1E-3</v>
      </c>
      <c r="F190" s="797">
        <f>$E$16</f>
        <v>6583.11</v>
      </c>
      <c r="G190" s="471"/>
      <c r="H190" s="471"/>
      <c r="I190" s="470">
        <f>$E$42</f>
        <v>50</v>
      </c>
      <c r="J190" s="800">
        <f>E190*(F190/(12*I190)+G190/12)</f>
        <v>1.097185E-2</v>
      </c>
    </row>
    <row r="191" spans="4:10">
      <c r="D191" s="805"/>
      <c r="E191" s="806"/>
      <c r="F191" s="773"/>
      <c r="G191" s="773"/>
      <c r="H191" s="773"/>
      <c r="I191" s="773"/>
      <c r="J191" s="778"/>
    </row>
    <row r="192" spans="4:10" ht="15">
      <c r="D192" s="807" t="s">
        <v>479</v>
      </c>
      <c r="E192" s="808"/>
      <c r="F192" s="809"/>
      <c r="G192" s="810"/>
      <c r="H192" s="810"/>
      <c r="I192" s="811"/>
      <c r="J192" s="812">
        <f>SUM(J183:J191)</f>
        <v>1.5228616055555559</v>
      </c>
    </row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J85"/>
  <sheetViews>
    <sheetView topLeftCell="A4" workbookViewId="0">
      <selection activeCell="B8" sqref="B8"/>
    </sheetView>
  </sheetViews>
  <sheetFormatPr defaultColWidth="9.140625" defaultRowHeight="12.75"/>
  <cols>
    <col min="1" max="2" width="2.85546875" style="235" customWidth="1"/>
    <col min="3" max="3" width="59.85546875" style="235" customWidth="1"/>
    <col min="4" max="4" width="18.42578125" style="235" customWidth="1"/>
    <col min="5" max="5" width="15.28515625" style="235" customWidth="1"/>
    <col min="6" max="6" width="14.85546875" style="235" customWidth="1"/>
    <col min="7" max="7" width="20.85546875" style="235" customWidth="1"/>
    <col min="8" max="8" width="9.140625" style="235" customWidth="1"/>
    <col min="9" max="9" width="14.140625" style="235" customWidth="1"/>
    <col min="10" max="10" width="11.85546875" style="235" customWidth="1"/>
    <col min="11" max="20" width="9.140625" style="235" customWidth="1"/>
    <col min="21" max="16384" width="9.140625" style="235"/>
  </cols>
  <sheetData>
    <row r="1" spans="2:10" s="473" customFormat="1">
      <c r="E1" s="474"/>
    </row>
    <row r="2" spans="2:10" s="473" customFormat="1">
      <c r="C2" s="475" t="str">
        <f ca="1">UPPER(MID(CELL("filename",A1),FIND("[",CELL("filename",A1))+1,FIND("]",CELL("filename",A1))-FIND("[",CELL("filename",A1))-5))</f>
        <v>LPM MB15 - EPACITY DSL 20170201 OPENBAAR.</v>
      </c>
      <c r="E2" s="475"/>
    </row>
    <row r="3" spans="2:10" s="473" customFormat="1">
      <c r="C3" s="473" t="str">
        <f ca="1">UPPER(MID(CELL("filename",A2),FIND("]",CELL("filename",A2))+1,LEN(CELL("filename",A2))))</f>
        <v>INKOOP TARIEF ELEMENTEN</v>
      </c>
      <c r="E3" s="474"/>
    </row>
    <row r="4" spans="2:10" s="476" customFormat="1">
      <c r="E4" s="477"/>
    </row>
    <row r="7" spans="2:10" s="480" customFormat="1">
      <c r="B7" s="478" t="s">
        <v>1751</v>
      </c>
      <c r="C7" s="478"/>
      <c r="D7" s="479"/>
    </row>
    <row r="8" spans="2:10" s="481" customFormat="1" ht="15">
      <c r="C8" s="482"/>
      <c r="D8" s="483"/>
      <c r="E8" s="484"/>
      <c r="F8" s="248"/>
    </row>
    <row r="9" spans="2:10" s="481" customFormat="1">
      <c r="C9" s="241" t="s">
        <v>163</v>
      </c>
      <c r="D9" s="485" t="s">
        <v>127</v>
      </c>
      <c r="E9" s="485" t="s">
        <v>224</v>
      </c>
      <c r="F9" s="485" t="s">
        <v>222</v>
      </c>
    </row>
    <row r="10" spans="2:10" s="481" customFormat="1">
      <c r="C10" s="486" t="s">
        <v>428</v>
      </c>
      <c r="D10" s="935">
        <v>14.63</v>
      </c>
      <c r="E10" s="935">
        <v>12.85</v>
      </c>
      <c r="F10" s="230"/>
      <c r="H10" s="487"/>
      <c r="I10" s="487"/>
      <c r="J10" s="487"/>
    </row>
    <row r="11" spans="2:10" s="481" customFormat="1">
      <c r="C11" s="486" t="s">
        <v>429</v>
      </c>
      <c r="D11" s="935">
        <v>17.14</v>
      </c>
      <c r="E11" s="935">
        <v>13.13</v>
      </c>
      <c r="F11" s="239">
        <v>30.31</v>
      </c>
      <c r="H11" s="487"/>
      <c r="I11" s="487"/>
      <c r="J11" s="487"/>
    </row>
    <row r="12" spans="2:10" s="481" customFormat="1">
      <c r="C12" s="486" t="s">
        <v>430</v>
      </c>
      <c r="D12" s="927"/>
      <c r="E12" s="935">
        <v>18.79</v>
      </c>
      <c r="F12" s="928"/>
      <c r="H12" s="487"/>
      <c r="I12" s="487"/>
      <c r="J12" s="487"/>
    </row>
    <row r="13" spans="2:10" s="481" customFormat="1">
      <c r="C13" s="486" t="s">
        <v>431</v>
      </c>
      <c r="D13" s="927"/>
      <c r="E13" s="935">
        <v>70.790000000000006</v>
      </c>
      <c r="F13" s="239">
        <v>166.88</v>
      </c>
      <c r="H13" s="487"/>
      <c r="I13" s="487"/>
      <c r="J13" s="487"/>
    </row>
    <row r="14" spans="2:10" s="481" customFormat="1">
      <c r="C14" s="486" t="s">
        <v>435</v>
      </c>
      <c r="D14" s="927"/>
      <c r="E14" s="927"/>
      <c r="F14" s="239">
        <v>69.23</v>
      </c>
      <c r="H14" s="487"/>
      <c r="I14" s="487"/>
      <c r="J14" s="487"/>
    </row>
    <row r="15" spans="2:10" s="481" customFormat="1">
      <c r="C15" s="486" t="s">
        <v>432</v>
      </c>
      <c r="D15" s="927"/>
      <c r="E15" s="935">
        <v>310.64999999999998</v>
      </c>
      <c r="F15" s="230"/>
      <c r="H15" s="487"/>
      <c r="I15" s="487"/>
      <c r="J15" s="487"/>
    </row>
    <row r="16" spans="2:10" s="481" customFormat="1">
      <c r="C16" s="486" t="s">
        <v>433</v>
      </c>
      <c r="D16" s="927"/>
      <c r="E16" s="935">
        <v>541.12</v>
      </c>
      <c r="F16" s="230"/>
      <c r="H16" s="487"/>
      <c r="I16" s="487"/>
      <c r="J16" s="487"/>
    </row>
    <row r="17" spans="2:10" s="481" customFormat="1">
      <c r="C17" s="486" t="s">
        <v>434</v>
      </c>
      <c r="D17" s="928"/>
      <c r="E17" s="928"/>
      <c r="F17" s="239">
        <v>754.48</v>
      </c>
      <c r="H17" s="487"/>
      <c r="I17" s="487"/>
      <c r="J17" s="487"/>
    </row>
    <row r="18" spans="2:10" s="481" customFormat="1">
      <c r="C18" s="486" t="s">
        <v>436</v>
      </c>
      <c r="D18" s="928"/>
      <c r="E18" s="230"/>
      <c r="F18" s="239">
        <v>656.85</v>
      </c>
      <c r="H18" s="487"/>
      <c r="I18" s="487"/>
      <c r="J18" s="487"/>
    </row>
    <row r="19" spans="2:10" s="481" customFormat="1">
      <c r="C19" s="482"/>
      <c r="D19" s="483"/>
      <c r="E19" s="488"/>
      <c r="F19" s="249"/>
    </row>
    <row r="20" spans="2:10" s="481" customFormat="1">
      <c r="C20" s="241" t="s">
        <v>164</v>
      </c>
      <c r="D20" s="241"/>
      <c r="E20" s="241" t="s">
        <v>467</v>
      </c>
      <c r="F20" s="249"/>
    </row>
    <row r="21" spans="2:10">
      <c r="C21" s="240" t="s">
        <v>480</v>
      </c>
      <c r="D21" s="240" t="s">
        <v>224</v>
      </c>
      <c r="E21" s="239">
        <v>6.17</v>
      </c>
    </row>
    <row r="22" spans="2:10">
      <c r="C22" s="240" t="s">
        <v>480</v>
      </c>
      <c r="D22" s="240" t="s">
        <v>127</v>
      </c>
      <c r="E22" s="935">
        <v>10.18</v>
      </c>
    </row>
    <row r="23" spans="2:10">
      <c r="C23" s="240" t="s">
        <v>480</v>
      </c>
      <c r="D23" s="240" t="s">
        <v>222</v>
      </c>
      <c r="E23" s="239">
        <v>15.46</v>
      </c>
    </row>
    <row r="24" spans="2:10" s="481" customFormat="1" ht="15">
      <c r="C24" s="482"/>
      <c r="D24" s="483"/>
      <c r="E24" s="929"/>
      <c r="F24" s="248"/>
    </row>
    <row r="25" spans="2:10">
      <c r="C25" s="241" t="s">
        <v>145</v>
      </c>
      <c r="D25" s="241"/>
      <c r="E25" s="241" t="s">
        <v>464</v>
      </c>
    </row>
    <row r="26" spans="2:10">
      <c r="C26" s="240" t="s">
        <v>483</v>
      </c>
      <c r="D26" s="240" t="s">
        <v>224</v>
      </c>
      <c r="E26" s="935">
        <v>7.93</v>
      </c>
    </row>
    <row r="27" spans="2:10">
      <c r="C27" s="240" t="s">
        <v>482</v>
      </c>
      <c r="D27" s="240" t="s">
        <v>127</v>
      </c>
      <c r="E27" s="239">
        <v>0.1111</v>
      </c>
    </row>
    <row r="28" spans="2:10">
      <c r="C28" s="240" t="s">
        <v>481</v>
      </c>
      <c r="D28" s="240" t="s">
        <v>222</v>
      </c>
      <c r="E28" s="935">
        <v>8.3800000000000008</v>
      </c>
    </row>
    <row r="29" spans="2:10">
      <c r="C29" s="243"/>
      <c r="D29" s="243"/>
      <c r="E29" s="229"/>
    </row>
    <row r="30" spans="2:10" s="480" customFormat="1">
      <c r="B30" s="478" t="s">
        <v>478</v>
      </c>
      <c r="C30" s="478"/>
      <c r="D30" s="479"/>
    </row>
    <row r="31" spans="2:10">
      <c r="C31" s="243"/>
      <c r="D31" s="243"/>
      <c r="E31" s="229"/>
    </row>
    <row r="32" spans="2:10">
      <c r="C32" s="243"/>
      <c r="D32" s="243"/>
      <c r="E32" s="241" t="s">
        <v>467</v>
      </c>
    </row>
    <row r="33" spans="2:9">
      <c r="C33" s="241" t="s">
        <v>477</v>
      </c>
      <c r="D33" s="240"/>
      <c r="E33" s="239">
        <v>2.0099999999999998</v>
      </c>
    </row>
    <row r="34" spans="2:9">
      <c r="C34" s="243"/>
      <c r="D34" s="243"/>
      <c r="E34" s="229"/>
    </row>
    <row r="35" spans="2:9" s="480" customFormat="1">
      <c r="B35" s="478" t="s">
        <v>476</v>
      </c>
      <c r="C35" s="478"/>
      <c r="D35" s="479"/>
    </row>
    <row r="36" spans="2:9">
      <c r="C36" s="243"/>
      <c r="D36" s="243"/>
      <c r="E36" s="229"/>
    </row>
    <row r="37" spans="2:9">
      <c r="C37" s="241" t="s">
        <v>145</v>
      </c>
      <c r="D37" s="241"/>
      <c r="E37" s="241" t="s">
        <v>464</v>
      </c>
    </row>
    <row r="38" spans="2:9">
      <c r="C38" s="240" t="s">
        <v>475</v>
      </c>
      <c r="D38" s="240"/>
      <c r="E38" s="935">
        <v>2.39</v>
      </c>
      <c r="H38" s="487"/>
      <c r="I38" s="487"/>
    </row>
    <row r="39" spans="2:9">
      <c r="C39" s="240" t="s">
        <v>474</v>
      </c>
      <c r="D39" s="240"/>
      <c r="E39" s="935">
        <v>5.35</v>
      </c>
      <c r="I39" s="487"/>
    </row>
    <row r="40" spans="2:9">
      <c r="C40" s="243"/>
      <c r="D40" s="243"/>
      <c r="E40" s="229"/>
    </row>
    <row r="41" spans="2:9" s="480" customFormat="1">
      <c r="B41" s="478" t="s">
        <v>1528</v>
      </c>
      <c r="C41" s="478"/>
      <c r="D41" s="479"/>
    </row>
    <row r="43" spans="2:9">
      <c r="C43" s="246"/>
    </row>
    <row r="44" spans="2:9">
      <c r="C44" s="246"/>
    </row>
    <row r="45" spans="2:9">
      <c r="C45" s="241" t="s">
        <v>146</v>
      </c>
      <c r="D45" s="238"/>
      <c r="E45" s="241" t="s">
        <v>467</v>
      </c>
    </row>
    <row r="46" spans="2:9">
      <c r="C46" s="240" t="s">
        <v>473</v>
      </c>
      <c r="D46" s="238"/>
      <c r="E46" s="936">
        <v>101.32</v>
      </c>
      <c r="F46" s="247"/>
    </row>
    <row r="47" spans="2:9">
      <c r="C47" s="240" t="s">
        <v>472</v>
      </c>
      <c r="D47" s="238"/>
      <c r="E47" s="936">
        <v>29.4</v>
      </c>
    </row>
    <row r="48" spans="2:9">
      <c r="C48" s="240" t="s">
        <v>471</v>
      </c>
      <c r="D48" s="238"/>
      <c r="E48" s="936">
        <v>13.28</v>
      </c>
    </row>
    <row r="49" spans="3:5">
      <c r="C49" s="246"/>
    </row>
    <row r="50" spans="3:5">
      <c r="C50" s="241" t="s">
        <v>145</v>
      </c>
      <c r="D50" s="241"/>
      <c r="E50" s="241" t="s">
        <v>464</v>
      </c>
    </row>
    <row r="51" spans="3:5">
      <c r="C51" s="42" t="s">
        <v>470</v>
      </c>
      <c r="D51" s="238"/>
      <c r="E51" s="935">
        <v>18.920000000000002</v>
      </c>
    </row>
    <row r="52" spans="3:5">
      <c r="C52" s="39"/>
      <c r="E52" s="229"/>
    </row>
    <row r="53" spans="3:5">
      <c r="C53" s="489" t="s">
        <v>469</v>
      </c>
      <c r="E53" s="490"/>
    </row>
    <row r="54" spans="3:5">
      <c r="C54" s="486" t="s">
        <v>468</v>
      </c>
      <c r="D54" s="238"/>
      <c r="E54" s="937">
        <v>9.8199999999999996E-2</v>
      </c>
    </row>
    <row r="55" spans="3:5">
      <c r="C55" s="39"/>
      <c r="E55" s="229"/>
    </row>
    <row r="56" spans="3:5">
      <c r="C56" s="241" t="s">
        <v>145</v>
      </c>
      <c r="D56" s="241"/>
      <c r="E56" s="241" t="s">
        <v>464</v>
      </c>
    </row>
    <row r="57" spans="3:5">
      <c r="C57" s="486" t="s">
        <v>1343</v>
      </c>
      <c r="D57" s="238"/>
      <c r="E57" s="935">
        <v>13.05</v>
      </c>
    </row>
    <row r="58" spans="3:5">
      <c r="C58" s="491"/>
      <c r="D58" s="237"/>
      <c r="E58" s="237"/>
    </row>
    <row r="59" spans="3:5">
      <c r="C59" s="241" t="s">
        <v>146</v>
      </c>
      <c r="D59" s="238"/>
      <c r="E59" s="241" t="s">
        <v>467</v>
      </c>
    </row>
    <row r="60" spans="3:5">
      <c r="C60" s="486" t="s">
        <v>1344</v>
      </c>
      <c r="D60" s="238"/>
      <c r="E60" s="935">
        <v>41.02</v>
      </c>
    </row>
    <row r="61" spans="3:5">
      <c r="C61" s="39"/>
      <c r="E61" s="229"/>
    </row>
    <row r="62" spans="3:5">
      <c r="C62" s="245" t="s">
        <v>458</v>
      </c>
    </row>
    <row r="64" spans="3:5">
      <c r="C64" s="241" t="s">
        <v>146</v>
      </c>
      <c r="D64" s="238"/>
      <c r="E64" s="241" t="s">
        <v>467</v>
      </c>
    </row>
    <row r="65" spans="3:6">
      <c r="C65" s="240" t="s">
        <v>463</v>
      </c>
      <c r="D65" s="238"/>
      <c r="E65" s="936">
        <v>3340.57</v>
      </c>
    </row>
    <row r="66" spans="3:6">
      <c r="C66" s="240" t="s">
        <v>466</v>
      </c>
      <c r="D66" s="238"/>
      <c r="E66" s="936">
        <v>0.05</v>
      </c>
      <c r="F66" s="244"/>
    </row>
    <row r="67" spans="3:6">
      <c r="C67" s="243"/>
      <c r="E67" s="242"/>
    </row>
    <row r="68" spans="3:6">
      <c r="C68" s="241" t="s">
        <v>145</v>
      </c>
      <c r="D68" s="241"/>
      <c r="E68" s="241" t="s">
        <v>464</v>
      </c>
    </row>
    <row r="69" spans="3:6">
      <c r="C69" s="42" t="s">
        <v>462</v>
      </c>
      <c r="D69" s="238"/>
      <c r="E69" s="935">
        <v>668.11</v>
      </c>
    </row>
    <row r="70" spans="3:6">
      <c r="C70" s="42" t="s">
        <v>461</v>
      </c>
      <c r="D70" s="238"/>
      <c r="E70" s="935">
        <v>556.76</v>
      </c>
    </row>
    <row r="71" spans="3:6">
      <c r="C71" s="42" t="s">
        <v>460</v>
      </c>
      <c r="D71" s="238"/>
      <c r="E71" s="935">
        <v>0.8</v>
      </c>
    </row>
    <row r="72" spans="3:6">
      <c r="C72" s="39"/>
      <c r="E72" s="229"/>
    </row>
    <row r="73" spans="3:6">
      <c r="C73" s="241" t="s">
        <v>465</v>
      </c>
      <c r="D73" s="241"/>
      <c r="E73" s="241" t="s">
        <v>464</v>
      </c>
    </row>
    <row r="74" spans="3:6">
      <c r="C74" s="240" t="s">
        <v>463</v>
      </c>
      <c r="D74" s="238"/>
      <c r="E74" s="230">
        <f>($E$65/'Parameters ULL'!$E$38/('Parameters ULL'!$E$37*'Parameters ULL'!$E$41)/(12*'Parameters ULL'!$E$39))</f>
        <v>5.5676166666666674E-5</v>
      </c>
    </row>
    <row r="75" spans="3:6">
      <c r="C75" s="42" t="s">
        <v>462</v>
      </c>
      <c r="D75" s="238"/>
      <c r="E75" s="230">
        <f>$E$69*'Parameters ULL'!$E$43/('Parameters ULL'!$E$41*'Parameters ULL'!$E$37)</f>
        <v>6.0129900000000002E-3</v>
      </c>
      <c r="F75" s="930"/>
    </row>
    <row r="76" spans="3:6">
      <c r="C76" s="42" t="s">
        <v>461</v>
      </c>
      <c r="D76" s="238"/>
      <c r="E76" s="230">
        <f>$E$70*'Parameters ULL'!$E$42/('Parameters ULL'!$E$41*'Parameters ULL'!$E$37)</f>
        <v>5.0108399999999999E-3</v>
      </c>
    </row>
    <row r="77" spans="3:6">
      <c r="C77" s="42" t="s">
        <v>460</v>
      </c>
      <c r="D77" s="238"/>
      <c r="E77" s="230">
        <f>E71</f>
        <v>0.8</v>
      </c>
    </row>
    <row r="78" spans="3:6">
      <c r="C78" s="42" t="s">
        <v>459</v>
      </c>
      <c r="D78" s="238"/>
      <c r="E78" s="230">
        <f>$E$66/(12*'Parameters ULL'!$E$40)</f>
        <v>8.3333333333333344E-5</v>
      </c>
    </row>
    <row r="79" spans="3:6">
      <c r="C79" s="42" t="s">
        <v>458</v>
      </c>
      <c r="D79" s="238"/>
      <c r="E79" s="230">
        <f>SUM(E74:E78)</f>
        <v>0.81116283950000001</v>
      </c>
    </row>
    <row r="80" spans="3:6">
      <c r="C80" s="39"/>
      <c r="E80" s="229"/>
    </row>
    <row r="81" spans="2:5">
      <c r="C81" s="39"/>
      <c r="D81" s="237"/>
      <c r="E81" s="229"/>
    </row>
    <row r="82" spans="2:5">
      <c r="C82" s="39"/>
      <c r="D82" s="237"/>
      <c r="E82" s="229"/>
    </row>
    <row r="83" spans="2:5">
      <c r="C83" s="243"/>
      <c r="D83" s="243"/>
      <c r="E83" s="229"/>
    </row>
    <row r="84" spans="2:5">
      <c r="C84" s="236"/>
      <c r="D84" s="220"/>
    </row>
    <row r="85" spans="2:5" s="480" customFormat="1">
      <c r="B85" s="478" t="s">
        <v>457</v>
      </c>
      <c r="C85" s="478"/>
      <c r="D85" s="479"/>
    </row>
  </sheetData>
  <pageMargins left="0.75" right="0.75" top="1" bottom="1" header="0.5" footer="0.5"/>
  <pageSetup paperSize="9" scale="68" fitToHeight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U102"/>
  <sheetViews>
    <sheetView zoomScale="85" zoomScaleNormal="85" workbookViewId="0">
      <selection activeCell="G101" sqref="G101"/>
    </sheetView>
  </sheetViews>
  <sheetFormatPr defaultRowHeight="12.75"/>
  <cols>
    <col min="1" max="1" width="4.5703125" style="493" customWidth="1"/>
    <col min="2" max="2" width="4.7109375" style="493" customWidth="1"/>
    <col min="3" max="4" width="19.7109375" style="492" customWidth="1"/>
    <col min="5" max="5" width="23.28515625" style="492" customWidth="1"/>
    <col min="6" max="6" width="20.7109375" style="492" customWidth="1"/>
    <col min="7" max="8" width="15" style="492" customWidth="1"/>
    <col min="9" max="9" width="17.7109375" style="492" customWidth="1"/>
    <col min="10" max="10" width="17.85546875" style="492" customWidth="1"/>
    <col min="11" max="11" width="20.7109375" style="492" customWidth="1"/>
    <col min="12" max="12" width="17.85546875" style="493" customWidth="1"/>
    <col min="13" max="13" width="17.42578125" style="492" customWidth="1"/>
    <col min="14" max="14" width="21.85546875" style="492" customWidth="1"/>
    <col min="15" max="15" width="20.85546875" style="492" customWidth="1"/>
    <col min="16" max="256" width="9.140625" style="492"/>
    <col min="257" max="257" width="4.5703125" style="492" customWidth="1"/>
    <col min="258" max="258" width="4.7109375" style="492" customWidth="1"/>
    <col min="259" max="261" width="19.7109375" style="492" customWidth="1"/>
    <col min="262" max="262" width="20.7109375" style="492" customWidth="1"/>
    <col min="263" max="264" width="15" style="492" customWidth="1"/>
    <col min="265" max="265" width="17.7109375" style="492" customWidth="1"/>
    <col min="266" max="266" width="17.85546875" style="492" customWidth="1"/>
    <col min="267" max="267" width="20.7109375" style="492" customWidth="1"/>
    <col min="268" max="268" width="17.85546875" style="492" customWidth="1"/>
    <col min="269" max="269" width="17.42578125" style="492" customWidth="1"/>
    <col min="270" max="270" width="21.85546875" style="492" customWidth="1"/>
    <col min="271" max="271" width="20.85546875" style="492" customWidth="1"/>
    <col min="272" max="512" width="9.140625" style="492"/>
    <col min="513" max="513" width="4.5703125" style="492" customWidth="1"/>
    <col min="514" max="514" width="4.7109375" style="492" customWidth="1"/>
    <col min="515" max="517" width="19.7109375" style="492" customWidth="1"/>
    <col min="518" max="518" width="20.7109375" style="492" customWidth="1"/>
    <col min="519" max="520" width="15" style="492" customWidth="1"/>
    <col min="521" max="521" width="17.7109375" style="492" customWidth="1"/>
    <col min="522" max="522" width="17.85546875" style="492" customWidth="1"/>
    <col min="523" max="523" width="20.7109375" style="492" customWidth="1"/>
    <col min="524" max="524" width="17.85546875" style="492" customWidth="1"/>
    <col min="525" max="525" width="17.42578125" style="492" customWidth="1"/>
    <col min="526" max="526" width="21.85546875" style="492" customWidth="1"/>
    <col min="527" max="527" width="20.85546875" style="492" customWidth="1"/>
    <col min="528" max="768" width="9.140625" style="492"/>
    <col min="769" max="769" width="4.5703125" style="492" customWidth="1"/>
    <col min="770" max="770" width="4.7109375" style="492" customWidth="1"/>
    <col min="771" max="773" width="19.7109375" style="492" customWidth="1"/>
    <col min="774" max="774" width="20.7109375" style="492" customWidth="1"/>
    <col min="775" max="776" width="15" style="492" customWidth="1"/>
    <col min="777" max="777" width="17.7109375" style="492" customWidth="1"/>
    <col min="778" max="778" width="17.85546875" style="492" customWidth="1"/>
    <col min="779" max="779" width="20.7109375" style="492" customWidth="1"/>
    <col min="780" max="780" width="17.85546875" style="492" customWidth="1"/>
    <col min="781" max="781" width="17.42578125" style="492" customWidth="1"/>
    <col min="782" max="782" width="21.85546875" style="492" customWidth="1"/>
    <col min="783" max="783" width="20.85546875" style="492" customWidth="1"/>
    <col min="784" max="1024" width="9.140625" style="492"/>
    <col min="1025" max="1025" width="4.5703125" style="492" customWidth="1"/>
    <col min="1026" max="1026" width="4.7109375" style="492" customWidth="1"/>
    <col min="1027" max="1029" width="19.7109375" style="492" customWidth="1"/>
    <col min="1030" max="1030" width="20.7109375" style="492" customWidth="1"/>
    <col min="1031" max="1032" width="15" style="492" customWidth="1"/>
    <col min="1033" max="1033" width="17.7109375" style="492" customWidth="1"/>
    <col min="1034" max="1034" width="17.85546875" style="492" customWidth="1"/>
    <col min="1035" max="1035" width="20.7109375" style="492" customWidth="1"/>
    <col min="1036" max="1036" width="17.85546875" style="492" customWidth="1"/>
    <col min="1037" max="1037" width="17.42578125" style="492" customWidth="1"/>
    <col min="1038" max="1038" width="21.85546875" style="492" customWidth="1"/>
    <col min="1039" max="1039" width="20.85546875" style="492" customWidth="1"/>
    <col min="1040" max="1280" width="9.140625" style="492"/>
    <col min="1281" max="1281" width="4.5703125" style="492" customWidth="1"/>
    <col min="1282" max="1282" width="4.7109375" style="492" customWidth="1"/>
    <col min="1283" max="1285" width="19.7109375" style="492" customWidth="1"/>
    <col min="1286" max="1286" width="20.7109375" style="492" customWidth="1"/>
    <col min="1287" max="1288" width="15" style="492" customWidth="1"/>
    <col min="1289" max="1289" width="17.7109375" style="492" customWidth="1"/>
    <col min="1290" max="1290" width="17.85546875" style="492" customWidth="1"/>
    <col min="1291" max="1291" width="20.7109375" style="492" customWidth="1"/>
    <col min="1292" max="1292" width="17.85546875" style="492" customWidth="1"/>
    <col min="1293" max="1293" width="17.42578125" style="492" customWidth="1"/>
    <col min="1294" max="1294" width="21.85546875" style="492" customWidth="1"/>
    <col min="1295" max="1295" width="20.85546875" style="492" customWidth="1"/>
    <col min="1296" max="1536" width="9.140625" style="492"/>
    <col min="1537" max="1537" width="4.5703125" style="492" customWidth="1"/>
    <col min="1538" max="1538" width="4.7109375" style="492" customWidth="1"/>
    <col min="1539" max="1541" width="19.7109375" style="492" customWidth="1"/>
    <col min="1542" max="1542" width="20.7109375" style="492" customWidth="1"/>
    <col min="1543" max="1544" width="15" style="492" customWidth="1"/>
    <col min="1545" max="1545" width="17.7109375" style="492" customWidth="1"/>
    <col min="1546" max="1546" width="17.85546875" style="492" customWidth="1"/>
    <col min="1547" max="1547" width="20.7109375" style="492" customWidth="1"/>
    <col min="1548" max="1548" width="17.85546875" style="492" customWidth="1"/>
    <col min="1549" max="1549" width="17.42578125" style="492" customWidth="1"/>
    <col min="1550" max="1550" width="21.85546875" style="492" customWidth="1"/>
    <col min="1551" max="1551" width="20.85546875" style="492" customWidth="1"/>
    <col min="1552" max="1792" width="9.140625" style="492"/>
    <col min="1793" max="1793" width="4.5703125" style="492" customWidth="1"/>
    <col min="1794" max="1794" width="4.7109375" style="492" customWidth="1"/>
    <col min="1795" max="1797" width="19.7109375" style="492" customWidth="1"/>
    <col min="1798" max="1798" width="20.7109375" style="492" customWidth="1"/>
    <col min="1799" max="1800" width="15" style="492" customWidth="1"/>
    <col min="1801" max="1801" width="17.7109375" style="492" customWidth="1"/>
    <col min="1802" max="1802" width="17.85546875" style="492" customWidth="1"/>
    <col min="1803" max="1803" width="20.7109375" style="492" customWidth="1"/>
    <col min="1804" max="1804" width="17.85546875" style="492" customWidth="1"/>
    <col min="1805" max="1805" width="17.42578125" style="492" customWidth="1"/>
    <col min="1806" max="1806" width="21.85546875" style="492" customWidth="1"/>
    <col min="1807" max="1807" width="20.85546875" style="492" customWidth="1"/>
    <col min="1808" max="2048" width="9.140625" style="492"/>
    <col min="2049" max="2049" width="4.5703125" style="492" customWidth="1"/>
    <col min="2050" max="2050" width="4.7109375" style="492" customWidth="1"/>
    <col min="2051" max="2053" width="19.7109375" style="492" customWidth="1"/>
    <col min="2054" max="2054" width="20.7109375" style="492" customWidth="1"/>
    <col min="2055" max="2056" width="15" style="492" customWidth="1"/>
    <col min="2057" max="2057" width="17.7109375" style="492" customWidth="1"/>
    <col min="2058" max="2058" width="17.85546875" style="492" customWidth="1"/>
    <col min="2059" max="2059" width="20.7109375" style="492" customWidth="1"/>
    <col min="2060" max="2060" width="17.85546875" style="492" customWidth="1"/>
    <col min="2061" max="2061" width="17.42578125" style="492" customWidth="1"/>
    <col min="2062" max="2062" width="21.85546875" style="492" customWidth="1"/>
    <col min="2063" max="2063" width="20.85546875" style="492" customWidth="1"/>
    <col min="2064" max="2304" width="9.140625" style="492"/>
    <col min="2305" max="2305" width="4.5703125" style="492" customWidth="1"/>
    <col min="2306" max="2306" width="4.7109375" style="492" customWidth="1"/>
    <col min="2307" max="2309" width="19.7109375" style="492" customWidth="1"/>
    <col min="2310" max="2310" width="20.7109375" style="492" customWidth="1"/>
    <col min="2311" max="2312" width="15" style="492" customWidth="1"/>
    <col min="2313" max="2313" width="17.7109375" style="492" customWidth="1"/>
    <col min="2314" max="2314" width="17.85546875" style="492" customWidth="1"/>
    <col min="2315" max="2315" width="20.7109375" style="492" customWidth="1"/>
    <col min="2316" max="2316" width="17.85546875" style="492" customWidth="1"/>
    <col min="2317" max="2317" width="17.42578125" style="492" customWidth="1"/>
    <col min="2318" max="2318" width="21.85546875" style="492" customWidth="1"/>
    <col min="2319" max="2319" width="20.85546875" style="492" customWidth="1"/>
    <col min="2320" max="2560" width="9.140625" style="492"/>
    <col min="2561" max="2561" width="4.5703125" style="492" customWidth="1"/>
    <col min="2562" max="2562" width="4.7109375" style="492" customWidth="1"/>
    <col min="2563" max="2565" width="19.7109375" style="492" customWidth="1"/>
    <col min="2566" max="2566" width="20.7109375" style="492" customWidth="1"/>
    <col min="2567" max="2568" width="15" style="492" customWidth="1"/>
    <col min="2569" max="2569" width="17.7109375" style="492" customWidth="1"/>
    <col min="2570" max="2570" width="17.85546875" style="492" customWidth="1"/>
    <col min="2571" max="2571" width="20.7109375" style="492" customWidth="1"/>
    <col min="2572" max="2572" width="17.85546875" style="492" customWidth="1"/>
    <col min="2573" max="2573" width="17.42578125" style="492" customWidth="1"/>
    <col min="2574" max="2574" width="21.85546875" style="492" customWidth="1"/>
    <col min="2575" max="2575" width="20.85546875" style="492" customWidth="1"/>
    <col min="2576" max="2816" width="9.140625" style="492"/>
    <col min="2817" max="2817" width="4.5703125" style="492" customWidth="1"/>
    <col min="2818" max="2818" width="4.7109375" style="492" customWidth="1"/>
    <col min="2819" max="2821" width="19.7109375" style="492" customWidth="1"/>
    <col min="2822" max="2822" width="20.7109375" style="492" customWidth="1"/>
    <col min="2823" max="2824" width="15" style="492" customWidth="1"/>
    <col min="2825" max="2825" width="17.7109375" style="492" customWidth="1"/>
    <col min="2826" max="2826" width="17.85546875" style="492" customWidth="1"/>
    <col min="2827" max="2827" width="20.7109375" style="492" customWidth="1"/>
    <col min="2828" max="2828" width="17.85546875" style="492" customWidth="1"/>
    <col min="2829" max="2829" width="17.42578125" style="492" customWidth="1"/>
    <col min="2830" max="2830" width="21.85546875" style="492" customWidth="1"/>
    <col min="2831" max="2831" width="20.85546875" style="492" customWidth="1"/>
    <col min="2832" max="3072" width="9.140625" style="492"/>
    <col min="3073" max="3073" width="4.5703125" style="492" customWidth="1"/>
    <col min="3074" max="3074" width="4.7109375" style="492" customWidth="1"/>
    <col min="3075" max="3077" width="19.7109375" style="492" customWidth="1"/>
    <col min="3078" max="3078" width="20.7109375" style="492" customWidth="1"/>
    <col min="3079" max="3080" width="15" style="492" customWidth="1"/>
    <col min="3081" max="3081" width="17.7109375" style="492" customWidth="1"/>
    <col min="3082" max="3082" width="17.85546875" style="492" customWidth="1"/>
    <col min="3083" max="3083" width="20.7109375" style="492" customWidth="1"/>
    <col min="3084" max="3084" width="17.85546875" style="492" customWidth="1"/>
    <col min="3085" max="3085" width="17.42578125" style="492" customWidth="1"/>
    <col min="3086" max="3086" width="21.85546875" style="492" customWidth="1"/>
    <col min="3087" max="3087" width="20.85546875" style="492" customWidth="1"/>
    <col min="3088" max="3328" width="9.140625" style="492"/>
    <col min="3329" max="3329" width="4.5703125" style="492" customWidth="1"/>
    <col min="3330" max="3330" width="4.7109375" style="492" customWidth="1"/>
    <col min="3331" max="3333" width="19.7109375" style="492" customWidth="1"/>
    <col min="3334" max="3334" width="20.7109375" style="492" customWidth="1"/>
    <col min="3335" max="3336" width="15" style="492" customWidth="1"/>
    <col min="3337" max="3337" width="17.7109375" style="492" customWidth="1"/>
    <col min="3338" max="3338" width="17.85546875" style="492" customWidth="1"/>
    <col min="3339" max="3339" width="20.7109375" style="492" customWidth="1"/>
    <col min="3340" max="3340" width="17.85546875" style="492" customWidth="1"/>
    <col min="3341" max="3341" width="17.42578125" style="492" customWidth="1"/>
    <col min="3342" max="3342" width="21.85546875" style="492" customWidth="1"/>
    <col min="3343" max="3343" width="20.85546875" style="492" customWidth="1"/>
    <col min="3344" max="3584" width="9.140625" style="492"/>
    <col min="3585" max="3585" width="4.5703125" style="492" customWidth="1"/>
    <col min="3586" max="3586" width="4.7109375" style="492" customWidth="1"/>
    <col min="3587" max="3589" width="19.7109375" style="492" customWidth="1"/>
    <col min="3590" max="3590" width="20.7109375" style="492" customWidth="1"/>
    <col min="3591" max="3592" width="15" style="492" customWidth="1"/>
    <col min="3593" max="3593" width="17.7109375" style="492" customWidth="1"/>
    <col min="3594" max="3594" width="17.85546875" style="492" customWidth="1"/>
    <col min="3595" max="3595" width="20.7109375" style="492" customWidth="1"/>
    <col min="3596" max="3596" width="17.85546875" style="492" customWidth="1"/>
    <col min="3597" max="3597" width="17.42578125" style="492" customWidth="1"/>
    <col min="3598" max="3598" width="21.85546875" style="492" customWidth="1"/>
    <col min="3599" max="3599" width="20.85546875" style="492" customWidth="1"/>
    <col min="3600" max="3840" width="9.140625" style="492"/>
    <col min="3841" max="3841" width="4.5703125" style="492" customWidth="1"/>
    <col min="3842" max="3842" width="4.7109375" style="492" customWidth="1"/>
    <col min="3843" max="3845" width="19.7109375" style="492" customWidth="1"/>
    <col min="3846" max="3846" width="20.7109375" style="492" customWidth="1"/>
    <col min="3847" max="3848" width="15" style="492" customWidth="1"/>
    <col min="3849" max="3849" width="17.7109375" style="492" customWidth="1"/>
    <col min="3850" max="3850" width="17.85546875" style="492" customWidth="1"/>
    <col min="3851" max="3851" width="20.7109375" style="492" customWidth="1"/>
    <col min="3852" max="3852" width="17.85546875" style="492" customWidth="1"/>
    <col min="3853" max="3853" width="17.42578125" style="492" customWidth="1"/>
    <col min="3854" max="3854" width="21.85546875" style="492" customWidth="1"/>
    <col min="3855" max="3855" width="20.85546875" style="492" customWidth="1"/>
    <col min="3856" max="4096" width="9.140625" style="492"/>
    <col min="4097" max="4097" width="4.5703125" style="492" customWidth="1"/>
    <col min="4098" max="4098" width="4.7109375" style="492" customWidth="1"/>
    <col min="4099" max="4101" width="19.7109375" style="492" customWidth="1"/>
    <col min="4102" max="4102" width="20.7109375" style="492" customWidth="1"/>
    <col min="4103" max="4104" width="15" style="492" customWidth="1"/>
    <col min="4105" max="4105" width="17.7109375" style="492" customWidth="1"/>
    <col min="4106" max="4106" width="17.85546875" style="492" customWidth="1"/>
    <col min="4107" max="4107" width="20.7109375" style="492" customWidth="1"/>
    <col min="4108" max="4108" width="17.85546875" style="492" customWidth="1"/>
    <col min="4109" max="4109" width="17.42578125" style="492" customWidth="1"/>
    <col min="4110" max="4110" width="21.85546875" style="492" customWidth="1"/>
    <col min="4111" max="4111" width="20.85546875" style="492" customWidth="1"/>
    <col min="4112" max="4352" width="9.140625" style="492"/>
    <col min="4353" max="4353" width="4.5703125" style="492" customWidth="1"/>
    <col min="4354" max="4354" width="4.7109375" style="492" customWidth="1"/>
    <col min="4355" max="4357" width="19.7109375" style="492" customWidth="1"/>
    <col min="4358" max="4358" width="20.7109375" style="492" customWidth="1"/>
    <col min="4359" max="4360" width="15" style="492" customWidth="1"/>
    <col min="4361" max="4361" width="17.7109375" style="492" customWidth="1"/>
    <col min="4362" max="4362" width="17.85546875" style="492" customWidth="1"/>
    <col min="4363" max="4363" width="20.7109375" style="492" customWidth="1"/>
    <col min="4364" max="4364" width="17.85546875" style="492" customWidth="1"/>
    <col min="4365" max="4365" width="17.42578125" style="492" customWidth="1"/>
    <col min="4366" max="4366" width="21.85546875" style="492" customWidth="1"/>
    <col min="4367" max="4367" width="20.85546875" style="492" customWidth="1"/>
    <col min="4368" max="4608" width="9.140625" style="492"/>
    <col min="4609" max="4609" width="4.5703125" style="492" customWidth="1"/>
    <col min="4610" max="4610" width="4.7109375" style="492" customWidth="1"/>
    <col min="4611" max="4613" width="19.7109375" style="492" customWidth="1"/>
    <col min="4614" max="4614" width="20.7109375" style="492" customWidth="1"/>
    <col min="4615" max="4616" width="15" style="492" customWidth="1"/>
    <col min="4617" max="4617" width="17.7109375" style="492" customWidth="1"/>
    <col min="4618" max="4618" width="17.85546875" style="492" customWidth="1"/>
    <col min="4619" max="4619" width="20.7109375" style="492" customWidth="1"/>
    <col min="4620" max="4620" width="17.85546875" style="492" customWidth="1"/>
    <col min="4621" max="4621" width="17.42578125" style="492" customWidth="1"/>
    <col min="4622" max="4622" width="21.85546875" style="492" customWidth="1"/>
    <col min="4623" max="4623" width="20.85546875" style="492" customWidth="1"/>
    <col min="4624" max="4864" width="9.140625" style="492"/>
    <col min="4865" max="4865" width="4.5703125" style="492" customWidth="1"/>
    <col min="4866" max="4866" width="4.7109375" style="492" customWidth="1"/>
    <col min="4867" max="4869" width="19.7109375" style="492" customWidth="1"/>
    <col min="4870" max="4870" width="20.7109375" style="492" customWidth="1"/>
    <col min="4871" max="4872" width="15" style="492" customWidth="1"/>
    <col min="4873" max="4873" width="17.7109375" style="492" customWidth="1"/>
    <col min="4874" max="4874" width="17.85546875" style="492" customWidth="1"/>
    <col min="4875" max="4875" width="20.7109375" style="492" customWidth="1"/>
    <col min="4876" max="4876" width="17.85546875" style="492" customWidth="1"/>
    <col min="4877" max="4877" width="17.42578125" style="492" customWidth="1"/>
    <col min="4878" max="4878" width="21.85546875" style="492" customWidth="1"/>
    <col min="4879" max="4879" width="20.85546875" style="492" customWidth="1"/>
    <col min="4880" max="5120" width="9.140625" style="492"/>
    <col min="5121" max="5121" width="4.5703125" style="492" customWidth="1"/>
    <col min="5122" max="5122" width="4.7109375" style="492" customWidth="1"/>
    <col min="5123" max="5125" width="19.7109375" style="492" customWidth="1"/>
    <col min="5126" max="5126" width="20.7109375" style="492" customWidth="1"/>
    <col min="5127" max="5128" width="15" style="492" customWidth="1"/>
    <col min="5129" max="5129" width="17.7109375" style="492" customWidth="1"/>
    <col min="5130" max="5130" width="17.85546875" style="492" customWidth="1"/>
    <col min="5131" max="5131" width="20.7109375" style="492" customWidth="1"/>
    <col min="5132" max="5132" width="17.85546875" style="492" customWidth="1"/>
    <col min="5133" max="5133" width="17.42578125" style="492" customWidth="1"/>
    <col min="5134" max="5134" width="21.85546875" style="492" customWidth="1"/>
    <col min="5135" max="5135" width="20.85546875" style="492" customWidth="1"/>
    <col min="5136" max="5376" width="9.140625" style="492"/>
    <col min="5377" max="5377" width="4.5703125" style="492" customWidth="1"/>
    <col min="5378" max="5378" width="4.7109375" style="492" customWidth="1"/>
    <col min="5379" max="5381" width="19.7109375" style="492" customWidth="1"/>
    <col min="5382" max="5382" width="20.7109375" style="492" customWidth="1"/>
    <col min="5383" max="5384" width="15" style="492" customWidth="1"/>
    <col min="5385" max="5385" width="17.7109375" style="492" customWidth="1"/>
    <col min="5386" max="5386" width="17.85546875" style="492" customWidth="1"/>
    <col min="5387" max="5387" width="20.7109375" style="492" customWidth="1"/>
    <col min="5388" max="5388" width="17.85546875" style="492" customWidth="1"/>
    <col min="5389" max="5389" width="17.42578125" style="492" customWidth="1"/>
    <col min="5390" max="5390" width="21.85546875" style="492" customWidth="1"/>
    <col min="5391" max="5391" width="20.85546875" style="492" customWidth="1"/>
    <col min="5392" max="5632" width="9.140625" style="492"/>
    <col min="5633" max="5633" width="4.5703125" style="492" customWidth="1"/>
    <col min="5634" max="5634" width="4.7109375" style="492" customWidth="1"/>
    <col min="5635" max="5637" width="19.7109375" style="492" customWidth="1"/>
    <col min="5638" max="5638" width="20.7109375" style="492" customWidth="1"/>
    <col min="5639" max="5640" width="15" style="492" customWidth="1"/>
    <col min="5641" max="5641" width="17.7109375" style="492" customWidth="1"/>
    <col min="5642" max="5642" width="17.85546875" style="492" customWidth="1"/>
    <col min="5643" max="5643" width="20.7109375" style="492" customWidth="1"/>
    <col min="5644" max="5644" width="17.85546875" style="492" customWidth="1"/>
    <col min="5645" max="5645" width="17.42578125" style="492" customWidth="1"/>
    <col min="5646" max="5646" width="21.85546875" style="492" customWidth="1"/>
    <col min="5647" max="5647" width="20.85546875" style="492" customWidth="1"/>
    <col min="5648" max="5888" width="9.140625" style="492"/>
    <col min="5889" max="5889" width="4.5703125" style="492" customWidth="1"/>
    <col min="5890" max="5890" width="4.7109375" style="492" customWidth="1"/>
    <col min="5891" max="5893" width="19.7109375" style="492" customWidth="1"/>
    <col min="5894" max="5894" width="20.7109375" style="492" customWidth="1"/>
    <col min="5895" max="5896" width="15" style="492" customWidth="1"/>
    <col min="5897" max="5897" width="17.7109375" style="492" customWidth="1"/>
    <col min="5898" max="5898" width="17.85546875" style="492" customWidth="1"/>
    <col min="5899" max="5899" width="20.7109375" style="492" customWidth="1"/>
    <col min="5900" max="5900" width="17.85546875" style="492" customWidth="1"/>
    <col min="5901" max="5901" width="17.42578125" style="492" customWidth="1"/>
    <col min="5902" max="5902" width="21.85546875" style="492" customWidth="1"/>
    <col min="5903" max="5903" width="20.85546875" style="492" customWidth="1"/>
    <col min="5904" max="6144" width="9.140625" style="492"/>
    <col min="6145" max="6145" width="4.5703125" style="492" customWidth="1"/>
    <col min="6146" max="6146" width="4.7109375" style="492" customWidth="1"/>
    <col min="6147" max="6149" width="19.7109375" style="492" customWidth="1"/>
    <col min="6150" max="6150" width="20.7109375" style="492" customWidth="1"/>
    <col min="6151" max="6152" width="15" style="492" customWidth="1"/>
    <col min="6153" max="6153" width="17.7109375" style="492" customWidth="1"/>
    <col min="6154" max="6154" width="17.85546875" style="492" customWidth="1"/>
    <col min="6155" max="6155" width="20.7109375" style="492" customWidth="1"/>
    <col min="6156" max="6156" width="17.85546875" style="492" customWidth="1"/>
    <col min="6157" max="6157" width="17.42578125" style="492" customWidth="1"/>
    <col min="6158" max="6158" width="21.85546875" style="492" customWidth="1"/>
    <col min="6159" max="6159" width="20.85546875" style="492" customWidth="1"/>
    <col min="6160" max="6400" width="9.140625" style="492"/>
    <col min="6401" max="6401" width="4.5703125" style="492" customWidth="1"/>
    <col min="6402" max="6402" width="4.7109375" style="492" customWidth="1"/>
    <col min="6403" max="6405" width="19.7109375" style="492" customWidth="1"/>
    <col min="6406" max="6406" width="20.7109375" style="492" customWidth="1"/>
    <col min="6407" max="6408" width="15" style="492" customWidth="1"/>
    <col min="6409" max="6409" width="17.7109375" style="492" customWidth="1"/>
    <col min="6410" max="6410" width="17.85546875" style="492" customWidth="1"/>
    <col min="6411" max="6411" width="20.7109375" style="492" customWidth="1"/>
    <col min="6412" max="6412" width="17.85546875" style="492" customWidth="1"/>
    <col min="6413" max="6413" width="17.42578125" style="492" customWidth="1"/>
    <col min="6414" max="6414" width="21.85546875" style="492" customWidth="1"/>
    <col min="6415" max="6415" width="20.85546875" style="492" customWidth="1"/>
    <col min="6416" max="6656" width="9.140625" style="492"/>
    <col min="6657" max="6657" width="4.5703125" style="492" customWidth="1"/>
    <col min="6658" max="6658" width="4.7109375" style="492" customWidth="1"/>
    <col min="6659" max="6661" width="19.7109375" style="492" customWidth="1"/>
    <col min="6662" max="6662" width="20.7109375" style="492" customWidth="1"/>
    <col min="6663" max="6664" width="15" style="492" customWidth="1"/>
    <col min="6665" max="6665" width="17.7109375" style="492" customWidth="1"/>
    <col min="6666" max="6666" width="17.85546875" style="492" customWidth="1"/>
    <col min="6667" max="6667" width="20.7109375" style="492" customWidth="1"/>
    <col min="6668" max="6668" width="17.85546875" style="492" customWidth="1"/>
    <col min="6669" max="6669" width="17.42578125" style="492" customWidth="1"/>
    <col min="6670" max="6670" width="21.85546875" style="492" customWidth="1"/>
    <col min="6671" max="6671" width="20.85546875" style="492" customWidth="1"/>
    <col min="6672" max="6912" width="9.140625" style="492"/>
    <col min="6913" max="6913" width="4.5703125" style="492" customWidth="1"/>
    <col min="6914" max="6914" width="4.7109375" style="492" customWidth="1"/>
    <col min="6915" max="6917" width="19.7109375" style="492" customWidth="1"/>
    <col min="6918" max="6918" width="20.7109375" style="492" customWidth="1"/>
    <col min="6919" max="6920" width="15" style="492" customWidth="1"/>
    <col min="6921" max="6921" width="17.7109375" style="492" customWidth="1"/>
    <col min="6922" max="6922" width="17.85546875" style="492" customWidth="1"/>
    <col min="6923" max="6923" width="20.7109375" style="492" customWidth="1"/>
    <col min="6924" max="6924" width="17.85546875" style="492" customWidth="1"/>
    <col min="6925" max="6925" width="17.42578125" style="492" customWidth="1"/>
    <col min="6926" max="6926" width="21.85546875" style="492" customWidth="1"/>
    <col min="6927" max="6927" width="20.85546875" style="492" customWidth="1"/>
    <col min="6928" max="7168" width="9.140625" style="492"/>
    <col min="7169" max="7169" width="4.5703125" style="492" customWidth="1"/>
    <col min="7170" max="7170" width="4.7109375" style="492" customWidth="1"/>
    <col min="7171" max="7173" width="19.7109375" style="492" customWidth="1"/>
    <col min="7174" max="7174" width="20.7109375" style="492" customWidth="1"/>
    <col min="7175" max="7176" width="15" style="492" customWidth="1"/>
    <col min="7177" max="7177" width="17.7109375" style="492" customWidth="1"/>
    <col min="7178" max="7178" width="17.85546875" style="492" customWidth="1"/>
    <col min="7179" max="7179" width="20.7109375" style="492" customWidth="1"/>
    <col min="7180" max="7180" width="17.85546875" style="492" customWidth="1"/>
    <col min="7181" max="7181" width="17.42578125" style="492" customWidth="1"/>
    <col min="7182" max="7182" width="21.85546875" style="492" customWidth="1"/>
    <col min="7183" max="7183" width="20.85546875" style="492" customWidth="1"/>
    <col min="7184" max="7424" width="9.140625" style="492"/>
    <col min="7425" max="7425" width="4.5703125" style="492" customWidth="1"/>
    <col min="7426" max="7426" width="4.7109375" style="492" customWidth="1"/>
    <col min="7427" max="7429" width="19.7109375" style="492" customWidth="1"/>
    <col min="7430" max="7430" width="20.7109375" style="492" customWidth="1"/>
    <col min="7431" max="7432" width="15" style="492" customWidth="1"/>
    <col min="7433" max="7433" width="17.7109375" style="492" customWidth="1"/>
    <col min="7434" max="7434" width="17.85546875" style="492" customWidth="1"/>
    <col min="7435" max="7435" width="20.7109375" style="492" customWidth="1"/>
    <col min="7436" max="7436" width="17.85546875" style="492" customWidth="1"/>
    <col min="7437" max="7437" width="17.42578125" style="492" customWidth="1"/>
    <col min="7438" max="7438" width="21.85546875" style="492" customWidth="1"/>
    <col min="7439" max="7439" width="20.85546875" style="492" customWidth="1"/>
    <col min="7440" max="7680" width="9.140625" style="492"/>
    <col min="7681" max="7681" width="4.5703125" style="492" customWidth="1"/>
    <col min="7682" max="7682" width="4.7109375" style="492" customWidth="1"/>
    <col min="7683" max="7685" width="19.7109375" style="492" customWidth="1"/>
    <col min="7686" max="7686" width="20.7109375" style="492" customWidth="1"/>
    <col min="7687" max="7688" width="15" style="492" customWidth="1"/>
    <col min="7689" max="7689" width="17.7109375" style="492" customWidth="1"/>
    <col min="7690" max="7690" width="17.85546875" style="492" customWidth="1"/>
    <col min="7691" max="7691" width="20.7109375" style="492" customWidth="1"/>
    <col min="7692" max="7692" width="17.85546875" style="492" customWidth="1"/>
    <col min="7693" max="7693" width="17.42578125" style="492" customWidth="1"/>
    <col min="7694" max="7694" width="21.85546875" style="492" customWidth="1"/>
    <col min="7695" max="7695" width="20.85546875" style="492" customWidth="1"/>
    <col min="7696" max="7936" width="9.140625" style="492"/>
    <col min="7937" max="7937" width="4.5703125" style="492" customWidth="1"/>
    <col min="7938" max="7938" width="4.7109375" style="492" customWidth="1"/>
    <col min="7939" max="7941" width="19.7109375" style="492" customWidth="1"/>
    <col min="7942" max="7942" width="20.7109375" style="492" customWidth="1"/>
    <col min="7943" max="7944" width="15" style="492" customWidth="1"/>
    <col min="7945" max="7945" width="17.7109375" style="492" customWidth="1"/>
    <col min="7946" max="7946" width="17.85546875" style="492" customWidth="1"/>
    <col min="7947" max="7947" width="20.7109375" style="492" customWidth="1"/>
    <col min="7948" max="7948" width="17.85546875" style="492" customWidth="1"/>
    <col min="7949" max="7949" width="17.42578125" style="492" customWidth="1"/>
    <col min="7950" max="7950" width="21.85546875" style="492" customWidth="1"/>
    <col min="7951" max="7951" width="20.85546875" style="492" customWidth="1"/>
    <col min="7952" max="8192" width="9.140625" style="492"/>
    <col min="8193" max="8193" width="4.5703125" style="492" customWidth="1"/>
    <col min="8194" max="8194" width="4.7109375" style="492" customWidth="1"/>
    <col min="8195" max="8197" width="19.7109375" style="492" customWidth="1"/>
    <col min="8198" max="8198" width="20.7109375" style="492" customWidth="1"/>
    <col min="8199" max="8200" width="15" style="492" customWidth="1"/>
    <col min="8201" max="8201" width="17.7109375" style="492" customWidth="1"/>
    <col min="8202" max="8202" width="17.85546875" style="492" customWidth="1"/>
    <col min="8203" max="8203" width="20.7109375" style="492" customWidth="1"/>
    <col min="8204" max="8204" width="17.85546875" style="492" customWidth="1"/>
    <col min="8205" max="8205" width="17.42578125" style="492" customWidth="1"/>
    <col min="8206" max="8206" width="21.85546875" style="492" customWidth="1"/>
    <col min="8207" max="8207" width="20.85546875" style="492" customWidth="1"/>
    <col min="8208" max="8448" width="9.140625" style="492"/>
    <col min="8449" max="8449" width="4.5703125" style="492" customWidth="1"/>
    <col min="8450" max="8450" width="4.7109375" style="492" customWidth="1"/>
    <col min="8451" max="8453" width="19.7109375" style="492" customWidth="1"/>
    <col min="8454" max="8454" width="20.7109375" style="492" customWidth="1"/>
    <col min="8455" max="8456" width="15" style="492" customWidth="1"/>
    <col min="8457" max="8457" width="17.7109375" style="492" customWidth="1"/>
    <col min="8458" max="8458" width="17.85546875" style="492" customWidth="1"/>
    <col min="8459" max="8459" width="20.7109375" style="492" customWidth="1"/>
    <col min="8460" max="8460" width="17.85546875" style="492" customWidth="1"/>
    <col min="8461" max="8461" width="17.42578125" style="492" customWidth="1"/>
    <col min="8462" max="8462" width="21.85546875" style="492" customWidth="1"/>
    <col min="8463" max="8463" width="20.85546875" style="492" customWidth="1"/>
    <col min="8464" max="8704" width="9.140625" style="492"/>
    <col min="8705" max="8705" width="4.5703125" style="492" customWidth="1"/>
    <col min="8706" max="8706" width="4.7109375" style="492" customWidth="1"/>
    <col min="8707" max="8709" width="19.7109375" style="492" customWidth="1"/>
    <col min="8710" max="8710" width="20.7109375" style="492" customWidth="1"/>
    <col min="8711" max="8712" width="15" style="492" customWidth="1"/>
    <col min="8713" max="8713" width="17.7109375" style="492" customWidth="1"/>
    <col min="8714" max="8714" width="17.85546875" style="492" customWidth="1"/>
    <col min="8715" max="8715" width="20.7109375" style="492" customWidth="1"/>
    <col min="8716" max="8716" width="17.85546875" style="492" customWidth="1"/>
    <col min="8717" max="8717" width="17.42578125" style="492" customWidth="1"/>
    <col min="8718" max="8718" width="21.85546875" style="492" customWidth="1"/>
    <col min="8719" max="8719" width="20.85546875" style="492" customWidth="1"/>
    <col min="8720" max="8960" width="9.140625" style="492"/>
    <col min="8961" max="8961" width="4.5703125" style="492" customWidth="1"/>
    <col min="8962" max="8962" width="4.7109375" style="492" customWidth="1"/>
    <col min="8963" max="8965" width="19.7109375" style="492" customWidth="1"/>
    <col min="8966" max="8966" width="20.7109375" style="492" customWidth="1"/>
    <col min="8967" max="8968" width="15" style="492" customWidth="1"/>
    <col min="8969" max="8969" width="17.7109375" style="492" customWidth="1"/>
    <col min="8970" max="8970" width="17.85546875" style="492" customWidth="1"/>
    <col min="8971" max="8971" width="20.7109375" style="492" customWidth="1"/>
    <col min="8972" max="8972" width="17.85546875" style="492" customWidth="1"/>
    <col min="8973" max="8973" width="17.42578125" style="492" customWidth="1"/>
    <col min="8974" max="8974" width="21.85546875" style="492" customWidth="1"/>
    <col min="8975" max="8975" width="20.85546875" style="492" customWidth="1"/>
    <col min="8976" max="9216" width="9.140625" style="492"/>
    <col min="9217" max="9217" width="4.5703125" style="492" customWidth="1"/>
    <col min="9218" max="9218" width="4.7109375" style="492" customWidth="1"/>
    <col min="9219" max="9221" width="19.7109375" style="492" customWidth="1"/>
    <col min="9222" max="9222" width="20.7109375" style="492" customWidth="1"/>
    <col min="9223" max="9224" width="15" style="492" customWidth="1"/>
    <col min="9225" max="9225" width="17.7109375" style="492" customWidth="1"/>
    <col min="9226" max="9226" width="17.85546875" style="492" customWidth="1"/>
    <col min="9227" max="9227" width="20.7109375" style="492" customWidth="1"/>
    <col min="9228" max="9228" width="17.85546875" style="492" customWidth="1"/>
    <col min="9229" max="9229" width="17.42578125" style="492" customWidth="1"/>
    <col min="9230" max="9230" width="21.85546875" style="492" customWidth="1"/>
    <col min="9231" max="9231" width="20.85546875" style="492" customWidth="1"/>
    <col min="9232" max="9472" width="9.140625" style="492"/>
    <col min="9473" max="9473" width="4.5703125" style="492" customWidth="1"/>
    <col min="9474" max="9474" width="4.7109375" style="492" customWidth="1"/>
    <col min="9475" max="9477" width="19.7109375" style="492" customWidth="1"/>
    <col min="9478" max="9478" width="20.7109375" style="492" customWidth="1"/>
    <col min="9479" max="9480" width="15" style="492" customWidth="1"/>
    <col min="9481" max="9481" width="17.7109375" style="492" customWidth="1"/>
    <col min="9482" max="9482" width="17.85546875" style="492" customWidth="1"/>
    <col min="9483" max="9483" width="20.7109375" style="492" customWidth="1"/>
    <col min="9484" max="9484" width="17.85546875" style="492" customWidth="1"/>
    <col min="9485" max="9485" width="17.42578125" style="492" customWidth="1"/>
    <col min="9486" max="9486" width="21.85546875" style="492" customWidth="1"/>
    <col min="9487" max="9487" width="20.85546875" style="492" customWidth="1"/>
    <col min="9488" max="9728" width="9.140625" style="492"/>
    <col min="9729" max="9729" width="4.5703125" style="492" customWidth="1"/>
    <col min="9730" max="9730" width="4.7109375" style="492" customWidth="1"/>
    <col min="9731" max="9733" width="19.7109375" style="492" customWidth="1"/>
    <col min="9734" max="9734" width="20.7109375" style="492" customWidth="1"/>
    <col min="9735" max="9736" width="15" style="492" customWidth="1"/>
    <col min="9737" max="9737" width="17.7109375" style="492" customWidth="1"/>
    <col min="9738" max="9738" width="17.85546875" style="492" customWidth="1"/>
    <col min="9739" max="9739" width="20.7109375" style="492" customWidth="1"/>
    <col min="9740" max="9740" width="17.85546875" style="492" customWidth="1"/>
    <col min="9741" max="9741" width="17.42578125" style="492" customWidth="1"/>
    <col min="9742" max="9742" width="21.85546875" style="492" customWidth="1"/>
    <col min="9743" max="9743" width="20.85546875" style="492" customWidth="1"/>
    <col min="9744" max="9984" width="9.140625" style="492"/>
    <col min="9985" max="9985" width="4.5703125" style="492" customWidth="1"/>
    <col min="9986" max="9986" width="4.7109375" style="492" customWidth="1"/>
    <col min="9987" max="9989" width="19.7109375" style="492" customWidth="1"/>
    <col min="9990" max="9990" width="20.7109375" style="492" customWidth="1"/>
    <col min="9991" max="9992" width="15" style="492" customWidth="1"/>
    <col min="9993" max="9993" width="17.7109375" style="492" customWidth="1"/>
    <col min="9994" max="9994" width="17.85546875" style="492" customWidth="1"/>
    <col min="9995" max="9995" width="20.7109375" style="492" customWidth="1"/>
    <col min="9996" max="9996" width="17.85546875" style="492" customWidth="1"/>
    <col min="9997" max="9997" width="17.42578125" style="492" customWidth="1"/>
    <col min="9998" max="9998" width="21.85546875" style="492" customWidth="1"/>
    <col min="9999" max="9999" width="20.85546875" style="492" customWidth="1"/>
    <col min="10000" max="10240" width="9.140625" style="492"/>
    <col min="10241" max="10241" width="4.5703125" style="492" customWidth="1"/>
    <col min="10242" max="10242" width="4.7109375" style="492" customWidth="1"/>
    <col min="10243" max="10245" width="19.7109375" style="492" customWidth="1"/>
    <col min="10246" max="10246" width="20.7109375" style="492" customWidth="1"/>
    <col min="10247" max="10248" width="15" style="492" customWidth="1"/>
    <col min="10249" max="10249" width="17.7109375" style="492" customWidth="1"/>
    <col min="10250" max="10250" width="17.85546875" style="492" customWidth="1"/>
    <col min="10251" max="10251" width="20.7109375" style="492" customWidth="1"/>
    <col min="10252" max="10252" width="17.85546875" style="492" customWidth="1"/>
    <col min="10253" max="10253" width="17.42578125" style="492" customWidth="1"/>
    <col min="10254" max="10254" width="21.85546875" style="492" customWidth="1"/>
    <col min="10255" max="10255" width="20.85546875" style="492" customWidth="1"/>
    <col min="10256" max="10496" width="9.140625" style="492"/>
    <col min="10497" max="10497" width="4.5703125" style="492" customWidth="1"/>
    <col min="10498" max="10498" width="4.7109375" style="492" customWidth="1"/>
    <col min="10499" max="10501" width="19.7109375" style="492" customWidth="1"/>
    <col min="10502" max="10502" width="20.7109375" style="492" customWidth="1"/>
    <col min="10503" max="10504" width="15" style="492" customWidth="1"/>
    <col min="10505" max="10505" width="17.7109375" style="492" customWidth="1"/>
    <col min="10506" max="10506" width="17.85546875" style="492" customWidth="1"/>
    <col min="10507" max="10507" width="20.7109375" style="492" customWidth="1"/>
    <col min="10508" max="10508" width="17.85546875" style="492" customWidth="1"/>
    <col min="10509" max="10509" width="17.42578125" style="492" customWidth="1"/>
    <col min="10510" max="10510" width="21.85546875" style="492" customWidth="1"/>
    <col min="10511" max="10511" width="20.85546875" style="492" customWidth="1"/>
    <col min="10512" max="10752" width="9.140625" style="492"/>
    <col min="10753" max="10753" width="4.5703125" style="492" customWidth="1"/>
    <col min="10754" max="10754" width="4.7109375" style="492" customWidth="1"/>
    <col min="10755" max="10757" width="19.7109375" style="492" customWidth="1"/>
    <col min="10758" max="10758" width="20.7109375" style="492" customWidth="1"/>
    <col min="10759" max="10760" width="15" style="492" customWidth="1"/>
    <col min="10761" max="10761" width="17.7109375" style="492" customWidth="1"/>
    <col min="10762" max="10762" width="17.85546875" style="492" customWidth="1"/>
    <col min="10763" max="10763" width="20.7109375" style="492" customWidth="1"/>
    <col min="10764" max="10764" width="17.85546875" style="492" customWidth="1"/>
    <col min="10765" max="10765" width="17.42578125" style="492" customWidth="1"/>
    <col min="10766" max="10766" width="21.85546875" style="492" customWidth="1"/>
    <col min="10767" max="10767" width="20.85546875" style="492" customWidth="1"/>
    <col min="10768" max="11008" width="9.140625" style="492"/>
    <col min="11009" max="11009" width="4.5703125" style="492" customWidth="1"/>
    <col min="11010" max="11010" width="4.7109375" style="492" customWidth="1"/>
    <col min="11011" max="11013" width="19.7109375" style="492" customWidth="1"/>
    <col min="11014" max="11014" width="20.7109375" style="492" customWidth="1"/>
    <col min="11015" max="11016" width="15" style="492" customWidth="1"/>
    <col min="11017" max="11017" width="17.7109375" style="492" customWidth="1"/>
    <col min="11018" max="11018" width="17.85546875" style="492" customWidth="1"/>
    <col min="11019" max="11019" width="20.7109375" style="492" customWidth="1"/>
    <col min="11020" max="11020" width="17.85546875" style="492" customWidth="1"/>
    <col min="11021" max="11021" width="17.42578125" style="492" customWidth="1"/>
    <col min="11022" max="11022" width="21.85546875" style="492" customWidth="1"/>
    <col min="11023" max="11023" width="20.85546875" style="492" customWidth="1"/>
    <col min="11024" max="11264" width="9.140625" style="492"/>
    <col min="11265" max="11265" width="4.5703125" style="492" customWidth="1"/>
    <col min="11266" max="11266" width="4.7109375" style="492" customWidth="1"/>
    <col min="11267" max="11269" width="19.7109375" style="492" customWidth="1"/>
    <col min="11270" max="11270" width="20.7109375" style="492" customWidth="1"/>
    <col min="11271" max="11272" width="15" style="492" customWidth="1"/>
    <col min="11273" max="11273" width="17.7109375" style="492" customWidth="1"/>
    <col min="11274" max="11274" width="17.85546875" style="492" customWidth="1"/>
    <col min="11275" max="11275" width="20.7109375" style="492" customWidth="1"/>
    <col min="11276" max="11276" width="17.85546875" style="492" customWidth="1"/>
    <col min="11277" max="11277" width="17.42578125" style="492" customWidth="1"/>
    <col min="11278" max="11278" width="21.85546875" style="492" customWidth="1"/>
    <col min="11279" max="11279" width="20.85546875" style="492" customWidth="1"/>
    <col min="11280" max="11520" width="9.140625" style="492"/>
    <col min="11521" max="11521" width="4.5703125" style="492" customWidth="1"/>
    <col min="11522" max="11522" width="4.7109375" style="492" customWidth="1"/>
    <col min="11523" max="11525" width="19.7109375" style="492" customWidth="1"/>
    <col min="11526" max="11526" width="20.7109375" style="492" customWidth="1"/>
    <col min="11527" max="11528" width="15" style="492" customWidth="1"/>
    <col min="11529" max="11529" width="17.7109375" style="492" customWidth="1"/>
    <col min="11530" max="11530" width="17.85546875" style="492" customWidth="1"/>
    <col min="11531" max="11531" width="20.7109375" style="492" customWidth="1"/>
    <col min="11532" max="11532" width="17.85546875" style="492" customWidth="1"/>
    <col min="11533" max="11533" width="17.42578125" style="492" customWidth="1"/>
    <col min="11534" max="11534" width="21.85546875" style="492" customWidth="1"/>
    <col min="11535" max="11535" width="20.85546875" style="492" customWidth="1"/>
    <col min="11536" max="11776" width="9.140625" style="492"/>
    <col min="11777" max="11777" width="4.5703125" style="492" customWidth="1"/>
    <col min="11778" max="11778" width="4.7109375" style="492" customWidth="1"/>
    <col min="11779" max="11781" width="19.7109375" style="492" customWidth="1"/>
    <col min="11782" max="11782" width="20.7109375" style="492" customWidth="1"/>
    <col min="11783" max="11784" width="15" style="492" customWidth="1"/>
    <col min="11785" max="11785" width="17.7109375" style="492" customWidth="1"/>
    <col min="11786" max="11786" width="17.85546875" style="492" customWidth="1"/>
    <col min="11787" max="11787" width="20.7109375" style="492" customWidth="1"/>
    <col min="11788" max="11788" width="17.85546875" style="492" customWidth="1"/>
    <col min="11789" max="11789" width="17.42578125" style="492" customWidth="1"/>
    <col min="11790" max="11790" width="21.85546875" style="492" customWidth="1"/>
    <col min="11791" max="11791" width="20.85546875" style="492" customWidth="1"/>
    <col min="11792" max="12032" width="9.140625" style="492"/>
    <col min="12033" max="12033" width="4.5703125" style="492" customWidth="1"/>
    <col min="12034" max="12034" width="4.7109375" style="492" customWidth="1"/>
    <col min="12035" max="12037" width="19.7109375" style="492" customWidth="1"/>
    <col min="12038" max="12038" width="20.7109375" style="492" customWidth="1"/>
    <col min="12039" max="12040" width="15" style="492" customWidth="1"/>
    <col min="12041" max="12041" width="17.7109375" style="492" customWidth="1"/>
    <col min="12042" max="12042" width="17.85546875" style="492" customWidth="1"/>
    <col min="12043" max="12043" width="20.7109375" style="492" customWidth="1"/>
    <col min="12044" max="12044" width="17.85546875" style="492" customWidth="1"/>
    <col min="12045" max="12045" width="17.42578125" style="492" customWidth="1"/>
    <col min="12046" max="12046" width="21.85546875" style="492" customWidth="1"/>
    <col min="12047" max="12047" width="20.85546875" style="492" customWidth="1"/>
    <col min="12048" max="12288" width="9.140625" style="492"/>
    <col min="12289" max="12289" width="4.5703125" style="492" customWidth="1"/>
    <col min="12290" max="12290" width="4.7109375" style="492" customWidth="1"/>
    <col min="12291" max="12293" width="19.7109375" style="492" customWidth="1"/>
    <col min="12294" max="12294" width="20.7109375" style="492" customWidth="1"/>
    <col min="12295" max="12296" width="15" style="492" customWidth="1"/>
    <col min="12297" max="12297" width="17.7109375" style="492" customWidth="1"/>
    <col min="12298" max="12298" width="17.85546875" style="492" customWidth="1"/>
    <col min="12299" max="12299" width="20.7109375" style="492" customWidth="1"/>
    <col min="12300" max="12300" width="17.85546875" style="492" customWidth="1"/>
    <col min="12301" max="12301" width="17.42578125" style="492" customWidth="1"/>
    <col min="12302" max="12302" width="21.85546875" style="492" customWidth="1"/>
    <col min="12303" max="12303" width="20.85546875" style="492" customWidth="1"/>
    <col min="12304" max="12544" width="9.140625" style="492"/>
    <col min="12545" max="12545" width="4.5703125" style="492" customWidth="1"/>
    <col min="12546" max="12546" width="4.7109375" style="492" customWidth="1"/>
    <col min="12547" max="12549" width="19.7109375" style="492" customWidth="1"/>
    <col min="12550" max="12550" width="20.7109375" style="492" customWidth="1"/>
    <col min="12551" max="12552" width="15" style="492" customWidth="1"/>
    <col min="12553" max="12553" width="17.7109375" style="492" customWidth="1"/>
    <col min="12554" max="12554" width="17.85546875" style="492" customWidth="1"/>
    <col min="12555" max="12555" width="20.7109375" style="492" customWidth="1"/>
    <col min="12556" max="12556" width="17.85546875" style="492" customWidth="1"/>
    <col min="12557" max="12557" width="17.42578125" style="492" customWidth="1"/>
    <col min="12558" max="12558" width="21.85546875" style="492" customWidth="1"/>
    <col min="12559" max="12559" width="20.85546875" style="492" customWidth="1"/>
    <col min="12560" max="12800" width="9.140625" style="492"/>
    <col min="12801" max="12801" width="4.5703125" style="492" customWidth="1"/>
    <col min="12802" max="12802" width="4.7109375" style="492" customWidth="1"/>
    <col min="12803" max="12805" width="19.7109375" style="492" customWidth="1"/>
    <col min="12806" max="12806" width="20.7109375" style="492" customWidth="1"/>
    <col min="12807" max="12808" width="15" style="492" customWidth="1"/>
    <col min="12809" max="12809" width="17.7109375" style="492" customWidth="1"/>
    <col min="12810" max="12810" width="17.85546875" style="492" customWidth="1"/>
    <col min="12811" max="12811" width="20.7109375" style="492" customWidth="1"/>
    <col min="12812" max="12812" width="17.85546875" style="492" customWidth="1"/>
    <col min="12813" max="12813" width="17.42578125" style="492" customWidth="1"/>
    <col min="12814" max="12814" width="21.85546875" style="492" customWidth="1"/>
    <col min="12815" max="12815" width="20.85546875" style="492" customWidth="1"/>
    <col min="12816" max="13056" width="9.140625" style="492"/>
    <col min="13057" max="13057" width="4.5703125" style="492" customWidth="1"/>
    <col min="13058" max="13058" width="4.7109375" style="492" customWidth="1"/>
    <col min="13059" max="13061" width="19.7109375" style="492" customWidth="1"/>
    <col min="13062" max="13062" width="20.7109375" style="492" customWidth="1"/>
    <col min="13063" max="13064" width="15" style="492" customWidth="1"/>
    <col min="13065" max="13065" width="17.7109375" style="492" customWidth="1"/>
    <col min="13066" max="13066" width="17.85546875" style="492" customWidth="1"/>
    <col min="13067" max="13067" width="20.7109375" style="492" customWidth="1"/>
    <col min="13068" max="13068" width="17.85546875" style="492" customWidth="1"/>
    <col min="13069" max="13069" width="17.42578125" style="492" customWidth="1"/>
    <col min="13070" max="13070" width="21.85546875" style="492" customWidth="1"/>
    <col min="13071" max="13071" width="20.85546875" style="492" customWidth="1"/>
    <col min="13072" max="13312" width="9.140625" style="492"/>
    <col min="13313" max="13313" width="4.5703125" style="492" customWidth="1"/>
    <col min="13314" max="13314" width="4.7109375" style="492" customWidth="1"/>
    <col min="13315" max="13317" width="19.7109375" style="492" customWidth="1"/>
    <col min="13318" max="13318" width="20.7109375" style="492" customWidth="1"/>
    <col min="13319" max="13320" width="15" style="492" customWidth="1"/>
    <col min="13321" max="13321" width="17.7109375" style="492" customWidth="1"/>
    <col min="13322" max="13322" width="17.85546875" style="492" customWidth="1"/>
    <col min="13323" max="13323" width="20.7109375" style="492" customWidth="1"/>
    <col min="13324" max="13324" width="17.85546875" style="492" customWidth="1"/>
    <col min="13325" max="13325" width="17.42578125" style="492" customWidth="1"/>
    <col min="13326" max="13326" width="21.85546875" style="492" customWidth="1"/>
    <col min="13327" max="13327" width="20.85546875" style="492" customWidth="1"/>
    <col min="13328" max="13568" width="9.140625" style="492"/>
    <col min="13569" max="13569" width="4.5703125" style="492" customWidth="1"/>
    <col min="13570" max="13570" width="4.7109375" style="492" customWidth="1"/>
    <col min="13571" max="13573" width="19.7109375" style="492" customWidth="1"/>
    <col min="13574" max="13574" width="20.7109375" style="492" customWidth="1"/>
    <col min="13575" max="13576" width="15" style="492" customWidth="1"/>
    <col min="13577" max="13577" width="17.7109375" style="492" customWidth="1"/>
    <col min="13578" max="13578" width="17.85546875" style="492" customWidth="1"/>
    <col min="13579" max="13579" width="20.7109375" style="492" customWidth="1"/>
    <col min="13580" max="13580" width="17.85546875" style="492" customWidth="1"/>
    <col min="13581" max="13581" width="17.42578125" style="492" customWidth="1"/>
    <col min="13582" max="13582" width="21.85546875" style="492" customWidth="1"/>
    <col min="13583" max="13583" width="20.85546875" style="492" customWidth="1"/>
    <col min="13584" max="13824" width="9.140625" style="492"/>
    <col min="13825" max="13825" width="4.5703125" style="492" customWidth="1"/>
    <col min="13826" max="13826" width="4.7109375" style="492" customWidth="1"/>
    <col min="13827" max="13829" width="19.7109375" style="492" customWidth="1"/>
    <col min="13830" max="13830" width="20.7109375" style="492" customWidth="1"/>
    <col min="13831" max="13832" width="15" style="492" customWidth="1"/>
    <col min="13833" max="13833" width="17.7109375" style="492" customWidth="1"/>
    <col min="13834" max="13834" width="17.85546875" style="492" customWidth="1"/>
    <col min="13835" max="13835" width="20.7109375" style="492" customWidth="1"/>
    <col min="13836" max="13836" width="17.85546875" style="492" customWidth="1"/>
    <col min="13837" max="13837" width="17.42578125" style="492" customWidth="1"/>
    <col min="13838" max="13838" width="21.85546875" style="492" customWidth="1"/>
    <col min="13839" max="13839" width="20.85546875" style="492" customWidth="1"/>
    <col min="13840" max="14080" width="9.140625" style="492"/>
    <col min="14081" max="14081" width="4.5703125" style="492" customWidth="1"/>
    <col min="14082" max="14082" width="4.7109375" style="492" customWidth="1"/>
    <col min="14083" max="14085" width="19.7109375" style="492" customWidth="1"/>
    <col min="14086" max="14086" width="20.7109375" style="492" customWidth="1"/>
    <col min="14087" max="14088" width="15" style="492" customWidth="1"/>
    <col min="14089" max="14089" width="17.7109375" style="492" customWidth="1"/>
    <col min="14090" max="14090" width="17.85546875" style="492" customWidth="1"/>
    <col min="14091" max="14091" width="20.7109375" style="492" customWidth="1"/>
    <col min="14092" max="14092" width="17.85546875" style="492" customWidth="1"/>
    <col min="14093" max="14093" width="17.42578125" style="492" customWidth="1"/>
    <col min="14094" max="14094" width="21.85546875" style="492" customWidth="1"/>
    <col min="14095" max="14095" width="20.85546875" style="492" customWidth="1"/>
    <col min="14096" max="14336" width="9.140625" style="492"/>
    <col min="14337" max="14337" width="4.5703125" style="492" customWidth="1"/>
    <col min="14338" max="14338" width="4.7109375" style="492" customWidth="1"/>
    <col min="14339" max="14341" width="19.7109375" style="492" customWidth="1"/>
    <col min="14342" max="14342" width="20.7109375" style="492" customWidth="1"/>
    <col min="14343" max="14344" width="15" style="492" customWidth="1"/>
    <col min="14345" max="14345" width="17.7109375" style="492" customWidth="1"/>
    <col min="14346" max="14346" width="17.85546875" style="492" customWidth="1"/>
    <col min="14347" max="14347" width="20.7109375" style="492" customWidth="1"/>
    <col min="14348" max="14348" width="17.85546875" style="492" customWidth="1"/>
    <col min="14349" max="14349" width="17.42578125" style="492" customWidth="1"/>
    <col min="14350" max="14350" width="21.85546875" style="492" customWidth="1"/>
    <col min="14351" max="14351" width="20.85546875" style="492" customWidth="1"/>
    <col min="14352" max="14592" width="9.140625" style="492"/>
    <col min="14593" max="14593" width="4.5703125" style="492" customWidth="1"/>
    <col min="14594" max="14594" width="4.7109375" style="492" customWidth="1"/>
    <col min="14595" max="14597" width="19.7109375" style="492" customWidth="1"/>
    <col min="14598" max="14598" width="20.7109375" style="492" customWidth="1"/>
    <col min="14599" max="14600" width="15" style="492" customWidth="1"/>
    <col min="14601" max="14601" width="17.7109375" style="492" customWidth="1"/>
    <col min="14602" max="14602" width="17.85546875" style="492" customWidth="1"/>
    <col min="14603" max="14603" width="20.7109375" style="492" customWidth="1"/>
    <col min="14604" max="14604" width="17.85546875" style="492" customWidth="1"/>
    <col min="14605" max="14605" width="17.42578125" style="492" customWidth="1"/>
    <col min="14606" max="14606" width="21.85546875" style="492" customWidth="1"/>
    <col min="14607" max="14607" width="20.85546875" style="492" customWidth="1"/>
    <col min="14608" max="14848" width="9.140625" style="492"/>
    <col min="14849" max="14849" width="4.5703125" style="492" customWidth="1"/>
    <col min="14850" max="14850" width="4.7109375" style="492" customWidth="1"/>
    <col min="14851" max="14853" width="19.7109375" style="492" customWidth="1"/>
    <col min="14854" max="14854" width="20.7109375" style="492" customWidth="1"/>
    <col min="14855" max="14856" width="15" style="492" customWidth="1"/>
    <col min="14857" max="14857" width="17.7109375" style="492" customWidth="1"/>
    <col min="14858" max="14858" width="17.85546875" style="492" customWidth="1"/>
    <col min="14859" max="14859" width="20.7109375" style="492" customWidth="1"/>
    <col min="14860" max="14860" width="17.85546875" style="492" customWidth="1"/>
    <col min="14861" max="14861" width="17.42578125" style="492" customWidth="1"/>
    <col min="14862" max="14862" width="21.85546875" style="492" customWidth="1"/>
    <col min="14863" max="14863" width="20.85546875" style="492" customWidth="1"/>
    <col min="14864" max="15104" width="9.140625" style="492"/>
    <col min="15105" max="15105" width="4.5703125" style="492" customWidth="1"/>
    <col min="15106" max="15106" width="4.7109375" style="492" customWidth="1"/>
    <col min="15107" max="15109" width="19.7109375" style="492" customWidth="1"/>
    <col min="15110" max="15110" width="20.7109375" style="492" customWidth="1"/>
    <col min="15111" max="15112" width="15" style="492" customWidth="1"/>
    <col min="15113" max="15113" width="17.7109375" style="492" customWidth="1"/>
    <col min="15114" max="15114" width="17.85546875" style="492" customWidth="1"/>
    <col min="15115" max="15115" width="20.7109375" style="492" customWidth="1"/>
    <col min="15116" max="15116" width="17.85546875" style="492" customWidth="1"/>
    <col min="15117" max="15117" width="17.42578125" style="492" customWidth="1"/>
    <col min="15118" max="15118" width="21.85546875" style="492" customWidth="1"/>
    <col min="15119" max="15119" width="20.85546875" style="492" customWidth="1"/>
    <col min="15120" max="15360" width="9.140625" style="492"/>
    <col min="15361" max="15361" width="4.5703125" style="492" customWidth="1"/>
    <col min="15362" max="15362" width="4.7109375" style="492" customWidth="1"/>
    <col min="15363" max="15365" width="19.7109375" style="492" customWidth="1"/>
    <col min="15366" max="15366" width="20.7109375" style="492" customWidth="1"/>
    <col min="15367" max="15368" width="15" style="492" customWidth="1"/>
    <col min="15369" max="15369" width="17.7109375" style="492" customWidth="1"/>
    <col min="15370" max="15370" width="17.85546875" style="492" customWidth="1"/>
    <col min="15371" max="15371" width="20.7109375" style="492" customWidth="1"/>
    <col min="15372" max="15372" width="17.85546875" style="492" customWidth="1"/>
    <col min="15373" max="15373" width="17.42578125" style="492" customWidth="1"/>
    <col min="15374" max="15374" width="21.85546875" style="492" customWidth="1"/>
    <col min="15375" max="15375" width="20.85546875" style="492" customWidth="1"/>
    <col min="15376" max="15616" width="9.140625" style="492"/>
    <col min="15617" max="15617" width="4.5703125" style="492" customWidth="1"/>
    <col min="15618" max="15618" width="4.7109375" style="492" customWidth="1"/>
    <col min="15619" max="15621" width="19.7109375" style="492" customWidth="1"/>
    <col min="15622" max="15622" width="20.7109375" style="492" customWidth="1"/>
    <col min="15623" max="15624" width="15" style="492" customWidth="1"/>
    <col min="15625" max="15625" width="17.7109375" style="492" customWidth="1"/>
    <col min="15626" max="15626" width="17.85546875" style="492" customWidth="1"/>
    <col min="15627" max="15627" width="20.7109375" style="492" customWidth="1"/>
    <col min="15628" max="15628" width="17.85546875" style="492" customWidth="1"/>
    <col min="15629" max="15629" width="17.42578125" style="492" customWidth="1"/>
    <col min="15630" max="15630" width="21.85546875" style="492" customWidth="1"/>
    <col min="15631" max="15631" width="20.85546875" style="492" customWidth="1"/>
    <col min="15632" max="15872" width="9.140625" style="492"/>
    <col min="15873" max="15873" width="4.5703125" style="492" customWidth="1"/>
    <col min="15874" max="15874" width="4.7109375" style="492" customWidth="1"/>
    <col min="15875" max="15877" width="19.7109375" style="492" customWidth="1"/>
    <col min="15878" max="15878" width="20.7109375" style="492" customWidth="1"/>
    <col min="15879" max="15880" width="15" style="492" customWidth="1"/>
    <col min="15881" max="15881" width="17.7109375" style="492" customWidth="1"/>
    <col min="15882" max="15882" width="17.85546875" style="492" customWidth="1"/>
    <col min="15883" max="15883" width="20.7109375" style="492" customWidth="1"/>
    <col min="15884" max="15884" width="17.85546875" style="492" customWidth="1"/>
    <col min="15885" max="15885" width="17.42578125" style="492" customWidth="1"/>
    <col min="15886" max="15886" width="21.85546875" style="492" customWidth="1"/>
    <col min="15887" max="15887" width="20.85546875" style="492" customWidth="1"/>
    <col min="15888" max="16128" width="9.140625" style="492"/>
    <col min="16129" max="16129" width="4.5703125" style="492" customWidth="1"/>
    <col min="16130" max="16130" width="4.7109375" style="492" customWidth="1"/>
    <col min="16131" max="16133" width="19.7109375" style="492" customWidth="1"/>
    <col min="16134" max="16134" width="20.7109375" style="492" customWidth="1"/>
    <col min="16135" max="16136" width="15" style="492" customWidth="1"/>
    <col min="16137" max="16137" width="17.7109375" style="492" customWidth="1"/>
    <col min="16138" max="16138" width="17.85546875" style="492" customWidth="1"/>
    <col min="16139" max="16139" width="20.7109375" style="492" customWidth="1"/>
    <col min="16140" max="16140" width="17.85546875" style="492" customWidth="1"/>
    <col min="16141" max="16141" width="17.42578125" style="492" customWidth="1"/>
    <col min="16142" max="16142" width="21.85546875" style="492" customWidth="1"/>
    <col min="16143" max="16143" width="20.85546875" style="492" customWidth="1"/>
    <col min="16144" max="16384" width="9.140625" style="492"/>
  </cols>
  <sheetData>
    <row r="1" spans="1:255" ht="15.75" customHeight="1">
      <c r="A1" s="492"/>
      <c r="B1" s="492"/>
      <c r="L1" s="492"/>
    </row>
    <row r="2" spans="1:255" ht="15.75" customHeight="1">
      <c r="A2" s="492"/>
      <c r="B2" s="492"/>
      <c r="L2" s="492"/>
    </row>
    <row r="3" spans="1:255" ht="15.75" customHeight="1">
      <c r="A3" s="492"/>
      <c r="B3" s="492"/>
      <c r="L3" s="492"/>
    </row>
    <row r="4" spans="1:255" ht="15.75" customHeight="1"/>
    <row r="5" spans="1:255" ht="15.75" customHeight="1"/>
    <row r="6" spans="1:255" ht="15.75" customHeight="1"/>
    <row r="7" spans="1:255" ht="30">
      <c r="A7" s="944" t="s">
        <v>1529</v>
      </c>
      <c r="B7" s="945"/>
      <c r="C7" s="945"/>
      <c r="D7" s="945"/>
      <c r="E7" s="945"/>
      <c r="F7" s="945"/>
      <c r="G7" s="945"/>
      <c r="H7" s="945"/>
      <c r="I7" s="945"/>
      <c r="J7" s="945"/>
      <c r="K7" s="945"/>
      <c r="L7" s="494"/>
      <c r="M7" s="495"/>
      <c r="N7" s="495"/>
      <c r="O7" s="495"/>
      <c r="P7" s="495"/>
      <c r="Q7" s="495"/>
      <c r="R7" s="495"/>
      <c r="S7" s="495"/>
      <c r="T7" s="495"/>
      <c r="U7" s="495"/>
      <c r="V7" s="494"/>
      <c r="W7" s="495"/>
      <c r="X7" s="495"/>
      <c r="Y7" s="495"/>
      <c r="Z7" s="495"/>
      <c r="AA7" s="495"/>
      <c r="AB7" s="495"/>
      <c r="AC7" s="495"/>
      <c r="AD7" s="495"/>
      <c r="AE7" s="495"/>
      <c r="AF7" s="495"/>
      <c r="AG7" s="494"/>
      <c r="AH7" s="495"/>
      <c r="AI7" s="495"/>
      <c r="AJ7" s="495"/>
      <c r="AK7" s="495"/>
      <c r="AL7" s="495"/>
      <c r="AM7" s="495"/>
      <c r="AN7" s="495"/>
      <c r="AO7" s="495"/>
      <c r="AP7" s="495"/>
      <c r="AQ7" s="495"/>
      <c r="AR7" s="494"/>
      <c r="AS7" s="495"/>
      <c r="AT7" s="495"/>
      <c r="AU7" s="495"/>
      <c r="AV7" s="495"/>
      <c r="AW7" s="495"/>
      <c r="AX7" s="495"/>
      <c r="AY7" s="495"/>
      <c r="AZ7" s="495"/>
      <c r="BA7" s="495"/>
      <c r="BB7" s="495"/>
      <c r="BC7" s="494"/>
      <c r="BD7" s="495"/>
      <c r="BE7" s="495"/>
      <c r="BF7" s="495"/>
      <c r="BG7" s="495"/>
      <c r="BH7" s="495"/>
      <c r="BI7" s="495"/>
      <c r="BJ7" s="495"/>
      <c r="BK7" s="495"/>
      <c r="BL7" s="495"/>
      <c r="BM7" s="495"/>
      <c r="BN7" s="494"/>
      <c r="BO7" s="495"/>
      <c r="BP7" s="495"/>
      <c r="BQ7" s="495"/>
      <c r="BR7" s="495"/>
      <c r="BS7" s="495"/>
      <c r="BT7" s="495"/>
      <c r="BU7" s="495"/>
      <c r="BV7" s="495"/>
      <c r="BW7" s="495"/>
      <c r="BX7" s="495"/>
      <c r="BY7" s="494"/>
      <c r="BZ7" s="495"/>
      <c r="CA7" s="495"/>
      <c r="CB7" s="495"/>
      <c r="CC7" s="495"/>
      <c r="CD7" s="495"/>
      <c r="CE7" s="495"/>
      <c r="CF7" s="495"/>
      <c r="CG7" s="495"/>
      <c r="CH7" s="495"/>
      <c r="CI7" s="495"/>
      <c r="CJ7" s="494"/>
      <c r="CK7" s="495"/>
      <c r="CL7" s="495"/>
      <c r="CM7" s="495"/>
      <c r="CN7" s="495"/>
      <c r="CO7" s="495"/>
      <c r="CP7" s="495"/>
      <c r="CQ7" s="495"/>
      <c r="CR7" s="495"/>
      <c r="CS7" s="495"/>
      <c r="CT7" s="495"/>
      <c r="CU7" s="494"/>
      <c r="CV7" s="495"/>
      <c r="CW7" s="495"/>
      <c r="CX7" s="495"/>
      <c r="CY7" s="495"/>
      <c r="CZ7" s="495"/>
      <c r="DA7" s="495"/>
      <c r="DB7" s="495"/>
      <c r="DC7" s="495"/>
      <c r="DD7" s="495"/>
      <c r="DE7" s="495"/>
      <c r="DF7" s="494"/>
      <c r="DG7" s="495"/>
      <c r="DH7" s="495"/>
      <c r="DI7" s="495"/>
      <c r="DJ7" s="495"/>
      <c r="DK7" s="495"/>
      <c r="DL7" s="495"/>
      <c r="DM7" s="495"/>
      <c r="DN7" s="495"/>
      <c r="DO7" s="495"/>
      <c r="DP7" s="495"/>
      <c r="DQ7" s="494"/>
      <c r="DR7" s="495"/>
      <c r="DS7" s="495"/>
      <c r="DT7" s="495"/>
      <c r="DU7" s="495"/>
      <c r="DV7" s="495"/>
      <c r="DW7" s="495"/>
      <c r="DX7" s="495"/>
      <c r="DY7" s="495"/>
      <c r="DZ7" s="495"/>
      <c r="EA7" s="495"/>
      <c r="EB7" s="494"/>
      <c r="EC7" s="495"/>
      <c r="ED7" s="495"/>
      <c r="EE7" s="495"/>
      <c r="EF7" s="495"/>
      <c r="EG7" s="495"/>
      <c r="EH7" s="495"/>
      <c r="EI7" s="495"/>
      <c r="EJ7" s="495"/>
      <c r="EK7" s="495"/>
      <c r="EL7" s="495"/>
      <c r="EM7" s="494"/>
      <c r="EN7" s="495"/>
      <c r="EO7" s="495"/>
      <c r="EP7" s="495"/>
      <c r="EQ7" s="495"/>
      <c r="ER7" s="495"/>
      <c r="ES7" s="495"/>
      <c r="ET7" s="495"/>
      <c r="EU7" s="495"/>
      <c r="EV7" s="495"/>
      <c r="EW7" s="495"/>
      <c r="EX7" s="494"/>
      <c r="EY7" s="495"/>
      <c r="EZ7" s="495"/>
      <c r="FA7" s="495"/>
      <c r="FB7" s="495"/>
      <c r="FC7" s="495"/>
      <c r="FD7" s="495"/>
      <c r="FE7" s="495"/>
      <c r="FF7" s="495"/>
      <c r="FG7" s="495"/>
      <c r="FH7" s="495"/>
      <c r="FI7" s="494"/>
      <c r="FJ7" s="495"/>
      <c r="FK7" s="495"/>
      <c r="FL7" s="495"/>
      <c r="FM7" s="495"/>
      <c r="FN7" s="495"/>
      <c r="FO7" s="495"/>
      <c r="FP7" s="495"/>
      <c r="FQ7" s="495"/>
      <c r="FR7" s="495"/>
      <c r="FS7" s="495"/>
      <c r="FT7" s="494"/>
      <c r="FU7" s="495"/>
      <c r="FV7" s="495"/>
      <c r="FW7" s="495"/>
      <c r="FX7" s="495"/>
      <c r="FY7" s="495"/>
      <c r="FZ7" s="495"/>
      <c r="GA7" s="495"/>
      <c r="GB7" s="495"/>
      <c r="GC7" s="495"/>
      <c r="GD7" s="495"/>
      <c r="GE7" s="494"/>
      <c r="GF7" s="495"/>
      <c r="GG7" s="495"/>
      <c r="GH7" s="495"/>
      <c r="GI7" s="495"/>
      <c r="GJ7" s="495"/>
      <c r="GK7" s="495"/>
      <c r="GL7" s="495"/>
      <c r="GM7" s="495"/>
      <c r="GN7" s="495"/>
      <c r="GO7" s="495"/>
      <c r="GP7" s="494"/>
      <c r="GQ7" s="495"/>
      <c r="GR7" s="495"/>
      <c r="GS7" s="495"/>
      <c r="GT7" s="495"/>
      <c r="GU7" s="495"/>
      <c r="GV7" s="495"/>
      <c r="GW7" s="495"/>
      <c r="GX7" s="495"/>
      <c r="GY7" s="495"/>
      <c r="GZ7" s="495"/>
      <c r="HA7" s="494"/>
      <c r="HB7" s="495"/>
      <c r="HC7" s="495"/>
      <c r="HD7" s="495"/>
      <c r="HE7" s="495"/>
      <c r="HF7" s="495"/>
      <c r="HG7" s="495"/>
      <c r="HH7" s="495"/>
      <c r="HI7" s="495"/>
      <c r="HJ7" s="495"/>
      <c r="HK7" s="495"/>
      <c r="HL7" s="494"/>
      <c r="HM7" s="495"/>
      <c r="HN7" s="495"/>
      <c r="HO7" s="495"/>
      <c r="HP7" s="495"/>
      <c r="HQ7" s="495"/>
      <c r="HR7" s="495"/>
      <c r="HS7" s="495"/>
      <c r="HT7" s="495"/>
      <c r="HU7" s="495"/>
      <c r="HV7" s="495"/>
      <c r="HW7" s="494"/>
      <c r="HX7" s="495"/>
      <c r="HY7" s="495"/>
      <c r="HZ7" s="495"/>
      <c r="IA7" s="495"/>
      <c r="IB7" s="495"/>
      <c r="IC7" s="495"/>
      <c r="ID7" s="495"/>
      <c r="IE7" s="495"/>
      <c r="IF7" s="495"/>
      <c r="IG7" s="495"/>
      <c r="IH7" s="494"/>
      <c r="II7" s="495"/>
      <c r="IJ7" s="495"/>
      <c r="IK7" s="495"/>
      <c r="IL7" s="495"/>
      <c r="IM7" s="495"/>
      <c r="IN7" s="495"/>
      <c r="IO7" s="495"/>
      <c r="IP7" s="495"/>
      <c r="IQ7" s="495"/>
      <c r="IR7" s="495"/>
      <c r="IS7" s="494"/>
      <c r="IT7" s="495"/>
      <c r="IU7" s="495"/>
    </row>
    <row r="8" spans="1:255" ht="30">
      <c r="A8" s="494"/>
      <c r="B8" s="495"/>
      <c r="C8" s="495"/>
      <c r="D8" s="495"/>
      <c r="E8" s="495"/>
      <c r="F8" s="495"/>
      <c r="G8" s="495"/>
      <c r="H8" s="495"/>
      <c r="I8" s="495"/>
      <c r="J8" s="495"/>
      <c r="K8" s="495"/>
      <c r="L8" s="494"/>
      <c r="M8" s="495"/>
      <c r="N8" s="495"/>
      <c r="O8" s="495"/>
      <c r="P8" s="495"/>
      <c r="Q8" s="495"/>
      <c r="R8" s="495"/>
      <c r="S8" s="495"/>
      <c r="T8" s="495"/>
      <c r="U8" s="495"/>
      <c r="V8" s="494"/>
      <c r="W8" s="495"/>
      <c r="X8" s="495"/>
      <c r="Y8" s="495"/>
      <c r="Z8" s="495"/>
      <c r="AA8" s="495"/>
      <c r="AB8" s="495"/>
      <c r="AC8" s="495"/>
      <c r="AD8" s="495"/>
      <c r="AE8" s="495"/>
      <c r="AF8" s="495"/>
      <c r="AG8" s="494"/>
      <c r="AH8" s="495"/>
      <c r="AI8" s="495"/>
      <c r="AJ8" s="495"/>
      <c r="AK8" s="495"/>
      <c r="AL8" s="495"/>
      <c r="AM8" s="495"/>
      <c r="AN8" s="495"/>
      <c r="AO8" s="495"/>
      <c r="AP8" s="495"/>
      <c r="AQ8" s="495"/>
      <c r="AR8" s="494"/>
      <c r="AS8" s="495"/>
      <c r="AT8" s="495"/>
      <c r="AU8" s="495"/>
      <c r="AV8" s="495"/>
      <c r="AW8" s="495"/>
      <c r="AX8" s="495"/>
      <c r="AY8" s="495"/>
      <c r="AZ8" s="495"/>
      <c r="BA8" s="495"/>
      <c r="BB8" s="495"/>
      <c r="BC8" s="494"/>
      <c r="BD8" s="495"/>
      <c r="BE8" s="495"/>
      <c r="BF8" s="495"/>
      <c r="BG8" s="495"/>
      <c r="BH8" s="495"/>
      <c r="BI8" s="495"/>
      <c r="BJ8" s="495"/>
      <c r="BK8" s="495"/>
      <c r="BL8" s="495"/>
      <c r="BM8" s="495"/>
      <c r="BN8" s="494"/>
      <c r="BO8" s="495"/>
      <c r="BP8" s="495"/>
      <c r="BQ8" s="495"/>
      <c r="BR8" s="495"/>
      <c r="BS8" s="495"/>
      <c r="BT8" s="495"/>
      <c r="BU8" s="495"/>
      <c r="BV8" s="495"/>
      <c r="BW8" s="495"/>
      <c r="BX8" s="495"/>
      <c r="BY8" s="494"/>
      <c r="BZ8" s="495"/>
      <c r="CA8" s="495"/>
      <c r="CB8" s="495"/>
      <c r="CC8" s="495"/>
      <c r="CD8" s="495"/>
      <c r="CE8" s="495"/>
      <c r="CF8" s="495"/>
      <c r="CG8" s="495"/>
      <c r="CH8" s="495"/>
      <c r="CI8" s="495"/>
      <c r="CJ8" s="494"/>
      <c r="CK8" s="495"/>
      <c r="CL8" s="495"/>
      <c r="CM8" s="495"/>
      <c r="CN8" s="495"/>
      <c r="CO8" s="495"/>
      <c r="CP8" s="495"/>
      <c r="CQ8" s="495"/>
      <c r="CR8" s="495"/>
      <c r="CS8" s="495"/>
      <c r="CT8" s="495"/>
      <c r="CU8" s="494"/>
      <c r="CV8" s="495"/>
      <c r="CW8" s="495"/>
      <c r="CX8" s="495"/>
      <c r="CY8" s="495"/>
      <c r="CZ8" s="495"/>
      <c r="DA8" s="495"/>
      <c r="DB8" s="495"/>
      <c r="DC8" s="495"/>
      <c r="DD8" s="495"/>
      <c r="DE8" s="495"/>
      <c r="DF8" s="494"/>
      <c r="DG8" s="495"/>
      <c r="DH8" s="495"/>
      <c r="DI8" s="495"/>
      <c r="DJ8" s="495"/>
      <c r="DK8" s="495"/>
      <c r="DL8" s="495"/>
      <c r="DM8" s="495"/>
      <c r="DN8" s="495"/>
      <c r="DO8" s="495"/>
      <c r="DP8" s="495"/>
      <c r="DQ8" s="494"/>
      <c r="DR8" s="495"/>
      <c r="DS8" s="495"/>
      <c r="DT8" s="495"/>
      <c r="DU8" s="495"/>
      <c r="DV8" s="495"/>
      <c r="DW8" s="495"/>
      <c r="DX8" s="495"/>
      <c r="DY8" s="495"/>
      <c r="DZ8" s="495"/>
      <c r="EA8" s="495"/>
      <c r="EB8" s="494"/>
      <c r="EC8" s="495"/>
      <c r="ED8" s="495"/>
      <c r="EE8" s="495"/>
      <c r="EF8" s="495"/>
      <c r="EG8" s="495"/>
      <c r="EH8" s="495"/>
      <c r="EI8" s="495"/>
      <c r="EJ8" s="495"/>
      <c r="EK8" s="495"/>
      <c r="EL8" s="495"/>
      <c r="EM8" s="494"/>
      <c r="EN8" s="495"/>
      <c r="EO8" s="495"/>
      <c r="EP8" s="495"/>
      <c r="EQ8" s="495"/>
      <c r="ER8" s="495"/>
      <c r="ES8" s="495"/>
      <c r="ET8" s="495"/>
      <c r="EU8" s="495"/>
      <c r="EV8" s="495"/>
      <c r="EW8" s="495"/>
      <c r="EX8" s="494"/>
      <c r="EY8" s="495"/>
      <c r="EZ8" s="495"/>
      <c r="FA8" s="495"/>
      <c r="FB8" s="495"/>
      <c r="FC8" s="495"/>
      <c r="FD8" s="495"/>
      <c r="FE8" s="495"/>
      <c r="FF8" s="495"/>
      <c r="FG8" s="495"/>
      <c r="FH8" s="495"/>
      <c r="FI8" s="494"/>
      <c r="FJ8" s="495"/>
      <c r="FK8" s="495"/>
      <c r="FL8" s="495"/>
      <c r="FM8" s="495"/>
      <c r="FN8" s="495"/>
      <c r="FO8" s="495"/>
      <c r="FP8" s="495"/>
      <c r="FQ8" s="495"/>
      <c r="FR8" s="495"/>
      <c r="FS8" s="495"/>
      <c r="FT8" s="494"/>
      <c r="FU8" s="495"/>
      <c r="FV8" s="495"/>
      <c r="FW8" s="495"/>
      <c r="FX8" s="495"/>
      <c r="FY8" s="495"/>
      <c r="FZ8" s="495"/>
      <c r="GA8" s="495"/>
      <c r="GB8" s="495"/>
      <c r="GC8" s="495"/>
      <c r="GD8" s="495"/>
      <c r="GE8" s="494"/>
      <c r="GF8" s="495"/>
      <c r="GG8" s="495"/>
      <c r="GH8" s="495"/>
      <c r="GI8" s="495"/>
      <c r="GJ8" s="495"/>
      <c r="GK8" s="495"/>
      <c r="GL8" s="495"/>
      <c r="GM8" s="495"/>
      <c r="GN8" s="495"/>
      <c r="GO8" s="495"/>
      <c r="GP8" s="494"/>
      <c r="GQ8" s="495"/>
      <c r="GR8" s="495"/>
      <c r="GS8" s="495"/>
      <c r="GT8" s="495"/>
      <c r="GU8" s="495"/>
      <c r="GV8" s="495"/>
      <c r="GW8" s="495"/>
      <c r="GX8" s="495"/>
      <c r="GY8" s="495"/>
      <c r="GZ8" s="495"/>
      <c r="HA8" s="494"/>
      <c r="HB8" s="495"/>
      <c r="HC8" s="495"/>
      <c r="HD8" s="495"/>
      <c r="HE8" s="495"/>
      <c r="HF8" s="495"/>
      <c r="HG8" s="495"/>
      <c r="HH8" s="495"/>
      <c r="HI8" s="495"/>
      <c r="HJ8" s="495"/>
      <c r="HK8" s="495"/>
      <c r="HL8" s="494"/>
      <c r="HM8" s="495"/>
      <c r="HN8" s="495"/>
      <c r="HO8" s="495"/>
      <c r="HP8" s="495"/>
      <c r="HQ8" s="495"/>
      <c r="HR8" s="495"/>
      <c r="HS8" s="495"/>
      <c r="HT8" s="495"/>
      <c r="HU8" s="495"/>
      <c r="HV8" s="495"/>
      <c r="HW8" s="494"/>
      <c r="HX8" s="495"/>
      <c r="HY8" s="495"/>
      <c r="HZ8" s="495"/>
      <c r="IA8" s="495"/>
      <c r="IB8" s="495"/>
      <c r="IC8" s="495"/>
      <c r="ID8" s="495"/>
      <c r="IE8" s="495"/>
      <c r="IF8" s="495"/>
      <c r="IG8" s="495"/>
      <c r="IH8" s="494"/>
      <c r="II8" s="495"/>
      <c r="IJ8" s="495"/>
      <c r="IK8" s="495"/>
      <c r="IL8" s="495"/>
      <c r="IM8" s="495"/>
      <c r="IN8" s="495"/>
      <c r="IO8" s="495"/>
      <c r="IP8" s="495"/>
      <c r="IQ8" s="495"/>
      <c r="IR8" s="495"/>
      <c r="IS8" s="494"/>
      <c r="IT8" s="495"/>
      <c r="IU8" s="495"/>
    </row>
    <row r="9" spans="1:255" ht="30">
      <c r="A9" s="944" t="s">
        <v>1530</v>
      </c>
      <c r="B9" s="945"/>
      <c r="C9" s="945"/>
      <c r="D9" s="945"/>
      <c r="E9" s="945"/>
      <c r="F9" s="945"/>
      <c r="G9" s="945"/>
      <c r="H9" s="945"/>
      <c r="I9" s="945"/>
      <c r="J9" s="945"/>
      <c r="K9" s="945"/>
      <c r="L9" s="944"/>
      <c r="M9" s="945"/>
      <c r="N9" s="945"/>
      <c r="O9" s="945"/>
      <c r="P9" s="945"/>
      <c r="Q9" s="945"/>
      <c r="R9" s="945"/>
      <c r="S9" s="945"/>
      <c r="T9" s="945"/>
      <c r="U9" s="945"/>
      <c r="V9" s="944"/>
      <c r="W9" s="945"/>
      <c r="X9" s="945"/>
      <c r="Y9" s="945"/>
      <c r="Z9" s="945"/>
      <c r="AA9" s="945"/>
      <c r="AB9" s="945"/>
      <c r="AC9" s="945"/>
      <c r="AD9" s="945"/>
      <c r="AE9" s="945"/>
      <c r="AF9" s="945"/>
      <c r="AG9" s="944"/>
      <c r="AH9" s="945"/>
      <c r="AI9" s="945"/>
      <c r="AJ9" s="945"/>
      <c r="AK9" s="945"/>
      <c r="AL9" s="945"/>
      <c r="AM9" s="945"/>
      <c r="AN9" s="945"/>
      <c r="AO9" s="945"/>
      <c r="AP9" s="945"/>
      <c r="AQ9" s="945"/>
      <c r="AR9" s="944"/>
      <c r="AS9" s="945"/>
      <c r="AT9" s="945"/>
      <c r="AU9" s="945"/>
      <c r="AV9" s="945"/>
      <c r="AW9" s="945"/>
      <c r="AX9" s="945"/>
      <c r="AY9" s="945"/>
      <c r="AZ9" s="945"/>
      <c r="BA9" s="945"/>
      <c r="BB9" s="945"/>
      <c r="BC9" s="944"/>
      <c r="BD9" s="945"/>
      <c r="BE9" s="945"/>
      <c r="BF9" s="945"/>
      <c r="BG9" s="945"/>
      <c r="BH9" s="945"/>
      <c r="BI9" s="945"/>
      <c r="BJ9" s="945"/>
      <c r="BK9" s="945"/>
      <c r="BL9" s="945"/>
      <c r="BM9" s="945"/>
      <c r="BN9" s="944"/>
      <c r="BO9" s="945"/>
      <c r="BP9" s="945"/>
      <c r="BQ9" s="945"/>
      <c r="BR9" s="945"/>
      <c r="BS9" s="945"/>
      <c r="BT9" s="945"/>
      <c r="BU9" s="945"/>
      <c r="BV9" s="945"/>
      <c r="BW9" s="945"/>
      <c r="BX9" s="945"/>
      <c r="BY9" s="944"/>
      <c r="BZ9" s="945"/>
      <c r="CA9" s="945"/>
      <c r="CB9" s="945"/>
      <c r="CC9" s="945"/>
      <c r="CD9" s="945"/>
      <c r="CE9" s="945"/>
      <c r="CF9" s="945"/>
      <c r="CG9" s="945"/>
      <c r="CH9" s="945"/>
      <c r="CI9" s="945"/>
      <c r="CJ9" s="944"/>
      <c r="CK9" s="945"/>
      <c r="CL9" s="945"/>
      <c r="CM9" s="945"/>
      <c r="CN9" s="945"/>
      <c r="CO9" s="945"/>
      <c r="CP9" s="945"/>
      <c r="CQ9" s="945"/>
      <c r="CR9" s="945"/>
      <c r="CS9" s="945"/>
      <c r="CT9" s="945"/>
      <c r="CU9" s="944"/>
      <c r="CV9" s="945"/>
      <c r="CW9" s="945"/>
      <c r="CX9" s="945"/>
      <c r="CY9" s="945"/>
      <c r="CZ9" s="945"/>
      <c r="DA9" s="945"/>
      <c r="DB9" s="945"/>
      <c r="DC9" s="945"/>
      <c r="DD9" s="945"/>
      <c r="DE9" s="945"/>
      <c r="DF9" s="944"/>
      <c r="DG9" s="945"/>
      <c r="DH9" s="945"/>
      <c r="DI9" s="945"/>
      <c r="DJ9" s="945"/>
      <c r="DK9" s="945"/>
      <c r="DL9" s="945"/>
      <c r="DM9" s="945"/>
      <c r="DN9" s="945"/>
      <c r="DO9" s="945"/>
      <c r="DP9" s="945"/>
      <c r="DQ9" s="944"/>
      <c r="DR9" s="945"/>
      <c r="DS9" s="945"/>
      <c r="DT9" s="945"/>
      <c r="DU9" s="945"/>
      <c r="DV9" s="945"/>
      <c r="DW9" s="945"/>
      <c r="DX9" s="945"/>
      <c r="DY9" s="945"/>
      <c r="DZ9" s="945"/>
      <c r="EA9" s="945"/>
      <c r="EB9" s="944"/>
      <c r="EC9" s="945"/>
      <c r="ED9" s="945"/>
      <c r="EE9" s="945"/>
      <c r="EF9" s="945"/>
      <c r="EG9" s="945"/>
      <c r="EH9" s="945"/>
      <c r="EI9" s="945"/>
      <c r="EJ9" s="945"/>
      <c r="EK9" s="945"/>
      <c r="EL9" s="945"/>
      <c r="EM9" s="944"/>
      <c r="EN9" s="945"/>
      <c r="EO9" s="945"/>
      <c r="EP9" s="945"/>
      <c r="EQ9" s="945"/>
      <c r="ER9" s="945"/>
      <c r="ES9" s="945"/>
      <c r="ET9" s="945"/>
      <c r="EU9" s="945"/>
      <c r="EV9" s="945"/>
      <c r="EW9" s="945"/>
      <c r="EX9" s="944"/>
      <c r="EY9" s="945"/>
      <c r="EZ9" s="945"/>
      <c r="FA9" s="945"/>
      <c r="FB9" s="945"/>
      <c r="FC9" s="945"/>
      <c r="FD9" s="945"/>
      <c r="FE9" s="945"/>
      <c r="FF9" s="945"/>
      <c r="FG9" s="945"/>
      <c r="FH9" s="945"/>
      <c r="FI9" s="944"/>
      <c r="FJ9" s="945"/>
      <c r="FK9" s="945"/>
      <c r="FL9" s="945"/>
      <c r="FM9" s="945"/>
      <c r="FN9" s="945"/>
      <c r="FO9" s="945"/>
      <c r="FP9" s="945"/>
      <c r="FQ9" s="945"/>
      <c r="FR9" s="945"/>
      <c r="FS9" s="945"/>
      <c r="FT9" s="944"/>
      <c r="FU9" s="945"/>
      <c r="FV9" s="945"/>
      <c r="FW9" s="945"/>
      <c r="FX9" s="945"/>
      <c r="FY9" s="945"/>
      <c r="FZ9" s="945"/>
      <c r="GA9" s="945"/>
      <c r="GB9" s="945"/>
      <c r="GC9" s="945"/>
      <c r="GD9" s="945"/>
      <c r="GE9" s="944"/>
      <c r="GF9" s="945"/>
      <c r="GG9" s="945"/>
      <c r="GH9" s="945"/>
      <c r="GI9" s="945"/>
      <c r="GJ9" s="945"/>
      <c r="GK9" s="945"/>
      <c r="GL9" s="945"/>
      <c r="GM9" s="945"/>
      <c r="GN9" s="945"/>
      <c r="GO9" s="945"/>
      <c r="GP9" s="944"/>
      <c r="GQ9" s="945"/>
      <c r="GR9" s="945"/>
      <c r="GS9" s="945"/>
      <c r="GT9" s="945"/>
      <c r="GU9" s="945"/>
      <c r="GV9" s="945"/>
      <c r="GW9" s="945"/>
      <c r="GX9" s="945"/>
      <c r="GY9" s="945"/>
      <c r="GZ9" s="945"/>
      <c r="HA9" s="944"/>
      <c r="HB9" s="945"/>
      <c r="HC9" s="945"/>
      <c r="HD9" s="945"/>
      <c r="HE9" s="945"/>
      <c r="HF9" s="945"/>
      <c r="HG9" s="945"/>
      <c r="HH9" s="945"/>
      <c r="HI9" s="945"/>
      <c r="HJ9" s="945"/>
      <c r="HK9" s="945"/>
      <c r="HL9" s="944"/>
      <c r="HM9" s="945"/>
      <c r="HN9" s="945"/>
      <c r="HO9" s="945"/>
      <c r="HP9" s="945"/>
      <c r="HQ9" s="945"/>
      <c r="HR9" s="945"/>
      <c r="HS9" s="945"/>
      <c r="HT9" s="945"/>
      <c r="HU9" s="945"/>
      <c r="HV9" s="945"/>
      <c r="HW9" s="944"/>
      <c r="HX9" s="945"/>
      <c r="HY9" s="945"/>
      <c r="HZ9" s="945"/>
      <c r="IA9" s="945"/>
      <c r="IB9" s="945"/>
      <c r="IC9" s="945"/>
      <c r="ID9" s="945"/>
      <c r="IE9" s="945"/>
      <c r="IF9" s="945"/>
      <c r="IG9" s="945"/>
      <c r="IH9" s="944"/>
      <c r="II9" s="945"/>
      <c r="IJ9" s="945"/>
      <c r="IK9" s="945"/>
      <c r="IL9" s="945"/>
      <c r="IM9" s="945"/>
      <c r="IN9" s="945"/>
      <c r="IO9" s="945"/>
      <c r="IP9" s="945"/>
      <c r="IQ9" s="945"/>
      <c r="IR9" s="945"/>
      <c r="IS9" s="944"/>
      <c r="IT9" s="945"/>
      <c r="IU9" s="945"/>
    </row>
    <row r="10" spans="1:255" ht="30">
      <c r="A10" s="946" t="s">
        <v>1746</v>
      </c>
      <c r="B10" s="947"/>
      <c r="C10" s="947"/>
      <c r="D10" s="947"/>
      <c r="E10" s="947"/>
      <c r="F10" s="947"/>
      <c r="G10" s="947"/>
      <c r="H10" s="947"/>
      <c r="I10" s="947"/>
      <c r="J10" s="947"/>
      <c r="K10" s="947"/>
      <c r="L10" s="944"/>
      <c r="M10" s="945"/>
      <c r="N10" s="945"/>
      <c r="O10" s="945"/>
      <c r="P10" s="945"/>
      <c r="Q10" s="945"/>
      <c r="R10" s="945"/>
      <c r="S10" s="945"/>
      <c r="T10" s="945"/>
      <c r="U10" s="945"/>
      <c r="V10" s="944"/>
      <c r="W10" s="945"/>
      <c r="X10" s="945"/>
      <c r="Y10" s="945"/>
      <c r="Z10" s="945"/>
      <c r="AA10" s="945"/>
      <c r="AB10" s="945"/>
      <c r="AC10" s="945"/>
      <c r="AD10" s="945"/>
      <c r="AE10" s="945"/>
      <c r="AF10" s="945"/>
      <c r="AG10" s="944"/>
      <c r="AH10" s="945"/>
      <c r="AI10" s="945"/>
      <c r="AJ10" s="945"/>
      <c r="AK10" s="945"/>
      <c r="AL10" s="945"/>
      <c r="AM10" s="945"/>
      <c r="AN10" s="945"/>
      <c r="AO10" s="945"/>
      <c r="AP10" s="945"/>
      <c r="AQ10" s="945"/>
      <c r="AR10" s="944"/>
      <c r="AS10" s="945"/>
      <c r="AT10" s="945"/>
      <c r="AU10" s="945"/>
      <c r="AV10" s="945"/>
      <c r="AW10" s="945"/>
      <c r="AX10" s="945"/>
      <c r="AY10" s="945"/>
      <c r="AZ10" s="945"/>
      <c r="BA10" s="945"/>
      <c r="BB10" s="945"/>
      <c r="BC10" s="944"/>
      <c r="BD10" s="945"/>
      <c r="BE10" s="945"/>
      <c r="BF10" s="945"/>
      <c r="BG10" s="945"/>
      <c r="BH10" s="945"/>
      <c r="BI10" s="945"/>
      <c r="BJ10" s="945"/>
      <c r="BK10" s="945"/>
      <c r="BL10" s="945"/>
      <c r="BM10" s="945"/>
      <c r="BN10" s="944"/>
      <c r="BO10" s="945"/>
      <c r="BP10" s="945"/>
      <c r="BQ10" s="945"/>
      <c r="BR10" s="945"/>
      <c r="BS10" s="945"/>
      <c r="BT10" s="945"/>
      <c r="BU10" s="945"/>
      <c r="BV10" s="945"/>
      <c r="BW10" s="945"/>
      <c r="BX10" s="945"/>
      <c r="BY10" s="944"/>
      <c r="BZ10" s="945"/>
      <c r="CA10" s="945"/>
      <c r="CB10" s="945"/>
      <c r="CC10" s="945"/>
      <c r="CD10" s="945"/>
      <c r="CE10" s="945"/>
      <c r="CF10" s="945"/>
      <c r="CG10" s="945"/>
      <c r="CH10" s="945"/>
      <c r="CI10" s="945"/>
      <c r="CJ10" s="944"/>
      <c r="CK10" s="945"/>
      <c r="CL10" s="945"/>
      <c r="CM10" s="945"/>
      <c r="CN10" s="945"/>
      <c r="CO10" s="945"/>
      <c r="CP10" s="945"/>
      <c r="CQ10" s="945"/>
      <c r="CR10" s="945"/>
      <c r="CS10" s="945"/>
      <c r="CT10" s="945"/>
      <c r="CU10" s="944"/>
      <c r="CV10" s="945"/>
      <c r="CW10" s="945"/>
      <c r="CX10" s="945"/>
      <c r="CY10" s="945"/>
      <c r="CZ10" s="945"/>
      <c r="DA10" s="945"/>
      <c r="DB10" s="945"/>
      <c r="DC10" s="945"/>
      <c r="DD10" s="945"/>
      <c r="DE10" s="945"/>
      <c r="DF10" s="944"/>
      <c r="DG10" s="945"/>
      <c r="DH10" s="945"/>
      <c r="DI10" s="945"/>
      <c r="DJ10" s="945"/>
      <c r="DK10" s="945"/>
      <c r="DL10" s="945"/>
      <c r="DM10" s="945"/>
      <c r="DN10" s="945"/>
      <c r="DO10" s="945"/>
      <c r="DP10" s="945"/>
      <c r="DQ10" s="944"/>
      <c r="DR10" s="945"/>
      <c r="DS10" s="945"/>
      <c r="DT10" s="945"/>
      <c r="DU10" s="945"/>
      <c r="DV10" s="945"/>
      <c r="DW10" s="945"/>
      <c r="DX10" s="945"/>
      <c r="DY10" s="945"/>
      <c r="DZ10" s="945"/>
      <c r="EA10" s="945"/>
      <c r="EB10" s="944"/>
      <c r="EC10" s="945"/>
      <c r="ED10" s="945"/>
      <c r="EE10" s="945"/>
      <c r="EF10" s="945"/>
      <c r="EG10" s="945"/>
      <c r="EH10" s="945"/>
      <c r="EI10" s="945"/>
      <c r="EJ10" s="945"/>
      <c r="EK10" s="945"/>
      <c r="EL10" s="945"/>
      <c r="EM10" s="944"/>
      <c r="EN10" s="945"/>
      <c r="EO10" s="945"/>
      <c r="EP10" s="945"/>
      <c r="EQ10" s="945"/>
      <c r="ER10" s="945"/>
      <c r="ES10" s="945"/>
      <c r="ET10" s="945"/>
      <c r="EU10" s="945"/>
      <c r="EV10" s="945"/>
      <c r="EW10" s="945"/>
      <c r="EX10" s="944"/>
      <c r="EY10" s="945"/>
      <c r="EZ10" s="945"/>
      <c r="FA10" s="945"/>
      <c r="FB10" s="945"/>
      <c r="FC10" s="945"/>
      <c r="FD10" s="945"/>
      <c r="FE10" s="945"/>
      <c r="FF10" s="945"/>
      <c r="FG10" s="945"/>
      <c r="FH10" s="945"/>
      <c r="FI10" s="944"/>
      <c r="FJ10" s="945"/>
      <c r="FK10" s="945"/>
      <c r="FL10" s="945"/>
      <c r="FM10" s="945"/>
      <c r="FN10" s="945"/>
      <c r="FO10" s="945"/>
      <c r="FP10" s="945"/>
      <c r="FQ10" s="945"/>
      <c r="FR10" s="945"/>
      <c r="FS10" s="945"/>
      <c r="FT10" s="944"/>
      <c r="FU10" s="945"/>
      <c r="FV10" s="945"/>
      <c r="FW10" s="945"/>
      <c r="FX10" s="945"/>
      <c r="FY10" s="945"/>
      <c r="FZ10" s="945"/>
      <c r="GA10" s="945"/>
      <c r="GB10" s="945"/>
      <c r="GC10" s="945"/>
      <c r="GD10" s="945"/>
      <c r="GE10" s="944"/>
      <c r="GF10" s="945"/>
      <c r="GG10" s="945"/>
      <c r="GH10" s="945"/>
      <c r="GI10" s="945"/>
      <c r="GJ10" s="945"/>
      <c r="GK10" s="945"/>
      <c r="GL10" s="945"/>
      <c r="GM10" s="945"/>
      <c r="GN10" s="945"/>
      <c r="GO10" s="945"/>
      <c r="GP10" s="944"/>
      <c r="GQ10" s="945"/>
      <c r="GR10" s="945"/>
      <c r="GS10" s="945"/>
      <c r="GT10" s="945"/>
      <c r="GU10" s="945"/>
      <c r="GV10" s="945"/>
      <c r="GW10" s="945"/>
      <c r="GX10" s="945"/>
      <c r="GY10" s="945"/>
      <c r="GZ10" s="945"/>
      <c r="HA10" s="944"/>
      <c r="HB10" s="945"/>
      <c r="HC10" s="945"/>
      <c r="HD10" s="945"/>
      <c r="HE10" s="945"/>
      <c r="HF10" s="945"/>
      <c r="HG10" s="945"/>
      <c r="HH10" s="945"/>
      <c r="HI10" s="945"/>
      <c r="HJ10" s="945"/>
      <c r="HK10" s="945"/>
      <c r="HL10" s="944"/>
      <c r="HM10" s="945"/>
      <c r="HN10" s="945"/>
      <c r="HO10" s="945"/>
      <c r="HP10" s="945"/>
      <c r="HQ10" s="945"/>
      <c r="HR10" s="945"/>
      <c r="HS10" s="945"/>
      <c r="HT10" s="945"/>
      <c r="HU10" s="945"/>
      <c r="HV10" s="945"/>
      <c r="HW10" s="944"/>
      <c r="HX10" s="945"/>
      <c r="HY10" s="945"/>
      <c r="HZ10" s="945"/>
      <c r="IA10" s="945"/>
      <c r="IB10" s="945"/>
      <c r="IC10" s="945"/>
      <c r="ID10" s="945"/>
      <c r="IE10" s="945"/>
      <c r="IF10" s="945"/>
      <c r="IG10" s="945"/>
      <c r="IH10" s="944"/>
      <c r="II10" s="945"/>
      <c r="IJ10" s="945"/>
      <c r="IK10" s="945"/>
      <c r="IL10" s="945"/>
      <c r="IM10" s="945"/>
      <c r="IN10" s="945"/>
      <c r="IO10" s="945"/>
      <c r="IP10" s="945"/>
      <c r="IQ10" s="945"/>
      <c r="IR10" s="945"/>
      <c r="IS10" s="944"/>
      <c r="IT10" s="945"/>
      <c r="IU10" s="945"/>
    </row>
    <row r="11" spans="1:255" s="493" customFormat="1" ht="15" customHeight="1">
      <c r="A11" s="926"/>
      <c r="B11" s="933"/>
      <c r="C11" s="933"/>
      <c r="D11" s="933"/>
      <c r="E11" s="933"/>
      <c r="F11" s="933"/>
      <c r="G11" s="933"/>
      <c r="H11" s="933"/>
      <c r="I11" s="933"/>
      <c r="J11" s="933"/>
      <c r="K11" s="933"/>
      <c r="L11" s="494"/>
      <c r="M11" s="495"/>
      <c r="N11" s="495"/>
      <c r="O11" s="495"/>
      <c r="P11" s="495"/>
      <c r="Q11" s="495"/>
      <c r="R11" s="495"/>
      <c r="S11" s="495"/>
      <c r="T11" s="495"/>
      <c r="U11" s="495"/>
      <c r="V11" s="494"/>
      <c r="W11" s="495"/>
      <c r="X11" s="495"/>
      <c r="Y11" s="495"/>
      <c r="Z11" s="495"/>
      <c r="AA11" s="495"/>
      <c r="AB11" s="495"/>
      <c r="AC11" s="495"/>
      <c r="AD11" s="495"/>
      <c r="AE11" s="495"/>
      <c r="AF11" s="495"/>
      <c r="AG11" s="494"/>
      <c r="AH11" s="495"/>
      <c r="AI11" s="495"/>
      <c r="AJ11" s="495"/>
      <c r="AK11" s="495"/>
      <c r="AL11" s="495"/>
      <c r="AM11" s="495"/>
      <c r="AN11" s="495"/>
      <c r="AO11" s="495"/>
      <c r="AP11" s="495"/>
      <c r="AQ11" s="495"/>
      <c r="AR11" s="494"/>
      <c r="AS11" s="495"/>
      <c r="AT11" s="495"/>
      <c r="AU11" s="495"/>
      <c r="AV11" s="495"/>
      <c r="AW11" s="495"/>
      <c r="AX11" s="495"/>
      <c r="AY11" s="495"/>
      <c r="AZ11" s="495"/>
      <c r="BA11" s="495"/>
      <c r="BB11" s="495"/>
      <c r="BC11" s="494"/>
      <c r="BD11" s="495"/>
      <c r="BE11" s="495"/>
      <c r="BF11" s="495"/>
      <c r="BG11" s="495"/>
      <c r="BH11" s="495"/>
      <c r="BI11" s="495"/>
      <c r="BJ11" s="495"/>
      <c r="BK11" s="495"/>
      <c r="BL11" s="495"/>
      <c r="BM11" s="495"/>
      <c r="BN11" s="494"/>
      <c r="BO11" s="495"/>
      <c r="BP11" s="495"/>
      <c r="BQ11" s="495"/>
      <c r="BR11" s="495"/>
      <c r="BS11" s="495"/>
      <c r="BT11" s="495"/>
      <c r="BU11" s="495"/>
      <c r="BV11" s="495"/>
      <c r="BW11" s="495"/>
      <c r="BX11" s="495"/>
      <c r="BY11" s="494"/>
      <c r="BZ11" s="495"/>
      <c r="CA11" s="495"/>
      <c r="CB11" s="495"/>
      <c r="CC11" s="495"/>
      <c r="CD11" s="495"/>
      <c r="CE11" s="495"/>
      <c r="CF11" s="495"/>
      <c r="CG11" s="495"/>
      <c r="CH11" s="495"/>
      <c r="CI11" s="495"/>
      <c r="CJ11" s="494"/>
      <c r="CK11" s="495"/>
      <c r="CL11" s="495"/>
      <c r="CM11" s="495"/>
      <c r="CN11" s="495"/>
      <c r="CO11" s="495"/>
      <c r="CP11" s="495"/>
      <c r="CQ11" s="495"/>
      <c r="CR11" s="495"/>
      <c r="CS11" s="495"/>
      <c r="CT11" s="495"/>
      <c r="CU11" s="494"/>
      <c r="CV11" s="495"/>
      <c r="CW11" s="495"/>
      <c r="CX11" s="495"/>
      <c r="CY11" s="495"/>
      <c r="CZ11" s="495"/>
      <c r="DA11" s="495"/>
      <c r="DB11" s="495"/>
      <c r="DC11" s="495"/>
      <c r="DD11" s="495"/>
      <c r="DE11" s="495"/>
      <c r="DF11" s="494"/>
      <c r="DG11" s="495"/>
      <c r="DH11" s="495"/>
      <c r="DI11" s="495"/>
      <c r="DJ11" s="495"/>
      <c r="DK11" s="495"/>
      <c r="DL11" s="495"/>
      <c r="DM11" s="495"/>
      <c r="DN11" s="495"/>
      <c r="DO11" s="495"/>
      <c r="DP11" s="495"/>
      <c r="DQ11" s="494"/>
      <c r="DR11" s="495"/>
      <c r="DS11" s="495"/>
      <c r="DT11" s="495"/>
      <c r="DU11" s="495"/>
      <c r="DV11" s="495"/>
      <c r="DW11" s="495"/>
      <c r="DX11" s="495"/>
      <c r="DY11" s="495"/>
      <c r="DZ11" s="495"/>
      <c r="EA11" s="495"/>
      <c r="EB11" s="494"/>
      <c r="EC11" s="495"/>
      <c r="ED11" s="495"/>
      <c r="EE11" s="495"/>
      <c r="EF11" s="495"/>
      <c r="EG11" s="495"/>
      <c r="EH11" s="495"/>
      <c r="EI11" s="495"/>
      <c r="EJ11" s="495"/>
      <c r="EK11" s="495"/>
      <c r="EL11" s="495"/>
      <c r="EM11" s="494"/>
      <c r="EN11" s="495"/>
      <c r="EO11" s="495"/>
      <c r="EP11" s="495"/>
      <c r="EQ11" s="495"/>
      <c r="ER11" s="495"/>
      <c r="ES11" s="495"/>
      <c r="ET11" s="495"/>
      <c r="EU11" s="495"/>
      <c r="EV11" s="495"/>
      <c r="EW11" s="495"/>
      <c r="EX11" s="494"/>
      <c r="EY11" s="495"/>
      <c r="EZ11" s="495"/>
      <c r="FA11" s="495"/>
      <c r="FB11" s="495"/>
      <c r="FC11" s="495"/>
      <c r="FD11" s="495"/>
      <c r="FE11" s="495"/>
      <c r="FF11" s="495"/>
      <c r="FG11" s="495"/>
      <c r="FH11" s="495"/>
      <c r="FI11" s="494"/>
      <c r="FJ11" s="495"/>
      <c r="FK11" s="495"/>
      <c r="FL11" s="495"/>
      <c r="FM11" s="495"/>
      <c r="FN11" s="495"/>
      <c r="FO11" s="495"/>
      <c r="FP11" s="495"/>
      <c r="FQ11" s="495"/>
      <c r="FR11" s="495"/>
      <c r="FS11" s="495"/>
      <c r="FT11" s="494"/>
      <c r="FU11" s="495"/>
      <c r="FV11" s="495"/>
      <c r="FW11" s="495"/>
      <c r="FX11" s="495"/>
      <c r="FY11" s="495"/>
      <c r="FZ11" s="495"/>
      <c r="GA11" s="495"/>
      <c r="GB11" s="495"/>
      <c r="GC11" s="495"/>
      <c r="GD11" s="495"/>
      <c r="GE11" s="494"/>
      <c r="GF11" s="495"/>
      <c r="GG11" s="495"/>
      <c r="GH11" s="495"/>
      <c r="GI11" s="495"/>
      <c r="GJ11" s="495"/>
      <c r="GK11" s="495"/>
      <c r="GL11" s="495"/>
      <c r="GM11" s="495"/>
      <c r="GN11" s="495"/>
      <c r="GO11" s="495"/>
      <c r="GP11" s="494"/>
      <c r="GQ11" s="495"/>
      <c r="GR11" s="495"/>
      <c r="GS11" s="495"/>
      <c r="GT11" s="495"/>
      <c r="GU11" s="495"/>
      <c r="GV11" s="495"/>
      <c r="GW11" s="495"/>
      <c r="GX11" s="495"/>
      <c r="GY11" s="495"/>
      <c r="GZ11" s="495"/>
      <c r="HA11" s="494"/>
      <c r="HB11" s="495"/>
      <c r="HC11" s="495"/>
      <c r="HD11" s="495"/>
      <c r="HE11" s="495"/>
      <c r="HF11" s="495"/>
      <c r="HG11" s="495"/>
      <c r="HH11" s="495"/>
      <c r="HI11" s="495"/>
      <c r="HJ11" s="495"/>
      <c r="HK11" s="495"/>
      <c r="HL11" s="494"/>
      <c r="HM11" s="495"/>
      <c r="HN11" s="495"/>
      <c r="HO11" s="495"/>
      <c r="HP11" s="495"/>
      <c r="HQ11" s="495"/>
      <c r="HR11" s="495"/>
      <c r="HS11" s="495"/>
      <c r="HT11" s="495"/>
      <c r="HU11" s="495"/>
      <c r="HV11" s="495"/>
      <c r="HW11" s="494"/>
      <c r="HX11" s="495"/>
      <c r="HY11" s="495"/>
      <c r="HZ11" s="495"/>
      <c r="IA11" s="495"/>
      <c r="IB11" s="495"/>
      <c r="IC11" s="495"/>
      <c r="ID11" s="495"/>
      <c r="IE11" s="495"/>
      <c r="IF11" s="495"/>
      <c r="IG11" s="495"/>
      <c r="IH11" s="494"/>
      <c r="II11" s="495"/>
      <c r="IJ11" s="495"/>
      <c r="IK11" s="495"/>
      <c r="IL11" s="495"/>
      <c r="IM11" s="495"/>
      <c r="IN11" s="495"/>
      <c r="IO11" s="495"/>
      <c r="IP11" s="495"/>
      <c r="IQ11" s="495"/>
      <c r="IR11" s="495"/>
      <c r="IS11" s="494"/>
      <c r="IT11" s="495"/>
      <c r="IU11" s="495"/>
    </row>
    <row r="12" spans="1:255" ht="30">
      <c r="A12" s="946" t="s">
        <v>1747</v>
      </c>
      <c r="B12" s="947"/>
      <c r="C12" s="947"/>
      <c r="D12" s="947"/>
      <c r="E12" s="947"/>
      <c r="F12" s="947"/>
      <c r="G12" s="947"/>
      <c r="H12" s="947"/>
      <c r="I12" s="947"/>
      <c r="J12" s="947"/>
      <c r="K12" s="947"/>
      <c r="L12" s="944"/>
      <c r="M12" s="945"/>
      <c r="N12" s="945"/>
      <c r="O12" s="945"/>
      <c r="P12" s="945"/>
      <c r="Q12" s="945"/>
      <c r="R12" s="945"/>
      <c r="S12" s="945"/>
      <c r="T12" s="945"/>
      <c r="U12" s="945"/>
      <c r="V12" s="944"/>
      <c r="W12" s="945"/>
      <c r="X12" s="945"/>
      <c r="Y12" s="945"/>
      <c r="Z12" s="945"/>
      <c r="AA12" s="945"/>
      <c r="AB12" s="945"/>
      <c r="AC12" s="945"/>
      <c r="AD12" s="945"/>
      <c r="AE12" s="945"/>
      <c r="AF12" s="945"/>
      <c r="AG12" s="944"/>
      <c r="AH12" s="945"/>
      <c r="AI12" s="945"/>
      <c r="AJ12" s="945"/>
      <c r="AK12" s="945"/>
      <c r="AL12" s="945"/>
      <c r="AM12" s="945"/>
      <c r="AN12" s="945"/>
      <c r="AO12" s="945"/>
      <c r="AP12" s="945"/>
      <c r="AQ12" s="945"/>
      <c r="AR12" s="944"/>
      <c r="AS12" s="945"/>
      <c r="AT12" s="945"/>
      <c r="AU12" s="945"/>
      <c r="AV12" s="945"/>
      <c r="AW12" s="945"/>
      <c r="AX12" s="945"/>
      <c r="AY12" s="945"/>
      <c r="AZ12" s="945"/>
      <c r="BA12" s="945"/>
      <c r="BB12" s="945"/>
      <c r="BC12" s="944"/>
      <c r="BD12" s="945"/>
      <c r="BE12" s="945"/>
      <c r="BF12" s="945"/>
      <c r="BG12" s="945"/>
      <c r="BH12" s="945"/>
      <c r="BI12" s="945"/>
      <c r="BJ12" s="945"/>
      <c r="BK12" s="945"/>
      <c r="BL12" s="945"/>
      <c r="BM12" s="945"/>
      <c r="BN12" s="944"/>
      <c r="BO12" s="945"/>
      <c r="BP12" s="945"/>
      <c r="BQ12" s="945"/>
      <c r="BR12" s="945"/>
      <c r="BS12" s="945"/>
      <c r="BT12" s="945"/>
      <c r="BU12" s="945"/>
      <c r="BV12" s="945"/>
      <c r="BW12" s="945"/>
      <c r="BX12" s="945"/>
      <c r="BY12" s="944"/>
      <c r="BZ12" s="945"/>
      <c r="CA12" s="945"/>
      <c r="CB12" s="945"/>
      <c r="CC12" s="945"/>
      <c r="CD12" s="945"/>
      <c r="CE12" s="945"/>
      <c r="CF12" s="945"/>
      <c r="CG12" s="945"/>
      <c r="CH12" s="945"/>
      <c r="CI12" s="945"/>
      <c r="CJ12" s="944"/>
      <c r="CK12" s="945"/>
      <c r="CL12" s="945"/>
      <c r="CM12" s="945"/>
      <c r="CN12" s="945"/>
      <c r="CO12" s="945"/>
      <c r="CP12" s="945"/>
      <c r="CQ12" s="945"/>
      <c r="CR12" s="945"/>
      <c r="CS12" s="945"/>
      <c r="CT12" s="945"/>
      <c r="CU12" s="944"/>
      <c r="CV12" s="945"/>
      <c r="CW12" s="945"/>
      <c r="CX12" s="945"/>
      <c r="CY12" s="945"/>
      <c r="CZ12" s="945"/>
      <c r="DA12" s="945"/>
      <c r="DB12" s="945"/>
      <c r="DC12" s="945"/>
      <c r="DD12" s="945"/>
      <c r="DE12" s="945"/>
      <c r="DF12" s="944"/>
      <c r="DG12" s="945"/>
      <c r="DH12" s="945"/>
      <c r="DI12" s="945"/>
      <c r="DJ12" s="945"/>
      <c r="DK12" s="945"/>
      <c r="DL12" s="945"/>
      <c r="DM12" s="945"/>
      <c r="DN12" s="945"/>
      <c r="DO12" s="945"/>
      <c r="DP12" s="945"/>
      <c r="DQ12" s="944"/>
      <c r="DR12" s="945"/>
      <c r="DS12" s="945"/>
      <c r="DT12" s="945"/>
      <c r="DU12" s="945"/>
      <c r="DV12" s="945"/>
      <c r="DW12" s="945"/>
      <c r="DX12" s="945"/>
      <c r="DY12" s="945"/>
      <c r="DZ12" s="945"/>
      <c r="EA12" s="945"/>
      <c r="EB12" s="944"/>
      <c r="EC12" s="945"/>
      <c r="ED12" s="945"/>
      <c r="EE12" s="945"/>
      <c r="EF12" s="945"/>
      <c r="EG12" s="945"/>
      <c r="EH12" s="945"/>
      <c r="EI12" s="945"/>
      <c r="EJ12" s="945"/>
      <c r="EK12" s="945"/>
      <c r="EL12" s="945"/>
      <c r="EM12" s="944"/>
      <c r="EN12" s="945"/>
      <c r="EO12" s="945"/>
      <c r="EP12" s="945"/>
      <c r="EQ12" s="945"/>
      <c r="ER12" s="945"/>
      <c r="ES12" s="945"/>
      <c r="ET12" s="945"/>
      <c r="EU12" s="945"/>
      <c r="EV12" s="945"/>
      <c r="EW12" s="945"/>
      <c r="EX12" s="944"/>
      <c r="EY12" s="945"/>
      <c r="EZ12" s="945"/>
      <c r="FA12" s="945"/>
      <c r="FB12" s="945"/>
      <c r="FC12" s="945"/>
      <c r="FD12" s="945"/>
      <c r="FE12" s="945"/>
      <c r="FF12" s="945"/>
      <c r="FG12" s="945"/>
      <c r="FH12" s="945"/>
      <c r="FI12" s="944"/>
      <c r="FJ12" s="945"/>
      <c r="FK12" s="945"/>
      <c r="FL12" s="945"/>
      <c r="FM12" s="945"/>
      <c r="FN12" s="945"/>
      <c r="FO12" s="945"/>
      <c r="FP12" s="945"/>
      <c r="FQ12" s="945"/>
      <c r="FR12" s="945"/>
      <c r="FS12" s="945"/>
      <c r="FT12" s="944"/>
      <c r="FU12" s="945"/>
      <c r="FV12" s="945"/>
      <c r="FW12" s="945"/>
      <c r="FX12" s="945"/>
      <c r="FY12" s="945"/>
      <c r="FZ12" s="945"/>
      <c r="GA12" s="945"/>
      <c r="GB12" s="945"/>
      <c r="GC12" s="945"/>
      <c r="GD12" s="945"/>
      <c r="GE12" s="944"/>
      <c r="GF12" s="945"/>
      <c r="GG12" s="945"/>
      <c r="GH12" s="945"/>
      <c r="GI12" s="945"/>
      <c r="GJ12" s="945"/>
      <c r="GK12" s="945"/>
      <c r="GL12" s="945"/>
      <c r="GM12" s="945"/>
      <c r="GN12" s="945"/>
      <c r="GO12" s="945"/>
      <c r="GP12" s="944"/>
      <c r="GQ12" s="945"/>
      <c r="GR12" s="945"/>
      <c r="GS12" s="945"/>
      <c r="GT12" s="945"/>
      <c r="GU12" s="945"/>
      <c r="GV12" s="945"/>
      <c r="GW12" s="945"/>
      <c r="GX12" s="945"/>
      <c r="GY12" s="945"/>
      <c r="GZ12" s="945"/>
      <c r="HA12" s="944"/>
      <c r="HB12" s="945"/>
      <c r="HC12" s="945"/>
      <c r="HD12" s="945"/>
      <c r="HE12" s="945"/>
      <c r="HF12" s="945"/>
      <c r="HG12" s="945"/>
      <c r="HH12" s="945"/>
      <c r="HI12" s="945"/>
      <c r="HJ12" s="945"/>
      <c r="HK12" s="945"/>
      <c r="HL12" s="944"/>
      <c r="HM12" s="945"/>
      <c r="HN12" s="945"/>
      <c r="HO12" s="945"/>
      <c r="HP12" s="945"/>
      <c r="HQ12" s="945"/>
      <c r="HR12" s="945"/>
      <c r="HS12" s="945"/>
      <c r="HT12" s="945"/>
      <c r="HU12" s="945"/>
      <c r="HV12" s="945"/>
      <c r="HW12" s="944"/>
      <c r="HX12" s="945"/>
      <c r="HY12" s="945"/>
      <c r="HZ12" s="945"/>
      <c r="IA12" s="945"/>
      <c r="IB12" s="945"/>
      <c r="IC12" s="945"/>
      <c r="ID12" s="945"/>
      <c r="IE12" s="945"/>
      <c r="IF12" s="945"/>
      <c r="IG12" s="945"/>
      <c r="IH12" s="944"/>
      <c r="II12" s="945"/>
      <c r="IJ12" s="945"/>
      <c r="IK12" s="945"/>
      <c r="IL12" s="945"/>
      <c r="IM12" s="945"/>
      <c r="IN12" s="945"/>
      <c r="IO12" s="945"/>
      <c r="IP12" s="945"/>
      <c r="IQ12" s="945"/>
      <c r="IR12" s="945"/>
      <c r="IS12" s="944"/>
      <c r="IT12" s="945"/>
      <c r="IU12" s="945"/>
    </row>
    <row r="13" spans="1:255" ht="15.75" customHeight="1"/>
    <row r="14" spans="1:255" ht="15.75" customHeight="1"/>
    <row r="15" spans="1:255" ht="15.75" customHeight="1"/>
    <row r="16" spans="1:255" ht="15.75" customHeight="1"/>
    <row r="17" spans="1:13" ht="15.75" customHeight="1"/>
    <row r="18" spans="1:13" ht="30">
      <c r="A18" s="496" t="s">
        <v>1531</v>
      </c>
      <c r="B18" s="496"/>
      <c r="C18" s="496"/>
      <c r="D18" s="496"/>
      <c r="E18" s="496"/>
      <c r="F18" s="496"/>
      <c r="G18" s="496"/>
      <c r="H18" s="496"/>
      <c r="I18" s="496"/>
      <c r="J18" s="496"/>
      <c r="K18" s="496" t="s">
        <v>1532</v>
      </c>
      <c r="L18" s="496"/>
      <c r="M18" s="496"/>
    </row>
    <row r="19" spans="1:13" ht="30">
      <c r="A19" s="497" t="s">
        <v>1533</v>
      </c>
      <c r="B19" s="496"/>
      <c r="C19" s="496"/>
      <c r="D19" s="496"/>
      <c r="E19" s="496"/>
      <c r="F19" s="496"/>
      <c r="G19" s="496"/>
      <c r="H19" s="496"/>
      <c r="I19" s="496"/>
      <c r="J19" s="496"/>
      <c r="K19" s="496"/>
      <c r="L19" s="496"/>
      <c r="M19" s="496"/>
    </row>
    <row r="20" spans="1:13" s="502" customFormat="1" ht="15.75" customHeight="1">
      <c r="A20" s="498" t="s">
        <v>162</v>
      </c>
      <c r="B20" s="498"/>
      <c r="C20" s="499"/>
      <c r="D20" s="499"/>
      <c r="E20" s="499"/>
      <c r="F20" s="500"/>
      <c r="G20" s="500"/>
      <c r="H20" s="500"/>
      <c r="I20" s="500"/>
      <c r="J20" s="500"/>
      <c r="K20" s="500"/>
      <c r="L20" s="500"/>
      <c r="M20" s="501"/>
    </row>
    <row r="21" spans="1:13" ht="15.75" customHeight="1">
      <c r="A21" s="492"/>
      <c r="B21" s="503"/>
      <c r="C21" s="504"/>
      <c r="D21" s="504"/>
      <c r="E21" s="504"/>
      <c r="F21" s="505"/>
      <c r="G21" s="505"/>
      <c r="H21" s="506"/>
      <c r="I21" s="506"/>
      <c r="J21" s="506"/>
      <c r="K21" s="505"/>
      <c r="L21" s="507"/>
      <c r="M21" s="508"/>
    </row>
    <row r="22" spans="1:13" ht="15.75" customHeight="1">
      <c r="A22" s="492"/>
      <c r="B22" s="509" t="s">
        <v>1534</v>
      </c>
      <c r="C22" s="504"/>
      <c r="D22" s="504"/>
      <c r="E22" s="504"/>
      <c r="F22" s="505"/>
      <c r="G22" s="505"/>
      <c r="H22" s="506"/>
      <c r="I22" s="506"/>
      <c r="J22" s="506"/>
      <c r="K22" s="505"/>
      <c r="L22" s="507"/>
      <c r="M22" s="508"/>
    </row>
    <row r="23" spans="1:13" ht="15.75" customHeight="1">
      <c r="A23" s="492"/>
      <c r="B23" s="509"/>
      <c r="C23" s="504" t="s">
        <v>1535</v>
      </c>
      <c r="D23" s="493"/>
      <c r="E23" s="493"/>
      <c r="F23" s="493"/>
      <c r="G23" s="493"/>
      <c r="H23" s="493"/>
      <c r="I23" s="493"/>
      <c r="J23" s="507">
        <v>10.14</v>
      </c>
      <c r="K23" s="508" t="s">
        <v>1536</v>
      </c>
      <c r="M23" s="508"/>
    </row>
    <row r="24" spans="1:13" ht="15.75" customHeight="1">
      <c r="A24" s="492"/>
      <c r="B24" s="509"/>
      <c r="C24" s="504" t="s">
        <v>1537</v>
      </c>
      <c r="D24" s="493"/>
      <c r="E24" s="493"/>
      <c r="F24" s="493"/>
      <c r="G24" s="493"/>
      <c r="H24" s="493"/>
      <c r="I24" s="493"/>
      <c r="J24" s="507">
        <v>3.67</v>
      </c>
      <c r="K24" s="508" t="s">
        <v>1536</v>
      </c>
      <c r="M24" s="508"/>
    </row>
    <row r="25" spans="1:13" ht="15.75" customHeight="1">
      <c r="A25" s="492"/>
      <c r="B25" s="509"/>
      <c r="C25" s="510" t="s">
        <v>1538</v>
      </c>
      <c r="J25" s="507">
        <v>12.36</v>
      </c>
      <c r="K25" s="508" t="s">
        <v>1536</v>
      </c>
      <c r="L25" s="511"/>
      <c r="M25" s="508"/>
    </row>
    <row r="26" spans="1:13" ht="15.75" customHeight="1">
      <c r="A26" s="492"/>
      <c r="B26" s="512" t="s">
        <v>1539</v>
      </c>
      <c r="C26" s="504"/>
      <c r="D26" s="504"/>
      <c r="E26" s="504"/>
      <c r="F26" s="505"/>
      <c r="G26" s="505"/>
      <c r="H26" s="506"/>
      <c r="I26" s="506"/>
      <c r="J26" s="505"/>
      <c r="K26" s="507"/>
      <c r="L26" s="511"/>
      <c r="M26" s="508"/>
    </row>
    <row r="27" spans="1:13" ht="15.75" customHeight="1">
      <c r="A27" s="492"/>
      <c r="B27" s="513"/>
      <c r="C27" s="504" t="s">
        <v>1540</v>
      </c>
      <c r="D27" s="504"/>
      <c r="E27" s="504"/>
      <c r="F27" s="505"/>
      <c r="G27" s="505"/>
      <c r="H27" s="506"/>
      <c r="I27" s="506"/>
      <c r="J27" s="514">
        <v>1735000</v>
      </c>
      <c r="K27" s="507" t="s">
        <v>1541</v>
      </c>
      <c r="L27" s="515">
        <v>10000</v>
      </c>
      <c r="M27" s="508"/>
    </row>
    <row r="28" spans="1:13" ht="15.75" customHeight="1">
      <c r="A28" s="492"/>
      <c r="B28" s="513"/>
      <c r="C28" s="504"/>
      <c r="D28" s="504"/>
      <c r="E28" s="504"/>
      <c r="F28" s="505"/>
      <c r="G28" s="505"/>
      <c r="H28" s="506"/>
      <c r="I28" s="506"/>
      <c r="J28" s="514">
        <v>950000</v>
      </c>
      <c r="K28" s="507" t="s">
        <v>1542</v>
      </c>
      <c r="L28" s="515"/>
      <c r="M28" s="508"/>
    </row>
    <row r="29" spans="1:13" ht="15.75" customHeight="1">
      <c r="A29" s="492"/>
      <c r="B29" s="513"/>
      <c r="C29" s="504" t="s">
        <v>1543</v>
      </c>
      <c r="D29" s="504"/>
      <c r="E29" s="504"/>
      <c r="F29" s="505"/>
      <c r="G29" s="505"/>
      <c r="H29" s="506"/>
      <c r="I29" s="506"/>
      <c r="J29" s="514"/>
      <c r="K29" s="507"/>
      <c r="L29" s="511"/>
      <c r="M29" s="508"/>
    </row>
    <row r="30" spans="1:13" ht="15.75" customHeight="1">
      <c r="A30" s="492"/>
      <c r="B30" s="503"/>
      <c r="C30" s="504"/>
      <c r="D30" s="504"/>
      <c r="E30" s="504"/>
      <c r="F30" s="505"/>
      <c r="G30" s="505"/>
      <c r="H30" s="506"/>
      <c r="I30" s="506"/>
      <c r="J30" s="505"/>
      <c r="K30" s="507"/>
      <c r="L30" s="511"/>
      <c r="M30" s="508"/>
    </row>
    <row r="31" spans="1:13" ht="15.75" customHeight="1">
      <c r="A31" s="492"/>
      <c r="B31" s="513" t="s">
        <v>1544</v>
      </c>
      <c r="C31" s="504"/>
      <c r="D31" s="504"/>
      <c r="E31" s="504"/>
      <c r="F31" s="505"/>
      <c r="G31" s="505"/>
      <c r="H31" s="506"/>
      <c r="I31" s="506"/>
      <c r="J31" s="505"/>
      <c r="K31" s="507"/>
      <c r="M31" s="508"/>
    </row>
    <row r="32" spans="1:13" ht="15.75" customHeight="1">
      <c r="A32" s="492"/>
      <c r="B32" s="513"/>
      <c r="C32" s="504" t="s">
        <v>173</v>
      </c>
      <c r="D32" s="505"/>
      <c r="E32" s="505"/>
      <c r="F32" s="506"/>
      <c r="G32" s="506"/>
      <c r="H32" s="516"/>
      <c r="I32" s="516"/>
      <c r="J32" s="507">
        <v>25</v>
      </c>
      <c r="K32" s="508" t="s">
        <v>1536</v>
      </c>
      <c r="M32" s="508"/>
    </row>
    <row r="33" spans="1:24" ht="15.75" customHeight="1">
      <c r="A33" s="492"/>
      <c r="B33" s="513"/>
      <c r="C33" s="504" t="s">
        <v>174</v>
      </c>
      <c r="D33" s="505"/>
      <c r="E33" s="505"/>
      <c r="F33" s="506"/>
      <c r="G33" s="506"/>
      <c r="H33" s="516"/>
      <c r="I33" s="516"/>
      <c r="J33" s="507">
        <v>10</v>
      </c>
      <c r="K33" s="508" t="s">
        <v>1536</v>
      </c>
      <c r="M33" s="508"/>
    </row>
    <row r="34" spans="1:24" ht="15.75" customHeight="1">
      <c r="A34" s="492"/>
      <c r="B34" s="513"/>
      <c r="C34" s="497" t="s">
        <v>179</v>
      </c>
      <c r="D34" s="505"/>
      <c r="E34" s="505"/>
      <c r="F34" s="505"/>
      <c r="G34" s="505"/>
      <c r="H34" s="505"/>
      <c r="I34" s="505"/>
      <c r="J34" s="517">
        <v>25</v>
      </c>
      <c r="K34" s="508" t="s">
        <v>1536</v>
      </c>
      <c r="M34" s="508"/>
    </row>
    <row r="35" spans="1:24" ht="15.75" customHeight="1">
      <c r="A35" s="492"/>
      <c r="B35" s="513"/>
      <c r="C35" s="504"/>
      <c r="D35" s="504"/>
      <c r="E35" s="504"/>
      <c r="F35" s="505"/>
      <c r="G35" s="505"/>
      <c r="H35" s="506"/>
      <c r="I35" s="506"/>
      <c r="J35" s="505"/>
      <c r="K35" s="507"/>
      <c r="M35" s="508"/>
    </row>
    <row r="36" spans="1:24" ht="15.75" customHeight="1">
      <c r="A36" s="492"/>
      <c r="B36" s="518" t="s">
        <v>1545</v>
      </c>
      <c r="C36" s="504"/>
      <c r="D36" s="504"/>
      <c r="E36" s="504"/>
      <c r="F36" s="505"/>
      <c r="G36" s="505"/>
      <c r="H36" s="506"/>
      <c r="I36" s="506"/>
      <c r="J36" s="505"/>
      <c r="K36" s="507"/>
      <c r="M36" s="508"/>
    </row>
    <row r="37" spans="1:24" ht="15.75" customHeight="1">
      <c r="A37" s="492"/>
      <c r="B37" s="504"/>
      <c r="C37" s="519" t="s">
        <v>1546</v>
      </c>
      <c r="D37" s="520"/>
      <c r="E37" s="521"/>
      <c r="F37" s="521"/>
      <c r="G37" s="521"/>
      <c r="H37" s="521"/>
      <c r="I37" s="521"/>
      <c r="J37" s="522">
        <v>0</v>
      </c>
      <c r="K37" s="508" t="s">
        <v>1273</v>
      </c>
      <c r="Q37" s="523"/>
      <c r="T37" s="493"/>
      <c r="X37" s="524"/>
    </row>
    <row r="38" spans="1:24" ht="15.75" customHeight="1">
      <c r="B38" s="518"/>
      <c r="C38" s="504" t="s">
        <v>1547</v>
      </c>
      <c r="D38" s="504"/>
      <c r="E38" s="504"/>
      <c r="F38" s="505"/>
      <c r="G38" s="505"/>
      <c r="H38" s="506"/>
      <c r="I38" s="506"/>
      <c r="J38" s="506"/>
      <c r="K38" s="505"/>
      <c r="L38" s="507"/>
      <c r="M38" s="508"/>
    </row>
    <row r="39" spans="1:24" ht="15.75" customHeight="1">
      <c r="B39" s="492"/>
      <c r="C39" s="504"/>
      <c r="D39" s="504"/>
      <c r="E39" s="504"/>
      <c r="F39" s="505"/>
      <c r="G39" s="505"/>
      <c r="H39" s="506"/>
      <c r="I39" s="506"/>
      <c r="J39" s="506"/>
      <c r="K39" s="505"/>
      <c r="L39" s="507"/>
      <c r="M39" s="508"/>
    </row>
    <row r="40" spans="1:24" s="502" customFormat="1" ht="15.75" customHeight="1">
      <c r="A40" s="498" t="s">
        <v>1506</v>
      </c>
      <c r="B40" s="498" t="s">
        <v>1548</v>
      </c>
      <c r="C40" s="499"/>
      <c r="D40" s="499"/>
      <c r="E40" s="499"/>
      <c r="F40" s="500"/>
      <c r="G40" s="500"/>
      <c r="H40" s="500"/>
      <c r="I40" s="500"/>
      <c r="J40" s="500"/>
      <c r="K40" s="500"/>
      <c r="L40" s="500"/>
      <c r="M40" s="501"/>
    </row>
    <row r="41" spans="1:24" ht="15.75" customHeight="1">
      <c r="B41" s="513"/>
      <c r="C41" s="504"/>
      <c r="D41" s="504"/>
      <c r="E41" s="504"/>
      <c r="F41" s="505"/>
      <c r="G41" s="505"/>
      <c r="H41" s="506"/>
      <c r="I41" s="506"/>
      <c r="J41" s="506"/>
      <c r="K41" s="505"/>
      <c r="L41" s="507"/>
      <c r="M41" s="508"/>
    </row>
    <row r="42" spans="1:24" ht="15.75" customHeight="1">
      <c r="B42" s="513" t="s">
        <v>1549</v>
      </c>
      <c r="C42" s="525"/>
      <c r="D42" s="505"/>
      <c r="E42" s="505"/>
      <c r="G42" s="526"/>
      <c r="H42" s="505"/>
      <c r="I42" s="505"/>
      <c r="J42" s="505"/>
      <c r="K42" s="505"/>
      <c r="L42" s="506"/>
      <c r="N42" s="527"/>
      <c r="O42" s="527"/>
      <c r="P42" s="527"/>
      <c r="Q42" s="527"/>
      <c r="T42" s="493"/>
      <c r="X42" s="524"/>
    </row>
    <row r="43" spans="1:24" ht="15.75" customHeight="1">
      <c r="B43" s="513"/>
      <c r="C43" s="942" t="s">
        <v>1550</v>
      </c>
      <c r="D43" s="943"/>
      <c r="E43" s="528" t="s">
        <v>1551</v>
      </c>
      <c r="F43" s="529"/>
      <c r="J43" s="505"/>
      <c r="K43" s="530"/>
      <c r="L43" s="506"/>
      <c r="N43" s="527"/>
      <c r="O43" s="527"/>
      <c r="P43" s="527"/>
      <c r="Q43" s="527"/>
      <c r="T43" s="493"/>
      <c r="X43" s="524"/>
    </row>
    <row r="44" spans="1:24" ht="15.75" customHeight="1">
      <c r="B44" s="513"/>
      <c r="C44" s="531"/>
      <c r="D44" s="532"/>
      <c r="E44" s="533" t="s">
        <v>1552</v>
      </c>
      <c r="F44" s="529"/>
      <c r="J44" s="530"/>
      <c r="K44" s="530"/>
      <c r="L44" s="506"/>
      <c r="N44" s="527"/>
      <c r="O44" s="527"/>
      <c r="P44" s="527"/>
      <c r="Q44" s="527"/>
      <c r="T44" s="493"/>
      <c r="X44" s="524"/>
    </row>
    <row r="45" spans="1:24" ht="15.75" customHeight="1">
      <c r="B45" s="513"/>
      <c r="C45" s="534" t="s">
        <v>1553</v>
      </c>
      <c r="D45" s="534"/>
      <c r="E45" s="535" t="s">
        <v>1554</v>
      </c>
      <c r="F45" s="536"/>
      <c r="J45" s="530"/>
      <c r="K45" s="530"/>
      <c r="L45" s="506"/>
      <c r="N45" s="527"/>
      <c r="O45" s="527"/>
      <c r="P45" s="527"/>
      <c r="Q45" s="527"/>
      <c r="T45" s="493"/>
      <c r="X45" s="524"/>
    </row>
    <row r="46" spans="1:24" ht="15.75" customHeight="1">
      <c r="B46" s="513"/>
      <c r="C46" s="534" t="s">
        <v>1555</v>
      </c>
      <c r="D46" s="534"/>
      <c r="E46" s="535" t="s">
        <v>1554</v>
      </c>
      <c r="F46" s="536"/>
      <c r="J46" s="530"/>
      <c r="K46" s="530"/>
      <c r="L46" s="506"/>
      <c r="N46" s="527"/>
      <c r="O46" s="527"/>
      <c r="P46" s="527"/>
      <c r="Q46" s="527"/>
      <c r="T46" s="493"/>
      <c r="X46" s="524"/>
    </row>
    <row r="47" spans="1:24" ht="15.75" customHeight="1">
      <c r="B47" s="513"/>
      <c r="C47" s="940" t="s">
        <v>1750</v>
      </c>
      <c r="D47" s="940"/>
      <c r="E47" s="941" t="s">
        <v>1554</v>
      </c>
      <c r="F47" s="536"/>
      <c r="J47" s="530"/>
      <c r="K47" s="530"/>
      <c r="L47" s="506"/>
      <c r="N47" s="527"/>
      <c r="O47" s="527"/>
      <c r="P47" s="527"/>
      <c r="Q47" s="527"/>
      <c r="T47" s="493"/>
      <c r="X47" s="524"/>
    </row>
    <row r="48" spans="1:24" ht="15.75" customHeight="1">
      <c r="B48" s="513"/>
      <c r="C48" s="534" t="s">
        <v>1556</v>
      </c>
      <c r="D48" s="534"/>
      <c r="E48" s="535" t="s">
        <v>1554</v>
      </c>
      <c r="F48" s="536"/>
      <c r="J48" s="530"/>
      <c r="K48" s="530"/>
      <c r="L48" s="506"/>
      <c r="N48" s="527"/>
      <c r="O48" s="527"/>
      <c r="P48" s="527"/>
      <c r="Q48" s="527"/>
      <c r="T48" s="493"/>
      <c r="X48" s="524"/>
    </row>
    <row r="49" spans="1:24" ht="15.75" customHeight="1">
      <c r="B49" s="513"/>
      <c r="C49" s="534" t="s">
        <v>1557</v>
      </c>
      <c r="D49" s="534"/>
      <c r="E49" s="535">
        <v>16.02</v>
      </c>
      <c r="F49" s="536"/>
      <c r="J49" s="530"/>
      <c r="K49" s="530"/>
      <c r="L49" s="506"/>
      <c r="N49" s="527"/>
      <c r="O49" s="527"/>
      <c r="P49" s="527"/>
      <c r="Q49" s="527"/>
      <c r="T49" s="493"/>
      <c r="X49" s="524"/>
    </row>
    <row r="50" spans="1:24" s="493" customFormat="1" ht="15.75" customHeight="1">
      <c r="B50" s="513"/>
      <c r="C50" s="537"/>
      <c r="D50" s="537"/>
      <c r="E50" s="538"/>
      <c r="F50" s="538"/>
      <c r="G50" s="505"/>
      <c r="H50" s="505"/>
      <c r="I50" s="505"/>
      <c r="J50" s="505"/>
      <c r="K50" s="530"/>
      <c r="L50" s="506"/>
      <c r="N50" s="511"/>
      <c r="O50" s="511"/>
      <c r="P50" s="511"/>
      <c r="Q50" s="511"/>
      <c r="X50" s="539"/>
    </row>
    <row r="51" spans="1:24" s="493" customFormat="1" ht="15.75" customHeight="1">
      <c r="B51" s="513" t="s">
        <v>1558</v>
      </c>
      <c r="C51" s="537"/>
      <c r="D51" s="537"/>
      <c r="E51" s="538"/>
      <c r="F51" s="538"/>
      <c r="G51" s="505"/>
      <c r="H51" s="505"/>
      <c r="I51" s="505"/>
      <c r="J51" s="505"/>
      <c r="K51" s="530"/>
      <c r="L51" s="506"/>
      <c r="N51" s="511"/>
      <c r="O51" s="511"/>
      <c r="P51" s="511"/>
      <c r="Q51" s="511"/>
      <c r="X51" s="539"/>
    </row>
    <row r="52" spans="1:24" s="493" customFormat="1" ht="15.75" customHeight="1">
      <c r="B52" s="513"/>
      <c r="C52" s="942" t="s">
        <v>1559</v>
      </c>
      <c r="D52" s="943"/>
      <c r="E52" s="528" t="s">
        <v>1551</v>
      </c>
      <c r="F52" s="538"/>
      <c r="G52" s="505"/>
      <c r="H52" s="505"/>
      <c r="I52" s="505"/>
      <c r="J52" s="505"/>
      <c r="K52" s="530"/>
      <c r="L52" s="506"/>
      <c r="N52" s="511"/>
      <c r="O52" s="511"/>
      <c r="P52" s="511"/>
      <c r="Q52" s="511"/>
      <c r="X52" s="539"/>
    </row>
    <row r="53" spans="1:24" s="493" customFormat="1" ht="15.75" customHeight="1">
      <c r="B53" s="513"/>
      <c r="C53" s="531"/>
      <c r="D53" s="532"/>
      <c r="E53" s="533" t="s">
        <v>1552</v>
      </c>
      <c r="F53" s="538"/>
      <c r="G53" s="505"/>
      <c r="H53" s="505"/>
      <c r="I53" s="505"/>
      <c r="J53" s="505"/>
      <c r="K53" s="530"/>
      <c r="L53" s="506"/>
      <c r="N53" s="511"/>
      <c r="O53" s="511"/>
      <c r="P53" s="511"/>
      <c r="Q53" s="511"/>
      <c r="X53" s="539"/>
    </row>
    <row r="54" spans="1:24" s="493" customFormat="1" ht="15.75" customHeight="1">
      <c r="B54" s="513"/>
      <c r="C54" s="540" t="s">
        <v>1560</v>
      </c>
      <c r="D54" s="541"/>
      <c r="E54" s="939">
        <v>8.01</v>
      </c>
      <c r="F54" s="538"/>
      <c r="G54" s="505"/>
      <c r="H54" s="505"/>
      <c r="I54" s="505"/>
      <c r="J54" s="505"/>
      <c r="K54" s="530"/>
      <c r="L54" s="506"/>
      <c r="N54" s="511"/>
      <c r="O54" s="511"/>
      <c r="P54" s="511"/>
      <c r="Q54" s="511"/>
      <c r="X54" s="539"/>
    </row>
    <row r="55" spans="1:24" s="493" customFormat="1" ht="15.75" customHeight="1">
      <c r="B55" s="513"/>
      <c r="C55" s="540" t="s">
        <v>1561</v>
      </c>
      <c r="D55" s="541"/>
      <c r="E55" s="939">
        <v>25.03</v>
      </c>
      <c r="F55" s="538"/>
      <c r="G55" s="505"/>
      <c r="H55" s="505"/>
      <c r="I55" s="505"/>
      <c r="J55" s="505"/>
      <c r="K55" s="530"/>
      <c r="L55" s="506"/>
      <c r="N55" s="511"/>
      <c r="O55" s="511"/>
      <c r="P55" s="511"/>
      <c r="Q55" s="511"/>
      <c r="X55" s="539"/>
    </row>
    <row r="56" spans="1:24" s="493" customFormat="1" ht="15.75" customHeight="1">
      <c r="B56" s="513"/>
      <c r="C56" s="540" t="s">
        <v>1562</v>
      </c>
      <c r="D56" s="541"/>
      <c r="E56" s="939">
        <v>41.04</v>
      </c>
      <c r="F56" s="538"/>
      <c r="G56" s="505"/>
      <c r="H56" s="505"/>
      <c r="I56" s="505"/>
      <c r="J56" s="505"/>
      <c r="K56" s="530"/>
      <c r="L56" s="506"/>
      <c r="N56" s="511"/>
      <c r="O56" s="511"/>
      <c r="P56" s="511"/>
      <c r="Q56" s="511"/>
      <c r="X56" s="539"/>
    </row>
    <row r="57" spans="1:24" s="493" customFormat="1" ht="15.75" customHeight="1">
      <c r="B57" s="513"/>
      <c r="C57" s="537"/>
      <c r="D57" s="537"/>
      <c r="E57" s="538"/>
      <c r="F57" s="538"/>
      <c r="G57" s="505"/>
      <c r="H57" s="505"/>
      <c r="I57" s="505"/>
      <c r="J57" s="505"/>
      <c r="K57" s="530"/>
      <c r="L57" s="506"/>
      <c r="N57" s="511"/>
      <c r="O57" s="511"/>
      <c r="P57" s="511"/>
      <c r="Q57" s="511"/>
      <c r="X57" s="539"/>
    </row>
    <row r="58" spans="1:24" s="493" customFormat="1" ht="15.75" customHeight="1">
      <c r="B58" s="509" t="s">
        <v>1563</v>
      </c>
      <c r="C58" s="537"/>
      <c r="D58" s="537"/>
      <c r="E58" s="538"/>
      <c r="F58" s="538"/>
      <c r="G58" s="505"/>
      <c r="H58" s="505"/>
      <c r="I58" s="505"/>
      <c r="J58" s="505"/>
      <c r="K58" s="530"/>
      <c r="L58" s="506"/>
      <c r="N58" s="511"/>
      <c r="O58" s="511"/>
      <c r="P58" s="511"/>
      <c r="Q58" s="511"/>
      <c r="X58" s="539"/>
    </row>
    <row r="59" spans="1:24" s="493" customFormat="1" ht="15.75" customHeight="1">
      <c r="B59" s="513"/>
      <c r="C59" s="504" t="s">
        <v>1564</v>
      </c>
      <c r="D59" s="537"/>
      <c r="E59" s="538"/>
      <c r="F59" s="538"/>
      <c r="G59" s="505"/>
      <c r="H59" s="505"/>
      <c r="I59" s="505"/>
      <c r="J59" s="505"/>
      <c r="K59" s="530"/>
      <c r="L59" s="506"/>
      <c r="N59" s="511"/>
      <c r="O59" s="511"/>
      <c r="P59" s="511"/>
      <c r="Q59" s="511"/>
      <c r="X59" s="539"/>
    </row>
    <row r="60" spans="1:24" s="493" customFormat="1" ht="15.75" customHeight="1">
      <c r="B60" s="513"/>
      <c r="C60" s="537"/>
      <c r="D60" s="537"/>
      <c r="E60" s="538"/>
      <c r="F60" s="538"/>
      <c r="G60" s="505"/>
      <c r="H60" s="505"/>
      <c r="I60" s="505"/>
      <c r="J60" s="505"/>
      <c r="K60" s="530"/>
      <c r="L60" s="506"/>
      <c r="N60" s="511"/>
      <c r="O60" s="511"/>
      <c r="P60" s="511"/>
      <c r="Q60" s="511"/>
      <c r="X60" s="539"/>
    </row>
    <row r="61" spans="1:24" s="493" customFormat="1" ht="15.75" customHeight="1">
      <c r="B61" s="513"/>
      <c r="C61" s="537"/>
      <c r="D61" s="537"/>
      <c r="E61" s="538"/>
      <c r="F61" s="538"/>
      <c r="G61" s="505"/>
      <c r="H61" s="505"/>
      <c r="I61" s="505"/>
      <c r="J61" s="505"/>
      <c r="K61" s="530"/>
      <c r="L61" s="506"/>
      <c r="N61" s="511"/>
      <c r="O61" s="511"/>
      <c r="P61" s="511"/>
      <c r="Q61" s="511"/>
      <c r="X61" s="539"/>
    </row>
    <row r="62" spans="1:24" s="549" customFormat="1" ht="15.75" customHeight="1">
      <c r="A62" s="543" t="s">
        <v>1565</v>
      </c>
      <c r="B62" s="543" t="s">
        <v>1566</v>
      </c>
      <c r="C62" s="544"/>
      <c r="D62" s="544"/>
      <c r="E62" s="544"/>
      <c r="F62" s="545"/>
      <c r="G62" s="545"/>
      <c r="H62" s="545"/>
      <c r="I62" s="545"/>
      <c r="J62" s="545"/>
      <c r="K62" s="545"/>
      <c r="L62" s="546"/>
      <c r="M62" s="547"/>
      <c r="N62" s="548"/>
      <c r="O62" s="548"/>
    </row>
    <row r="63" spans="1:24" ht="15.75" customHeight="1">
      <c r="B63" s="513"/>
      <c r="C63" s="504"/>
      <c r="D63" s="504"/>
      <c r="E63" s="504"/>
      <c r="F63" s="505"/>
      <c r="G63" s="505"/>
      <c r="H63" s="506"/>
      <c r="I63" s="506"/>
      <c r="J63" s="506"/>
      <c r="K63" s="505"/>
      <c r="L63" s="508"/>
      <c r="M63" s="527"/>
      <c r="N63" s="550"/>
      <c r="O63" s="550"/>
    </row>
    <row r="64" spans="1:24" s="493" customFormat="1" ht="15.75">
      <c r="B64" s="551" t="s">
        <v>1567</v>
      </c>
      <c r="C64" s="552"/>
      <c r="D64" s="552"/>
      <c r="E64" s="552"/>
      <c r="F64" s="552"/>
      <c r="G64" s="552"/>
      <c r="H64" s="552"/>
      <c r="I64" s="552"/>
      <c r="J64" s="552"/>
      <c r="K64" s="552"/>
      <c r="M64" s="539"/>
      <c r="Q64" s="553"/>
      <c r="X64" s="539"/>
    </row>
    <row r="65" spans="1:24" s="493" customFormat="1" ht="15.75">
      <c r="B65" s="551"/>
      <c r="C65" s="554" t="s">
        <v>1568</v>
      </c>
      <c r="D65" s="552"/>
      <c r="E65" s="552"/>
      <c r="F65" s="552"/>
      <c r="G65" s="552"/>
      <c r="H65" s="552"/>
      <c r="I65" s="552"/>
      <c r="J65" s="522">
        <v>7500</v>
      </c>
      <c r="K65" s="555" t="s">
        <v>1569</v>
      </c>
      <c r="M65" s="539"/>
      <c r="Q65" s="553"/>
      <c r="X65" s="539"/>
    </row>
    <row r="66" spans="1:24" s="493" customFormat="1" ht="15.75">
      <c r="B66" s="551"/>
      <c r="C66" s="554" t="s">
        <v>1570</v>
      </c>
      <c r="D66" s="552"/>
      <c r="E66" s="552"/>
      <c r="F66" s="552"/>
      <c r="G66" s="552"/>
      <c r="H66" s="552"/>
      <c r="I66" s="552"/>
      <c r="K66" s="552"/>
      <c r="L66" s="522"/>
      <c r="M66" s="539"/>
      <c r="Q66" s="553"/>
      <c r="X66" s="539"/>
    </row>
    <row r="67" spans="1:24" s="493" customFormat="1" ht="15.75">
      <c r="B67" s="551"/>
      <c r="C67" s="554" t="s">
        <v>1571</v>
      </c>
      <c r="D67" s="552"/>
      <c r="E67" s="552"/>
      <c r="F67" s="552"/>
      <c r="G67" s="552"/>
      <c r="H67" s="552"/>
      <c r="I67" s="552"/>
      <c r="K67" s="552"/>
      <c r="L67" s="522"/>
      <c r="M67" s="539"/>
      <c r="Q67" s="553"/>
      <c r="X67" s="539"/>
    </row>
    <row r="68" spans="1:24" s="493" customFormat="1" ht="15.75">
      <c r="B68" s="551"/>
      <c r="C68" s="554"/>
      <c r="D68" s="552"/>
      <c r="E68" s="552"/>
      <c r="F68" s="552"/>
      <c r="G68" s="552"/>
      <c r="H68" s="552"/>
      <c r="I68" s="552"/>
      <c r="K68" s="552"/>
      <c r="L68" s="522"/>
      <c r="M68" s="539"/>
      <c r="Q68" s="553"/>
      <c r="X68" s="539"/>
    </row>
    <row r="69" spans="1:24" s="493" customFormat="1" ht="15.75">
      <c r="B69" s="551"/>
      <c r="C69" s="554" t="s">
        <v>1572</v>
      </c>
      <c r="D69" s="552"/>
      <c r="E69" s="552"/>
      <c r="F69" s="552"/>
      <c r="G69" s="552"/>
      <c r="H69" s="552"/>
      <c r="I69" s="552"/>
      <c r="K69" s="552"/>
      <c r="L69" s="522"/>
      <c r="M69" s="539"/>
      <c r="Q69" s="553"/>
      <c r="X69" s="539"/>
    </row>
    <row r="70" spans="1:24" s="493" customFormat="1" ht="15.75">
      <c r="B70" s="551"/>
      <c r="C70" s="554" t="s">
        <v>1573</v>
      </c>
      <c r="D70" s="552"/>
      <c r="E70" s="552"/>
      <c r="F70" s="552"/>
      <c r="G70" s="552"/>
      <c r="H70" s="552"/>
      <c r="I70" s="552"/>
      <c r="K70" s="552"/>
      <c r="L70" s="522"/>
      <c r="M70" s="539"/>
      <c r="Q70" s="553"/>
      <c r="X70" s="539"/>
    </row>
    <row r="71" spans="1:24" ht="15.75">
      <c r="B71" s="509" t="s">
        <v>1574</v>
      </c>
      <c r="E71" s="556"/>
      <c r="F71" s="556"/>
      <c r="G71" s="556"/>
      <c r="L71" s="492"/>
      <c r="Q71" s="523"/>
      <c r="T71" s="493"/>
      <c r="X71" s="524"/>
    </row>
    <row r="72" spans="1:24" ht="15.75">
      <c r="B72" s="509"/>
      <c r="C72" s="504" t="s">
        <v>1575</v>
      </c>
      <c r="D72" s="554"/>
      <c r="E72" s="557"/>
      <c r="F72" s="557"/>
      <c r="G72" s="557"/>
      <c r="H72" s="558"/>
      <c r="I72" s="558"/>
      <c r="K72" s="522"/>
      <c r="L72" s="555"/>
      <c r="Q72" s="523"/>
      <c r="T72" s="493"/>
      <c r="X72" s="524"/>
    </row>
    <row r="73" spans="1:24" ht="15.75" customHeight="1">
      <c r="B73" s="513"/>
      <c r="C73" s="504"/>
      <c r="D73" s="504"/>
      <c r="E73" s="504"/>
      <c r="F73" s="505"/>
      <c r="G73" s="505"/>
      <c r="H73" s="506"/>
      <c r="I73" s="506"/>
      <c r="K73" s="506"/>
      <c r="L73" s="505"/>
      <c r="M73" s="508"/>
      <c r="N73" s="550"/>
      <c r="O73" s="550"/>
    </row>
    <row r="74" spans="1:24" s="549" customFormat="1" ht="15.75" customHeight="1">
      <c r="A74" s="543" t="s">
        <v>1471</v>
      </c>
      <c r="B74" s="543" t="s">
        <v>1576</v>
      </c>
      <c r="C74" s="544"/>
      <c r="D74" s="544"/>
      <c r="E74" s="544"/>
      <c r="F74" s="545"/>
      <c r="G74" s="545"/>
      <c r="H74" s="545"/>
      <c r="I74" s="545"/>
      <c r="K74" s="545"/>
      <c r="L74" s="545"/>
      <c r="M74" s="547"/>
      <c r="N74" s="548"/>
      <c r="O74" s="548"/>
    </row>
    <row r="75" spans="1:24" ht="15.75" customHeight="1">
      <c r="B75" s="513"/>
      <c r="C75" s="504"/>
      <c r="D75" s="504"/>
      <c r="E75" s="504"/>
      <c r="F75" s="505"/>
      <c r="G75" s="505"/>
      <c r="H75" s="506"/>
      <c r="I75" s="506"/>
      <c r="K75" s="506"/>
      <c r="L75" s="505"/>
      <c r="M75" s="508"/>
      <c r="N75" s="550"/>
      <c r="O75" s="550"/>
    </row>
    <row r="76" spans="1:24" ht="15.75" customHeight="1">
      <c r="B76" s="513"/>
      <c r="C76" s="504" t="s">
        <v>1577</v>
      </c>
      <c r="D76" s="504"/>
      <c r="E76" s="504"/>
      <c r="F76" s="505"/>
      <c r="G76" s="505"/>
      <c r="H76" s="506"/>
      <c r="I76" s="506"/>
      <c r="K76" s="506"/>
      <c r="L76" s="505"/>
      <c r="M76" s="508"/>
      <c r="N76" s="550"/>
      <c r="O76" s="550"/>
    </row>
    <row r="77" spans="1:24" ht="15.75" customHeight="1">
      <c r="A77" s="511"/>
      <c r="B77" s="513"/>
      <c r="C77" s="511"/>
      <c r="D77" s="559"/>
      <c r="E77" s="559"/>
      <c r="F77" s="505"/>
      <c r="G77" s="560"/>
      <c r="H77" s="560"/>
      <c r="I77" s="560"/>
      <c r="J77" s="560"/>
      <c r="K77" s="561"/>
      <c r="L77" s="562"/>
      <c r="M77" s="563"/>
      <c r="N77" s="550"/>
      <c r="O77" s="550"/>
    </row>
    <row r="78" spans="1:24" s="549" customFormat="1" ht="15.75" customHeight="1">
      <c r="A78" s="543" t="s">
        <v>1472</v>
      </c>
      <c r="B78" s="543" t="s">
        <v>1578</v>
      </c>
      <c r="C78" s="544"/>
      <c r="D78" s="544"/>
      <c r="E78" s="544"/>
      <c r="F78" s="545"/>
      <c r="G78" s="545"/>
      <c r="H78" s="545"/>
      <c r="I78" s="545"/>
      <c r="J78" s="545"/>
      <c r="K78" s="545"/>
      <c r="L78" s="546"/>
      <c r="M78" s="547"/>
      <c r="N78" s="548"/>
      <c r="O78" s="548"/>
    </row>
    <row r="79" spans="1:24" ht="15.75" customHeight="1">
      <c r="A79" s="511"/>
      <c r="B79" s="513"/>
      <c r="C79" s="559"/>
      <c r="D79" s="505"/>
      <c r="E79" s="505"/>
      <c r="F79" s="506"/>
      <c r="G79" s="506"/>
      <c r="H79" s="516"/>
      <c r="I79" s="505"/>
      <c r="J79" s="507"/>
      <c r="K79" s="508"/>
      <c r="L79" s="511"/>
      <c r="M79" s="511"/>
      <c r="P79" s="523"/>
      <c r="S79" s="493"/>
      <c r="W79" s="524"/>
    </row>
    <row r="80" spans="1:24" ht="15.75" customHeight="1">
      <c r="B80" s="513" t="s">
        <v>1579</v>
      </c>
      <c r="D80" s="564"/>
      <c r="E80" s="564"/>
      <c r="F80" s="564"/>
      <c r="G80" s="564"/>
      <c r="H80" s="564"/>
      <c r="I80" s="564"/>
      <c r="J80" s="565"/>
      <c r="K80" s="566"/>
      <c r="L80" s="567"/>
      <c r="M80" s="568"/>
      <c r="P80" s="569"/>
      <c r="T80" s="524"/>
    </row>
    <row r="81" spans="1:24" ht="15.75" customHeight="1">
      <c r="C81" s="570" t="s">
        <v>199</v>
      </c>
      <c r="D81" s="564"/>
      <c r="E81" s="564"/>
      <c r="F81" s="564"/>
      <c r="G81" s="516"/>
      <c r="J81" s="522">
        <v>8.1300000000000008</v>
      </c>
      <c r="K81" s="508" t="s">
        <v>1536</v>
      </c>
      <c r="M81" s="571"/>
      <c r="P81" s="569"/>
      <c r="T81" s="524"/>
    </row>
    <row r="82" spans="1:24" ht="15.75" customHeight="1">
      <c r="A82" s="511"/>
      <c r="B82" s="513"/>
      <c r="C82" s="504" t="s">
        <v>1580</v>
      </c>
      <c r="D82" s="559"/>
      <c r="E82" s="559"/>
      <c r="F82" s="505"/>
      <c r="G82" s="560"/>
      <c r="H82" s="560"/>
      <c r="I82" s="561"/>
      <c r="J82" s="561"/>
      <c r="K82" s="561"/>
      <c r="L82" s="562"/>
      <c r="M82" s="563"/>
      <c r="N82" s="550"/>
      <c r="O82" s="550"/>
    </row>
    <row r="83" spans="1:24" ht="15.75" customHeight="1">
      <c r="A83" s="511"/>
      <c r="B83" s="513"/>
      <c r="C83" s="559"/>
      <c r="D83" s="559"/>
      <c r="E83" s="559"/>
      <c r="F83" s="505"/>
      <c r="G83" s="560"/>
      <c r="H83" s="560"/>
      <c r="I83" s="561"/>
      <c r="J83" s="517"/>
      <c r="K83" s="508"/>
      <c r="L83" s="562"/>
      <c r="M83" s="563"/>
      <c r="N83" s="550"/>
      <c r="O83" s="550"/>
    </row>
    <row r="84" spans="1:24" s="549" customFormat="1" ht="15.75" customHeight="1">
      <c r="A84" s="543" t="s">
        <v>1473</v>
      </c>
      <c r="B84" s="543" t="s">
        <v>1581</v>
      </c>
      <c r="C84" s="544"/>
      <c r="D84" s="544"/>
      <c r="E84" s="544"/>
      <c r="F84" s="545"/>
      <c r="G84" s="545"/>
      <c r="H84" s="545"/>
      <c r="I84" s="545"/>
      <c r="J84" s="545"/>
      <c r="K84" s="545"/>
      <c r="L84" s="546"/>
      <c r="M84" s="547"/>
      <c r="N84" s="548"/>
      <c r="O84" s="548"/>
    </row>
    <row r="85" spans="1:24" ht="15.75" customHeight="1">
      <c r="A85" s="511"/>
      <c r="B85" s="513"/>
      <c r="C85" s="559"/>
      <c r="D85" s="559"/>
      <c r="E85" s="559"/>
      <c r="F85" s="505"/>
      <c r="G85" s="560"/>
      <c r="H85" s="560"/>
      <c r="I85" s="561"/>
      <c r="J85" s="517"/>
      <c r="K85" s="508"/>
      <c r="L85" s="562"/>
      <c r="M85" s="563"/>
      <c r="N85" s="550"/>
      <c r="O85" s="550"/>
    </row>
    <row r="86" spans="1:24" ht="15.75" customHeight="1">
      <c r="B86" s="509" t="s">
        <v>1582</v>
      </c>
      <c r="C86" s="505"/>
      <c r="D86" s="505"/>
      <c r="E86" s="505"/>
      <c r="F86" s="505"/>
      <c r="G86" s="506"/>
      <c r="H86" s="506"/>
      <c r="I86" s="506"/>
      <c r="J86" s="506"/>
      <c r="L86" s="492"/>
      <c r="P86" s="510"/>
      <c r="Q86" s="510"/>
      <c r="R86" s="510"/>
      <c r="T86" s="493"/>
      <c r="X86" s="524"/>
    </row>
    <row r="87" spans="1:24" ht="15.75" customHeight="1">
      <c r="B87" s="509"/>
      <c r="C87" s="505"/>
      <c r="D87" s="505"/>
      <c r="E87" s="505"/>
      <c r="F87" s="505"/>
      <c r="G87" s="506"/>
      <c r="H87" s="506"/>
      <c r="I87" s="506"/>
      <c r="J87" s="506"/>
      <c r="L87" s="492"/>
      <c r="P87" s="510"/>
      <c r="Q87" s="510"/>
      <c r="R87" s="510"/>
      <c r="T87" s="493"/>
      <c r="X87" s="524"/>
    </row>
    <row r="88" spans="1:24" ht="15">
      <c r="B88" s="492"/>
      <c r="C88" s="504" t="s">
        <v>1583</v>
      </c>
      <c r="J88" s="572">
        <v>2500000</v>
      </c>
      <c r="K88" s="508" t="s">
        <v>1584</v>
      </c>
      <c r="Q88" s="523"/>
      <c r="T88" s="493"/>
      <c r="X88" s="524"/>
    </row>
    <row r="89" spans="1:24" ht="15">
      <c r="B89" s="492"/>
      <c r="C89" s="504"/>
      <c r="J89" s="572"/>
      <c r="K89" s="508"/>
      <c r="Q89" s="523"/>
      <c r="T89" s="493"/>
      <c r="X89" s="524"/>
    </row>
    <row r="90" spans="1:24" ht="15.75">
      <c r="B90" s="492"/>
      <c r="C90" s="504"/>
      <c r="H90" s="942"/>
      <c r="I90" s="943"/>
      <c r="J90" s="528" t="s">
        <v>1585</v>
      </c>
      <c r="K90" s="508"/>
      <c r="Q90" s="523"/>
      <c r="T90" s="493"/>
      <c r="X90" s="524"/>
    </row>
    <row r="91" spans="1:24" ht="15.75">
      <c r="B91" s="492"/>
      <c r="C91" s="504" t="s">
        <v>1586</v>
      </c>
      <c r="H91" s="531" t="s">
        <v>1587</v>
      </c>
      <c r="I91" s="532"/>
      <c r="J91" s="533" t="s">
        <v>1588</v>
      </c>
      <c r="K91" s="508"/>
      <c r="Q91" s="523"/>
      <c r="T91" s="493"/>
      <c r="X91" s="524"/>
    </row>
    <row r="92" spans="1:24" s="574" customFormat="1" ht="15">
      <c r="A92" s="573"/>
      <c r="C92" s="573"/>
      <c r="H92" s="575" t="s">
        <v>1589</v>
      </c>
      <c r="I92" s="575"/>
      <c r="J92" s="542">
        <v>35000</v>
      </c>
      <c r="K92" s="508" t="s">
        <v>1584</v>
      </c>
      <c r="L92" s="573"/>
      <c r="Q92" s="576"/>
      <c r="T92" s="573"/>
      <c r="X92" s="577"/>
    </row>
    <row r="93" spans="1:24" s="574" customFormat="1" ht="15">
      <c r="A93" s="573"/>
      <c r="C93" s="573"/>
      <c r="H93" s="575" t="s">
        <v>1590</v>
      </c>
      <c r="I93" s="575"/>
      <c r="J93" s="542">
        <v>31500</v>
      </c>
      <c r="K93" s="508" t="s">
        <v>1584</v>
      </c>
      <c r="L93" s="573"/>
      <c r="Q93" s="576"/>
      <c r="T93" s="573"/>
      <c r="X93" s="577"/>
    </row>
    <row r="94" spans="1:24" s="574" customFormat="1" ht="15">
      <c r="A94" s="573"/>
      <c r="C94" s="573"/>
      <c r="H94" s="575" t="s">
        <v>1591</v>
      </c>
      <c r="I94" s="575"/>
      <c r="J94" s="542">
        <v>28000</v>
      </c>
      <c r="K94" s="508" t="s">
        <v>1584</v>
      </c>
      <c r="L94" s="573"/>
      <c r="Q94" s="576"/>
      <c r="T94" s="573"/>
      <c r="X94" s="577"/>
    </row>
    <row r="95" spans="1:24" s="574" customFormat="1" ht="15">
      <c r="A95" s="573"/>
      <c r="C95" s="573"/>
      <c r="H95" s="575" t="s">
        <v>1592</v>
      </c>
      <c r="I95" s="575"/>
      <c r="J95" s="542">
        <v>24500</v>
      </c>
      <c r="K95" s="508" t="s">
        <v>1584</v>
      </c>
      <c r="L95" s="573"/>
      <c r="Q95" s="576"/>
      <c r="T95" s="573"/>
      <c r="X95" s="577"/>
    </row>
    <row r="96" spans="1:24" ht="15">
      <c r="B96" s="492"/>
      <c r="C96" s="504"/>
      <c r="J96" s="572"/>
      <c r="K96" s="508"/>
      <c r="Q96" s="523"/>
      <c r="T96" s="493"/>
      <c r="X96" s="524"/>
    </row>
    <row r="97" spans="1:24" ht="15">
      <c r="B97" s="492"/>
      <c r="C97" s="504" t="s">
        <v>1593</v>
      </c>
      <c r="J97" s="578">
        <v>284500</v>
      </c>
      <c r="K97" s="508" t="s">
        <v>1584</v>
      </c>
      <c r="Q97" s="523"/>
      <c r="T97" s="493"/>
      <c r="X97" s="524"/>
    </row>
    <row r="98" spans="1:24" ht="15">
      <c r="B98" s="492"/>
      <c r="C98" s="504"/>
      <c r="J98" s="572"/>
      <c r="K98" s="508"/>
      <c r="Q98" s="523"/>
      <c r="T98" s="493"/>
      <c r="X98" s="524"/>
    </row>
    <row r="99" spans="1:24" ht="15">
      <c r="B99" s="492"/>
      <c r="C99" s="493"/>
      <c r="D99" s="493"/>
      <c r="E99" s="493"/>
      <c r="F99" s="493"/>
      <c r="G99" s="493"/>
      <c r="H99" s="493"/>
      <c r="I99" s="493"/>
      <c r="J99" s="493"/>
      <c r="K99" s="522"/>
      <c r="L99" s="516"/>
      <c r="Q99" s="523"/>
      <c r="T99" s="493"/>
      <c r="X99" s="524"/>
    </row>
    <row r="100" spans="1:24" s="549" customFormat="1" ht="15.75" customHeight="1">
      <c r="A100" s="543" t="s">
        <v>1594</v>
      </c>
      <c r="B100" s="543" t="s">
        <v>1595</v>
      </c>
      <c r="C100" s="544"/>
      <c r="D100" s="544"/>
      <c r="E100" s="544"/>
      <c r="F100" s="545"/>
      <c r="G100" s="545"/>
      <c r="H100" s="545"/>
      <c r="I100" s="545"/>
      <c r="J100" s="545"/>
      <c r="K100" s="545"/>
      <c r="L100" s="546"/>
      <c r="M100" s="547"/>
      <c r="N100" s="548"/>
      <c r="O100" s="548"/>
    </row>
    <row r="101" spans="1:24" ht="15.75" customHeight="1">
      <c r="B101" s="513"/>
      <c r="C101" s="504"/>
      <c r="D101" s="504"/>
      <c r="E101" s="504"/>
      <c r="F101" s="505"/>
      <c r="G101" s="505"/>
      <c r="H101" s="506"/>
      <c r="I101" s="506"/>
      <c r="J101" s="506"/>
      <c r="K101" s="505"/>
      <c r="L101" s="507"/>
      <c r="M101" s="508"/>
    </row>
    <row r="102" spans="1:24" ht="15.75" customHeight="1">
      <c r="B102" s="513"/>
      <c r="C102" s="504" t="s">
        <v>1596</v>
      </c>
      <c r="D102" s="504"/>
      <c r="E102" s="504"/>
      <c r="F102" s="505"/>
      <c r="G102" s="505"/>
      <c r="H102" s="506"/>
      <c r="I102" s="506"/>
      <c r="J102" s="506"/>
      <c r="K102" s="505"/>
      <c r="L102" s="507"/>
      <c r="M102" s="508"/>
    </row>
  </sheetData>
  <mergeCells count="76">
    <mergeCell ref="DF9:DP9"/>
    <mergeCell ref="A7:K7"/>
    <mergeCell ref="A9:K9"/>
    <mergeCell ref="L9:U9"/>
    <mergeCell ref="V9:AF9"/>
    <mergeCell ref="AG9:AQ9"/>
    <mergeCell ref="AR9:BB9"/>
    <mergeCell ref="BC9:BM9"/>
    <mergeCell ref="BN9:BX9"/>
    <mergeCell ref="BY9:CI9"/>
    <mergeCell ref="CJ9:CT9"/>
    <mergeCell ref="CU9:DE9"/>
    <mergeCell ref="IH9:IR9"/>
    <mergeCell ref="DQ9:EA9"/>
    <mergeCell ref="EB9:EL9"/>
    <mergeCell ref="EM9:EW9"/>
    <mergeCell ref="EX9:FH9"/>
    <mergeCell ref="FI9:FS9"/>
    <mergeCell ref="FT9:GD9"/>
    <mergeCell ref="EX10:FH10"/>
    <mergeCell ref="IS9:IU9"/>
    <mergeCell ref="A10:K10"/>
    <mergeCell ref="L10:U10"/>
    <mergeCell ref="V10:AF10"/>
    <mergeCell ref="AG10:AQ10"/>
    <mergeCell ref="AR10:BB10"/>
    <mergeCell ref="BC10:BM10"/>
    <mergeCell ref="BN10:BX10"/>
    <mergeCell ref="BY10:CI10"/>
    <mergeCell ref="CJ10:CT10"/>
    <mergeCell ref="GE9:GO9"/>
    <mergeCell ref="GP9:GZ9"/>
    <mergeCell ref="HA9:HK9"/>
    <mergeCell ref="HL9:HV9"/>
    <mergeCell ref="HW9:IG9"/>
    <mergeCell ref="CU10:DE10"/>
    <mergeCell ref="DF10:DP10"/>
    <mergeCell ref="DQ10:EA10"/>
    <mergeCell ref="EB10:EL10"/>
    <mergeCell ref="EM10:EW10"/>
    <mergeCell ref="HW10:IG10"/>
    <mergeCell ref="IH10:IR10"/>
    <mergeCell ref="IS10:IU10"/>
    <mergeCell ref="A12:K12"/>
    <mergeCell ref="L12:U12"/>
    <mergeCell ref="V12:AF12"/>
    <mergeCell ref="AG12:AQ12"/>
    <mergeCell ref="AR12:BB12"/>
    <mergeCell ref="BC12:BM12"/>
    <mergeCell ref="BN12:BX12"/>
    <mergeCell ref="FI10:FS10"/>
    <mergeCell ref="FT10:GD10"/>
    <mergeCell ref="GE10:GO10"/>
    <mergeCell ref="GP10:GZ10"/>
    <mergeCell ref="HA10:HK10"/>
    <mergeCell ref="HL10:HV10"/>
    <mergeCell ref="IH12:IR12"/>
    <mergeCell ref="IS12:IU12"/>
    <mergeCell ref="C43:D43"/>
    <mergeCell ref="EM12:EW12"/>
    <mergeCell ref="EX12:FH12"/>
    <mergeCell ref="FI12:FS12"/>
    <mergeCell ref="FT12:GD12"/>
    <mergeCell ref="GE12:GO12"/>
    <mergeCell ref="GP12:GZ12"/>
    <mergeCell ref="BY12:CI12"/>
    <mergeCell ref="CJ12:CT12"/>
    <mergeCell ref="CU12:DE12"/>
    <mergeCell ref="DF12:DP12"/>
    <mergeCell ref="DQ12:EA12"/>
    <mergeCell ref="EB12:EL12"/>
    <mergeCell ref="C52:D52"/>
    <mergeCell ref="H90:I90"/>
    <mergeCell ref="HA12:HK12"/>
    <mergeCell ref="HL12:HV12"/>
    <mergeCell ref="HW12:IG1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0"/>
  </sheetPr>
  <dimension ref="A1:AF211"/>
  <sheetViews>
    <sheetView topLeftCell="Q1" zoomScale="85" zoomScaleNormal="85" workbookViewId="0">
      <selection activeCell="C24" sqref="C24"/>
    </sheetView>
  </sheetViews>
  <sheetFormatPr defaultColWidth="10.28515625" defaultRowHeight="12.75" zeroHeight="1"/>
  <cols>
    <col min="1" max="1" width="3.7109375" style="481" customWidth="1"/>
    <col min="2" max="2" width="3.5703125" style="481" customWidth="1"/>
    <col min="3" max="3" width="31" style="481" customWidth="1"/>
    <col min="4" max="4" width="20.42578125" style="481" customWidth="1"/>
    <col min="5" max="5" width="13.42578125" style="481" customWidth="1"/>
    <col min="6" max="6" width="19.5703125" style="481" customWidth="1"/>
    <col min="7" max="7" width="14.28515625" style="481" customWidth="1"/>
    <col min="8" max="8" width="19" style="481" customWidth="1"/>
    <col min="9" max="10" width="14.28515625" style="481" customWidth="1"/>
    <col min="11" max="14" width="15.5703125" style="481" bestFit="1" customWidth="1"/>
    <col min="15" max="17" width="17.5703125" style="481" customWidth="1"/>
    <col min="18" max="18" width="15.5703125" style="481" customWidth="1"/>
    <col min="19" max="19" width="15.5703125" style="481" bestFit="1" customWidth="1"/>
    <col min="20" max="22" width="15.5703125" style="481" customWidth="1"/>
    <col min="23" max="24" width="15.5703125" style="481" bestFit="1" customWidth="1"/>
    <col min="25" max="25" width="10.28515625" style="481"/>
    <col min="26" max="26" width="31" style="481" customWidth="1"/>
    <col min="27" max="28" width="13.7109375" style="481" customWidth="1"/>
    <col min="29" max="29" width="23.28515625" style="481" customWidth="1"/>
    <col min="30" max="30" width="16.42578125" style="481" customWidth="1"/>
    <col min="31" max="31" width="18.85546875" style="481" customWidth="1"/>
    <col min="32" max="16384" width="10.28515625" style="481"/>
  </cols>
  <sheetData>
    <row r="1" spans="1:32" s="473" customFormat="1"/>
    <row r="2" spans="1:32" s="473" customFormat="1">
      <c r="C2" s="475" t="str">
        <f ca="1">UPPER(MID(CELL("filename",A1),FIND("[",CELL("filename",A1))+1,FIND("]",CELL("filename",A1))-FIND("[",CELL("filename",A1))-5))</f>
        <v>LPM MB15 - EPACITY DSL 20170201 OPENBAAR.</v>
      </c>
      <c r="D2" s="475"/>
      <c r="E2" s="475"/>
      <c r="F2" s="475"/>
      <c r="G2" s="475"/>
      <c r="H2" s="475"/>
      <c r="I2" s="475"/>
      <c r="J2" s="475"/>
    </row>
    <row r="3" spans="1:32" s="473" customFormat="1">
      <c r="C3" s="473" t="str">
        <f ca="1">UPPER(MID(CELL("filename",A2),FIND("]",CELL("filename",A2))+1,LEN(CELL("filename",A2))))</f>
        <v>INKOOP VULA</v>
      </c>
    </row>
    <row r="4" spans="1:32" s="476" customFormat="1"/>
    <row r="5" spans="1:32" s="581" customFormat="1">
      <c r="A5" s="481"/>
      <c r="B5" s="481"/>
      <c r="C5" s="579"/>
      <c r="D5" s="579"/>
      <c r="E5" s="579"/>
      <c r="F5" s="579"/>
      <c r="G5" s="580"/>
      <c r="H5" s="580"/>
      <c r="I5" s="580"/>
      <c r="J5" s="580"/>
    </row>
    <row r="6" spans="1:32" s="581" customFormat="1" ht="13.5" thickBot="1">
      <c r="A6" s="481"/>
      <c r="B6" s="481"/>
      <c r="C6" s="579"/>
      <c r="D6" s="579"/>
      <c r="E6" s="579"/>
      <c r="F6" s="579"/>
      <c r="G6" s="580"/>
      <c r="H6" s="580"/>
      <c r="I6" s="580"/>
      <c r="J6" s="580"/>
    </row>
    <row r="7" spans="1:32" s="581" customFormat="1">
      <c r="A7" s="481"/>
      <c r="B7" s="481"/>
      <c r="C7" s="579"/>
      <c r="D7" s="579"/>
      <c r="E7" s="579" t="s">
        <v>1597</v>
      </c>
      <c r="F7" s="582">
        <f>COUNTA($C$13:$C$4629)</f>
        <v>40</v>
      </c>
      <c r="G7" s="580"/>
      <c r="H7" s="580"/>
      <c r="I7" s="580"/>
      <c r="J7" s="580"/>
      <c r="K7" s="583"/>
      <c r="L7" s="584"/>
      <c r="M7" s="585"/>
      <c r="N7" s="584"/>
      <c r="O7" s="584"/>
      <c r="P7" s="584"/>
      <c r="Q7" s="584"/>
      <c r="R7" s="821"/>
      <c r="S7" s="821"/>
      <c r="T7" s="584"/>
      <c r="U7" s="584"/>
      <c r="V7" s="584"/>
      <c r="W7" s="585"/>
      <c r="X7" s="586"/>
    </row>
    <row r="8" spans="1:32" s="581" customFormat="1">
      <c r="A8" s="481"/>
      <c r="B8" s="481"/>
      <c r="C8" s="579"/>
      <c r="D8" s="579"/>
      <c r="G8" s="580"/>
      <c r="H8" s="580"/>
      <c r="I8" s="580"/>
      <c r="J8" s="580"/>
      <c r="K8" s="587"/>
      <c r="L8" s="588"/>
      <c r="M8" s="589"/>
      <c r="N8" s="588"/>
      <c r="O8" s="588"/>
      <c r="P8" s="588"/>
      <c r="Q8" s="588"/>
      <c r="R8" s="822"/>
      <c r="S8" s="822"/>
      <c r="T8" s="588"/>
      <c r="U8" s="588"/>
      <c r="V8" s="588"/>
      <c r="W8" s="589"/>
      <c r="X8" s="590"/>
    </row>
    <row r="9" spans="1:32" s="581" customFormat="1">
      <c r="A9" s="481"/>
      <c r="B9" s="591"/>
      <c r="C9" s="592"/>
      <c r="D9" s="592"/>
      <c r="E9" s="592"/>
      <c r="F9" s="592"/>
      <c r="G9" s="592"/>
      <c r="H9" s="592"/>
      <c r="I9" s="592"/>
      <c r="J9" s="592"/>
      <c r="K9" s="593" t="s">
        <v>1598</v>
      </c>
      <c r="L9" s="591" t="s">
        <v>1598</v>
      </c>
      <c r="M9" s="594" t="s">
        <v>1598</v>
      </c>
      <c r="N9" s="591" t="s">
        <v>1599</v>
      </c>
      <c r="O9" s="591" t="s">
        <v>1599</v>
      </c>
      <c r="P9" s="591" t="s">
        <v>1599</v>
      </c>
      <c r="Q9" s="591" t="s">
        <v>1599</v>
      </c>
      <c r="R9" s="823" t="s">
        <v>1712</v>
      </c>
      <c r="S9" s="823" t="s">
        <v>1712</v>
      </c>
      <c r="T9" s="591" t="s">
        <v>1599</v>
      </c>
      <c r="U9" s="591" t="s">
        <v>1599</v>
      </c>
      <c r="V9" s="591" t="s">
        <v>1599</v>
      </c>
      <c r="W9" s="594" t="s">
        <v>1599</v>
      </c>
      <c r="X9" s="595" t="s">
        <v>1600</v>
      </c>
    </row>
    <row r="10" spans="1:32" s="581" customFormat="1" ht="38.25">
      <c r="A10" s="481"/>
      <c r="B10" s="591"/>
      <c r="C10" s="596" t="s">
        <v>422</v>
      </c>
      <c r="D10" s="596" t="s">
        <v>423</v>
      </c>
      <c r="E10" s="596" t="s">
        <v>424</v>
      </c>
      <c r="F10" s="596" t="s">
        <v>425</v>
      </c>
      <c r="G10" s="596" t="s">
        <v>1372</v>
      </c>
      <c r="H10" s="596" t="s">
        <v>1190</v>
      </c>
      <c r="I10" s="596" t="s">
        <v>38</v>
      </c>
      <c r="J10" s="596" t="s">
        <v>1601</v>
      </c>
      <c r="K10" s="597" t="s">
        <v>1602</v>
      </c>
      <c r="L10" s="598" t="s">
        <v>1603</v>
      </c>
      <c r="M10" s="600" t="s">
        <v>1606</v>
      </c>
      <c r="N10" s="601" t="s">
        <v>1607</v>
      </c>
      <c r="O10" s="602" t="s">
        <v>1608</v>
      </c>
      <c r="P10" s="602" t="s">
        <v>1609</v>
      </c>
      <c r="Q10" s="602" t="s">
        <v>266</v>
      </c>
      <c r="R10" s="824" t="s">
        <v>1604</v>
      </c>
      <c r="S10" s="824" t="s">
        <v>1605</v>
      </c>
      <c r="T10" s="602" t="s">
        <v>1610</v>
      </c>
      <c r="U10" s="599" t="s">
        <v>250</v>
      </c>
      <c r="V10" s="599" t="s">
        <v>1611</v>
      </c>
      <c r="W10" s="600" t="s">
        <v>1612</v>
      </c>
      <c r="X10" s="603" t="s">
        <v>1613</v>
      </c>
      <c r="Z10" s="581" t="s">
        <v>501</v>
      </c>
      <c r="AA10" s="828" t="s">
        <v>1614</v>
      </c>
      <c r="AB10" s="828" t="s">
        <v>1614</v>
      </c>
      <c r="AC10" s="604" t="s">
        <v>1615</v>
      </c>
      <c r="AD10" s="604" t="s">
        <v>1616</v>
      </c>
      <c r="AE10" s="581" t="s">
        <v>1617</v>
      </c>
      <c r="AF10" s="581" t="s">
        <v>1618</v>
      </c>
    </row>
    <row r="11" spans="1:32" s="581" customFormat="1">
      <c r="A11" s="481"/>
      <c r="B11" s="481"/>
      <c r="C11" s="481"/>
      <c r="D11" s="481"/>
      <c r="E11" s="481"/>
      <c r="F11" s="481"/>
      <c r="G11" s="481"/>
      <c r="H11" s="481"/>
      <c r="I11" s="481"/>
      <c r="J11" s="481"/>
      <c r="K11" s="605"/>
      <c r="L11" s="220"/>
      <c r="M11" s="606"/>
      <c r="N11" s="607"/>
      <c r="O11" s="607"/>
      <c r="P11" s="607"/>
      <c r="Q11" s="607"/>
      <c r="R11" s="825"/>
      <c r="S11" s="825"/>
      <c r="T11" s="607"/>
      <c r="U11" s="259"/>
      <c r="V11" s="259"/>
      <c r="W11" s="608"/>
      <c r="X11" s="609"/>
      <c r="AA11" s="829" t="s">
        <v>145</v>
      </c>
      <c r="AB11" s="829" t="s">
        <v>146</v>
      </c>
    </row>
    <row r="12" spans="1:32" s="581" customFormat="1" ht="15.75">
      <c r="A12" s="481"/>
      <c r="B12" s="481"/>
      <c r="C12" s="610" t="s">
        <v>1619</v>
      </c>
      <c r="D12" s="610"/>
      <c r="E12" s="610"/>
      <c r="F12" s="610"/>
      <c r="G12" s="481"/>
      <c r="H12" s="481"/>
      <c r="I12" s="481"/>
      <c r="J12" s="481"/>
      <c r="K12" s="605"/>
      <c r="L12" s="220"/>
      <c r="M12" s="606"/>
      <c r="N12" s="607"/>
      <c r="O12" s="607"/>
      <c r="P12" s="607"/>
      <c r="Q12" s="607"/>
      <c r="R12" s="825"/>
      <c r="S12" s="825"/>
      <c r="T12" s="607"/>
      <c r="U12" s="259"/>
      <c r="V12" s="259"/>
      <c r="W12" s="608"/>
      <c r="X12" s="609"/>
      <c r="AA12" s="829"/>
      <c r="AB12" s="829"/>
    </row>
    <row r="13" spans="1:32">
      <c r="C13" s="611" t="s">
        <v>1619</v>
      </c>
      <c r="D13" s="611" t="s">
        <v>1620</v>
      </c>
      <c r="E13" s="611" t="s">
        <v>224</v>
      </c>
      <c r="F13" s="612" t="s">
        <v>1621</v>
      </c>
      <c r="G13" s="611" t="s">
        <v>1374</v>
      </c>
      <c r="H13" s="611" t="s">
        <v>498</v>
      </c>
      <c r="I13" s="611" t="s">
        <v>1376</v>
      </c>
      <c r="J13" s="611" t="s">
        <v>1622</v>
      </c>
      <c r="K13" s="613">
        <f>('Annex 4 VULA'!$J$32+IF(D13="NLS type 1/2/3",IF(E13="VDSL bonding",'Parameters ULL'!$E$31,'Parameters ULL'!$E$30)))/'Parameters ULL'!$E$10</f>
        <v>1.8055555555555556</v>
      </c>
      <c r="L13" s="224">
        <f>('Annex 4 VULA'!$J$33/'Parameters ULL'!$E$10)</f>
        <v>0.27777777777777779</v>
      </c>
      <c r="M13" s="225">
        <f>SUM($K13:$L13)</f>
        <v>2.0833333333333335</v>
      </c>
      <c r="N13" s="224">
        <f>IF(E13="VDSL bonding",'Annex 4 VULA'!$J$25,IF(E13="non-shared",'Annex 4 VULA'!$J$23,'Annex 4 VULA'!$J$24))</f>
        <v>10.14</v>
      </c>
      <c r="O13" s="224">
        <f>IF(G13="Premium",IF(I13="≤2/2Mbps",0,'Annex 4 VULA'!$E$49),0)</f>
        <v>0</v>
      </c>
      <c r="P13" s="224">
        <f>IF(H13="7x24 repairtime 8h",'Annex 4 VULA'!$J$81,0)</f>
        <v>0</v>
      </c>
      <c r="Q13" s="224">
        <f>collocatie!$J$111</f>
        <v>7.6727608333333336E-3</v>
      </c>
      <c r="R13" s="826">
        <f>('Annex 4 VULA'!$J$88+40*'Annex 4 VULA'!$J$92+40*'Annex 4 VULA'!$J$93+40*'Annex 4 VULA'!$J$94+41*'Annex 4 VULA'!$J$95-'Annex 4 VULA'!$J$97)/'Parameters ULL'!$E$60/'Parameters ULL'!$E$58</f>
        <v>8.3333333333333332E-3</v>
      </c>
      <c r="S13" s="826">
        <f>IF(E13="VDSL bonding",2,1)*'Annex 4 VULA'!$J$27/'Annex 4 VULA'!$L$27/'Parameters ULL'!$E$58</f>
        <v>2.0654761904761907</v>
      </c>
      <c r="T13" s="675">
        <f>'Parameters ULL'!$E$17*('Tarieven W&amp;O'!$G$178+'Tarieven W&amp;O'!$I$178/'Parameters ULL'!$E$58)/1000000</f>
        <v>5.3011904761904758E-3</v>
      </c>
      <c r="U13" s="226">
        <f>'Parameters ULL'!$E$17*'Annex 4 VULA'!$J$65/10000000</f>
        <v>7.4999999999999997E-2</v>
      </c>
      <c r="V13" s="226">
        <f>'EDC minus lijst ULL'!$K$7+'EDC minus lijst ULL'!$L$7</f>
        <v>0.2</v>
      </c>
      <c r="W13" s="614">
        <f>SUM($N13:$V13)</f>
        <v>12.501783475119046</v>
      </c>
      <c r="X13" s="615">
        <f t="shared" ref="X13:X52" si="0">$M13+$W13</f>
        <v>14.58511680845238</v>
      </c>
      <c r="Z13" s="481" t="str">
        <f t="shared" ref="Z13:Z52" si="1">IF(AND(D13="telco-telco",E13="VDSL bonding"),"",IF(E13="VDSL bonding","VDSL bondingnon-sharednieuw","ADSL/VDSL"&amp;E13&amp;IF(D13="NLS type 1/2/3","nieuw","bestaand")))</f>
        <v>ADSL/VDSLnon-sharednieuw</v>
      </c>
      <c r="AA13" s="830">
        <f>W13-AD13-AF13</f>
        <v>12.501783475119046</v>
      </c>
      <c r="AB13" s="830">
        <f>M13*'Parameters ULL'!$E$10</f>
        <v>75</v>
      </c>
      <c r="AC13" s="481" t="str">
        <f t="shared" ref="AC13:AC52" si="2">G13&amp;I13</f>
        <v>Best-effort≤2/2Mbps</v>
      </c>
      <c r="AD13" s="616">
        <f>O13</f>
        <v>0</v>
      </c>
      <c r="AE13" s="616" t="str">
        <f t="shared" ref="AE13:AE52" si="3">H13</f>
        <v>Standard</v>
      </c>
      <c r="AF13" s="616">
        <f>+P13</f>
        <v>0</v>
      </c>
    </row>
    <row r="14" spans="1:32">
      <c r="C14" s="611" t="s">
        <v>1619</v>
      </c>
      <c r="D14" s="611" t="s">
        <v>1620</v>
      </c>
      <c r="E14" s="611" t="s">
        <v>224</v>
      </c>
      <c r="F14" s="612" t="s">
        <v>1621</v>
      </c>
      <c r="G14" s="611" t="s">
        <v>70</v>
      </c>
      <c r="H14" s="611" t="s">
        <v>498</v>
      </c>
      <c r="I14" s="611" t="s">
        <v>1376</v>
      </c>
      <c r="J14" s="611" t="s">
        <v>1622</v>
      </c>
      <c r="K14" s="613">
        <f>('Annex 4 VULA'!$J$32+IF(D14="NLS type 1/2/3",IF(E14="VDSL bonding",'Parameters ULL'!$E$31,'Parameters ULL'!$E$30)))/'Parameters ULL'!$E$10</f>
        <v>1.8055555555555556</v>
      </c>
      <c r="L14" s="224">
        <f>('Annex 4 VULA'!$J$33/'Parameters ULL'!$E$10)</f>
        <v>0.27777777777777779</v>
      </c>
      <c r="M14" s="225">
        <f t="shared" ref="M14:M52" si="4">SUM($K14:$L14)</f>
        <v>2.0833333333333335</v>
      </c>
      <c r="N14" s="224">
        <f>IF(E14="VDSL bonding",'Annex 4 VULA'!$J$25,IF(E14="non-shared",'Annex 4 VULA'!$J$23,'Annex 4 VULA'!$J$24))</f>
        <v>10.14</v>
      </c>
      <c r="O14" s="224">
        <f>IF(G14="Premium",IF(I14="≤2/2Mbps",0,'Annex 4 VULA'!$E$49),0)</f>
        <v>0</v>
      </c>
      <c r="P14" s="224">
        <f>IF(H14="7x24 repairtime 8h",'Annex 4 VULA'!$J$81,0)</f>
        <v>0</v>
      </c>
      <c r="Q14" s="224">
        <f>collocatie!$J$111</f>
        <v>7.6727608333333336E-3</v>
      </c>
      <c r="R14" s="826">
        <f>('Annex 4 VULA'!$J$88+40*'Annex 4 VULA'!$J$92+40*'Annex 4 VULA'!$J$93+40*'Annex 4 VULA'!$J$94+41*'Annex 4 VULA'!$J$95-'Annex 4 VULA'!$J$97)/'Parameters ULL'!$E$60/'Parameters ULL'!$E$58</f>
        <v>8.3333333333333332E-3</v>
      </c>
      <c r="S14" s="826">
        <f>IF(E14="VDSL bonding",2,1)*'Annex 4 VULA'!$J$27/'Annex 4 VULA'!$L$27/'Parameters ULL'!$E$58</f>
        <v>2.0654761904761907</v>
      </c>
      <c r="T14" s="675">
        <f>'Parameters ULL'!$E$17*('Tarieven W&amp;O'!$G$178+'Tarieven W&amp;O'!$I$178/'Parameters ULL'!$E$58)/1000000</f>
        <v>5.3011904761904758E-3</v>
      </c>
      <c r="U14" s="226">
        <f>'Parameters ULL'!$E$17*'Annex 4 VULA'!$J$65/10000000</f>
        <v>7.4999999999999997E-2</v>
      </c>
      <c r="V14" s="226">
        <f>'EDC minus lijst ULL'!$K$7+'EDC minus lijst ULL'!$L$7</f>
        <v>0.2</v>
      </c>
      <c r="W14" s="614">
        <f t="shared" ref="W14:W52" si="5">SUM($N14:$V14)</f>
        <v>12.501783475119046</v>
      </c>
      <c r="X14" s="615">
        <f t="shared" si="0"/>
        <v>14.58511680845238</v>
      </c>
      <c r="Z14" s="481" t="str">
        <f t="shared" si="1"/>
        <v>ADSL/VDSLnon-sharednieuw</v>
      </c>
      <c r="AA14" s="830">
        <f t="shared" ref="AA14:AA52" si="6">W14-AD14-AF14</f>
        <v>12.501783475119046</v>
      </c>
      <c r="AB14" s="830">
        <f>M14*'Parameters ULL'!$E$10</f>
        <v>75</v>
      </c>
      <c r="AC14" s="481" t="str">
        <f t="shared" si="2"/>
        <v>Premium≤2/2Mbps</v>
      </c>
      <c r="AD14" s="616">
        <f t="shared" ref="AD14:AD52" si="7">O14</f>
        <v>0</v>
      </c>
      <c r="AE14" s="616" t="str">
        <f t="shared" si="3"/>
        <v>Standard</v>
      </c>
      <c r="AF14" s="616">
        <f t="shared" ref="AF14:AF52" si="8">+P14</f>
        <v>0</v>
      </c>
    </row>
    <row r="15" spans="1:32">
      <c r="C15" s="611" t="s">
        <v>1619</v>
      </c>
      <c r="D15" s="611" t="s">
        <v>1620</v>
      </c>
      <c r="E15" s="611" t="s">
        <v>224</v>
      </c>
      <c r="F15" s="612" t="s">
        <v>1621</v>
      </c>
      <c r="G15" s="611" t="s">
        <v>1374</v>
      </c>
      <c r="H15" s="611" t="s">
        <v>498</v>
      </c>
      <c r="I15" s="611" t="s">
        <v>1375</v>
      </c>
      <c r="J15" s="611" t="s">
        <v>1622</v>
      </c>
      <c r="K15" s="613">
        <f>('Annex 4 VULA'!$J$32+IF(D15="NLS type 1/2/3",IF(E15="VDSL bonding",'Parameters ULL'!$E$31,'Parameters ULL'!$E$30)))/'Parameters ULL'!$E$10</f>
        <v>1.8055555555555556</v>
      </c>
      <c r="L15" s="224">
        <f>('Annex 4 VULA'!$J$33/'Parameters ULL'!$E$10)</f>
        <v>0.27777777777777779</v>
      </c>
      <c r="M15" s="225">
        <f t="shared" si="4"/>
        <v>2.0833333333333335</v>
      </c>
      <c r="N15" s="224">
        <f>IF(E15="VDSL bonding",'Annex 4 VULA'!$J$25,IF(E15="non-shared",'Annex 4 VULA'!$J$23,'Annex 4 VULA'!$J$24))</f>
        <v>10.14</v>
      </c>
      <c r="O15" s="224">
        <f>IF(G15="Premium",IF(I15="≤2/2Mbps",0,'Annex 4 VULA'!$E$49),0)</f>
        <v>0</v>
      </c>
      <c r="P15" s="224">
        <f>IF(H15="7x24 repairtime 8h",'Annex 4 VULA'!$J$81,0)</f>
        <v>0</v>
      </c>
      <c r="Q15" s="224">
        <f>collocatie!$J$111</f>
        <v>7.6727608333333336E-3</v>
      </c>
      <c r="R15" s="826">
        <f>('Annex 4 VULA'!$J$88+40*'Annex 4 VULA'!$J$92+40*'Annex 4 VULA'!$J$93+40*'Annex 4 VULA'!$J$94+41*'Annex 4 VULA'!$J$95-'Annex 4 VULA'!$J$97)/'Parameters ULL'!$E$60/'Parameters ULL'!$E$58</f>
        <v>8.3333333333333332E-3</v>
      </c>
      <c r="S15" s="826">
        <f>IF(E15="VDSL bonding",2,1)*'Annex 4 VULA'!$J$27/'Annex 4 VULA'!$L$27/'Parameters ULL'!$E$58</f>
        <v>2.0654761904761907</v>
      </c>
      <c r="T15" s="675">
        <f>'Parameters ULL'!$E$17*('Tarieven W&amp;O'!$G$178+'Tarieven W&amp;O'!$I$178/'Parameters ULL'!$E$58)/1000000</f>
        <v>5.3011904761904758E-3</v>
      </c>
      <c r="U15" s="226">
        <f>'Parameters ULL'!$E$17*'Annex 4 VULA'!$J$65/10000000</f>
        <v>7.4999999999999997E-2</v>
      </c>
      <c r="V15" s="226">
        <f>'EDC minus lijst ULL'!$K$7+'EDC minus lijst ULL'!$L$7</f>
        <v>0.2</v>
      </c>
      <c r="W15" s="614">
        <f t="shared" si="5"/>
        <v>12.501783475119046</v>
      </c>
      <c r="X15" s="615">
        <f t="shared" si="0"/>
        <v>14.58511680845238</v>
      </c>
      <c r="Z15" s="481" t="str">
        <f t="shared" si="1"/>
        <v>ADSL/VDSLnon-sharednieuw</v>
      </c>
      <c r="AA15" s="830">
        <f t="shared" si="6"/>
        <v>12.501783475119046</v>
      </c>
      <c r="AB15" s="830">
        <f>M15*'Parameters ULL'!$E$10</f>
        <v>75</v>
      </c>
      <c r="AC15" s="481" t="str">
        <f t="shared" si="2"/>
        <v>Best-effortOther</v>
      </c>
      <c r="AD15" s="616">
        <f t="shared" si="7"/>
        <v>0</v>
      </c>
      <c r="AE15" s="616" t="str">
        <f t="shared" si="3"/>
        <v>Standard</v>
      </c>
      <c r="AF15" s="616">
        <f t="shared" si="8"/>
        <v>0</v>
      </c>
    </row>
    <row r="16" spans="1:32">
      <c r="C16" s="611" t="s">
        <v>1619</v>
      </c>
      <c r="D16" s="611" t="s">
        <v>1620</v>
      </c>
      <c r="E16" s="611" t="s">
        <v>224</v>
      </c>
      <c r="F16" s="612" t="s">
        <v>1621</v>
      </c>
      <c r="G16" s="611" t="s">
        <v>70</v>
      </c>
      <c r="H16" s="611" t="s">
        <v>498</v>
      </c>
      <c r="I16" s="611" t="s">
        <v>1375</v>
      </c>
      <c r="J16" s="611" t="s">
        <v>1622</v>
      </c>
      <c r="K16" s="613">
        <f>('Annex 4 VULA'!$J$32+IF(D16="NLS type 1/2/3",IF(E16="VDSL bonding",'Parameters ULL'!$E$31,'Parameters ULL'!$E$30)))/'Parameters ULL'!$E$10</f>
        <v>1.8055555555555556</v>
      </c>
      <c r="L16" s="224">
        <f>('Annex 4 VULA'!$J$33/'Parameters ULL'!$E$10)</f>
        <v>0.27777777777777779</v>
      </c>
      <c r="M16" s="225">
        <f t="shared" si="4"/>
        <v>2.0833333333333335</v>
      </c>
      <c r="N16" s="224">
        <f>IF(E16="VDSL bonding",'Annex 4 VULA'!$J$25,IF(E16="non-shared",'Annex 4 VULA'!$J$23,'Annex 4 VULA'!$J$24))</f>
        <v>10.14</v>
      </c>
      <c r="O16" s="224">
        <f>IF(G16="Premium",IF(I16="≤2/2Mbps",0,'Annex 4 VULA'!$E$49),0)</f>
        <v>16.02</v>
      </c>
      <c r="P16" s="224">
        <f>IF(H16="7x24 repairtime 8h",'Annex 4 VULA'!$J$81,0)</f>
        <v>0</v>
      </c>
      <c r="Q16" s="224">
        <f>collocatie!$J$111</f>
        <v>7.6727608333333336E-3</v>
      </c>
      <c r="R16" s="826">
        <f>('Annex 4 VULA'!$J$88+40*'Annex 4 VULA'!$J$92+40*'Annex 4 VULA'!$J$93+40*'Annex 4 VULA'!$J$94+41*'Annex 4 VULA'!$J$95-'Annex 4 VULA'!$J$97)/'Parameters ULL'!$E$60/'Parameters ULL'!$E$58</f>
        <v>8.3333333333333332E-3</v>
      </c>
      <c r="S16" s="826">
        <f>IF(E16="VDSL bonding",2,1)*'Annex 4 VULA'!$J$27/'Annex 4 VULA'!$L$27/'Parameters ULL'!$E$58</f>
        <v>2.0654761904761907</v>
      </c>
      <c r="T16" s="675">
        <f>'Parameters ULL'!$E$17*('Tarieven W&amp;O'!$G$178+'Tarieven W&amp;O'!$I$178/'Parameters ULL'!$E$58)/1000000</f>
        <v>5.3011904761904758E-3</v>
      </c>
      <c r="U16" s="226">
        <f>'Parameters ULL'!$E$17*'Annex 4 VULA'!$J$65/10000000</f>
        <v>7.4999999999999997E-2</v>
      </c>
      <c r="V16" s="226">
        <f>'EDC minus lijst ULL'!$K$7+'EDC minus lijst ULL'!$L$7</f>
        <v>0.2</v>
      </c>
      <c r="W16" s="614">
        <f t="shared" si="5"/>
        <v>28.521783475119044</v>
      </c>
      <c r="X16" s="615">
        <f t="shared" si="0"/>
        <v>30.605116808452376</v>
      </c>
      <c r="Z16" s="481" t="str">
        <f t="shared" si="1"/>
        <v>ADSL/VDSLnon-sharednieuw</v>
      </c>
      <c r="AA16" s="830">
        <f t="shared" si="6"/>
        <v>12.501783475119044</v>
      </c>
      <c r="AB16" s="830">
        <f>M16*'Parameters ULL'!$E$10</f>
        <v>75</v>
      </c>
      <c r="AC16" s="481" t="str">
        <f t="shared" si="2"/>
        <v>PremiumOther</v>
      </c>
      <c r="AD16" s="616">
        <f t="shared" si="7"/>
        <v>16.02</v>
      </c>
      <c r="AE16" s="616" t="str">
        <f t="shared" si="3"/>
        <v>Standard</v>
      </c>
      <c r="AF16" s="616">
        <f t="shared" si="8"/>
        <v>0</v>
      </c>
    </row>
    <row r="17" spans="3:32">
      <c r="C17" s="611" t="s">
        <v>1619</v>
      </c>
      <c r="D17" s="611" t="s">
        <v>1620</v>
      </c>
      <c r="E17" s="611" t="s">
        <v>224</v>
      </c>
      <c r="F17" s="612" t="s">
        <v>1621</v>
      </c>
      <c r="G17" s="611" t="s">
        <v>1374</v>
      </c>
      <c r="H17" s="611" t="s">
        <v>199</v>
      </c>
      <c r="I17" s="611" t="s">
        <v>1376</v>
      </c>
      <c r="J17" s="611" t="s">
        <v>1622</v>
      </c>
      <c r="K17" s="613">
        <f>('Annex 4 VULA'!$J$32+IF(D17="NLS type 1/2/3",IF(E17="VDSL bonding",'Parameters ULL'!$E$31,'Parameters ULL'!$E$30)))/'Parameters ULL'!$E$10</f>
        <v>1.8055555555555556</v>
      </c>
      <c r="L17" s="224">
        <f>('Annex 4 VULA'!$J$33/'Parameters ULL'!$E$10)</f>
        <v>0.27777777777777779</v>
      </c>
      <c r="M17" s="225">
        <f t="shared" si="4"/>
        <v>2.0833333333333335</v>
      </c>
      <c r="N17" s="224">
        <f>IF(E17="VDSL bonding",'Annex 4 VULA'!$J$25,IF(E17="non-shared",'Annex 4 VULA'!$J$23,'Annex 4 VULA'!$J$24))</f>
        <v>10.14</v>
      </c>
      <c r="O17" s="224">
        <f>IF(G17="Premium",IF(I17="≤2/2Mbps",0,'Annex 4 VULA'!$E$49),0)</f>
        <v>0</v>
      </c>
      <c r="P17" s="224">
        <f>IF(H17="7x24 repairtime 8h",'Annex 4 VULA'!$J$81,0)</f>
        <v>8.1300000000000008</v>
      </c>
      <c r="Q17" s="224">
        <f>collocatie!$J$111</f>
        <v>7.6727608333333336E-3</v>
      </c>
      <c r="R17" s="826">
        <f>('Annex 4 VULA'!$J$88+40*'Annex 4 VULA'!$J$92+40*'Annex 4 VULA'!$J$93+40*'Annex 4 VULA'!$J$94+41*'Annex 4 VULA'!$J$95-'Annex 4 VULA'!$J$97)/'Parameters ULL'!$E$60/'Parameters ULL'!$E$58</f>
        <v>8.3333333333333332E-3</v>
      </c>
      <c r="S17" s="826">
        <f>IF(E17="VDSL bonding",2,1)*'Annex 4 VULA'!$J$27/'Annex 4 VULA'!$L$27/'Parameters ULL'!$E$58</f>
        <v>2.0654761904761907</v>
      </c>
      <c r="T17" s="675">
        <f>'Parameters ULL'!$E$17*('Tarieven W&amp;O'!$G$178+'Tarieven W&amp;O'!$I$178/'Parameters ULL'!$E$58)/1000000</f>
        <v>5.3011904761904758E-3</v>
      </c>
      <c r="U17" s="226">
        <f>'Parameters ULL'!$E$17*'Annex 4 VULA'!$J$65/10000000</f>
        <v>7.4999999999999997E-2</v>
      </c>
      <c r="V17" s="226">
        <f>'EDC minus lijst ULL'!$K$7+'EDC minus lijst ULL'!$L$7</f>
        <v>0.2</v>
      </c>
      <c r="W17" s="614">
        <f t="shared" si="5"/>
        <v>20.631783475119047</v>
      </c>
      <c r="X17" s="615">
        <f t="shared" si="0"/>
        <v>22.715116808452379</v>
      </c>
      <c r="Z17" s="481" t="str">
        <f t="shared" si="1"/>
        <v>ADSL/VDSLnon-sharednieuw</v>
      </c>
      <c r="AA17" s="830">
        <f t="shared" si="6"/>
        <v>12.501783475119046</v>
      </c>
      <c r="AB17" s="830">
        <f>M17*'Parameters ULL'!$E$10</f>
        <v>75</v>
      </c>
      <c r="AC17" s="481" t="str">
        <f t="shared" si="2"/>
        <v>Best-effort≤2/2Mbps</v>
      </c>
      <c r="AD17" s="616">
        <f t="shared" si="7"/>
        <v>0</v>
      </c>
      <c r="AE17" s="616" t="str">
        <f t="shared" si="3"/>
        <v>7x24 repairtime 8h</v>
      </c>
      <c r="AF17" s="616">
        <f t="shared" si="8"/>
        <v>8.1300000000000008</v>
      </c>
    </row>
    <row r="18" spans="3:32">
      <c r="C18" s="611" t="s">
        <v>1619</v>
      </c>
      <c r="D18" s="611" t="s">
        <v>1620</v>
      </c>
      <c r="E18" s="611" t="s">
        <v>224</v>
      </c>
      <c r="F18" s="612" t="s">
        <v>1621</v>
      </c>
      <c r="G18" s="611" t="s">
        <v>70</v>
      </c>
      <c r="H18" s="611" t="s">
        <v>199</v>
      </c>
      <c r="I18" s="611" t="s">
        <v>1376</v>
      </c>
      <c r="J18" s="611" t="s">
        <v>1622</v>
      </c>
      <c r="K18" s="613">
        <f>('Annex 4 VULA'!$J$32+IF(D18="NLS type 1/2/3",IF(E18="VDSL bonding",'Parameters ULL'!$E$31,'Parameters ULL'!$E$30)))/'Parameters ULL'!$E$10</f>
        <v>1.8055555555555556</v>
      </c>
      <c r="L18" s="224">
        <f>('Annex 4 VULA'!$J$33/'Parameters ULL'!$E$10)</f>
        <v>0.27777777777777779</v>
      </c>
      <c r="M18" s="225">
        <f t="shared" si="4"/>
        <v>2.0833333333333335</v>
      </c>
      <c r="N18" s="224">
        <f>IF(E18="VDSL bonding",'Annex 4 VULA'!$J$25,IF(E18="non-shared",'Annex 4 VULA'!$J$23,'Annex 4 VULA'!$J$24))</f>
        <v>10.14</v>
      </c>
      <c r="O18" s="224">
        <f>IF(G18="Premium",IF(I18="≤2/2Mbps",0,'Annex 4 VULA'!$E$49),0)</f>
        <v>0</v>
      </c>
      <c r="P18" s="224">
        <f>IF(H18="7x24 repairtime 8h",'Annex 4 VULA'!$J$81,0)</f>
        <v>8.1300000000000008</v>
      </c>
      <c r="Q18" s="224">
        <f>collocatie!$J$111</f>
        <v>7.6727608333333336E-3</v>
      </c>
      <c r="R18" s="826">
        <f>('Annex 4 VULA'!$J$88+40*'Annex 4 VULA'!$J$92+40*'Annex 4 VULA'!$J$93+40*'Annex 4 VULA'!$J$94+41*'Annex 4 VULA'!$J$95-'Annex 4 VULA'!$J$97)/'Parameters ULL'!$E$60/'Parameters ULL'!$E$58</f>
        <v>8.3333333333333332E-3</v>
      </c>
      <c r="S18" s="826">
        <f>IF(E18="VDSL bonding",2,1)*'Annex 4 VULA'!$J$27/'Annex 4 VULA'!$L$27/'Parameters ULL'!$E$58</f>
        <v>2.0654761904761907</v>
      </c>
      <c r="T18" s="675">
        <f>'Parameters ULL'!$E$17*('Tarieven W&amp;O'!$G$178+'Tarieven W&amp;O'!$I$178/'Parameters ULL'!$E$58)/1000000</f>
        <v>5.3011904761904758E-3</v>
      </c>
      <c r="U18" s="226">
        <f>'Parameters ULL'!$E$17*'Annex 4 VULA'!$J$65/10000000</f>
        <v>7.4999999999999997E-2</v>
      </c>
      <c r="V18" s="226">
        <f>'EDC minus lijst ULL'!$K$7+'EDC minus lijst ULL'!$L$7</f>
        <v>0.2</v>
      </c>
      <c r="W18" s="614">
        <f t="shared" si="5"/>
        <v>20.631783475119047</v>
      </c>
      <c r="X18" s="615">
        <f t="shared" si="0"/>
        <v>22.715116808452379</v>
      </c>
      <c r="Z18" s="481" t="str">
        <f t="shared" si="1"/>
        <v>ADSL/VDSLnon-sharednieuw</v>
      </c>
      <c r="AA18" s="830">
        <f t="shared" si="6"/>
        <v>12.501783475119046</v>
      </c>
      <c r="AB18" s="830">
        <f>M18*'Parameters ULL'!$E$10</f>
        <v>75</v>
      </c>
      <c r="AC18" s="481" t="str">
        <f t="shared" si="2"/>
        <v>Premium≤2/2Mbps</v>
      </c>
      <c r="AD18" s="616">
        <f t="shared" si="7"/>
        <v>0</v>
      </c>
      <c r="AE18" s="616" t="str">
        <f t="shared" si="3"/>
        <v>7x24 repairtime 8h</v>
      </c>
      <c r="AF18" s="616">
        <f t="shared" si="8"/>
        <v>8.1300000000000008</v>
      </c>
    </row>
    <row r="19" spans="3:32">
      <c r="C19" s="611" t="s">
        <v>1619</v>
      </c>
      <c r="D19" s="611" t="s">
        <v>1620</v>
      </c>
      <c r="E19" s="611" t="s">
        <v>224</v>
      </c>
      <c r="F19" s="612" t="s">
        <v>1621</v>
      </c>
      <c r="G19" s="611" t="s">
        <v>1374</v>
      </c>
      <c r="H19" s="611" t="s">
        <v>199</v>
      </c>
      <c r="I19" s="611" t="s">
        <v>1375</v>
      </c>
      <c r="J19" s="611" t="s">
        <v>1622</v>
      </c>
      <c r="K19" s="613">
        <f>('Annex 4 VULA'!$J$32+IF(D19="NLS type 1/2/3",IF(E19="VDSL bonding",'Parameters ULL'!$E$31,'Parameters ULL'!$E$30)))/'Parameters ULL'!$E$10</f>
        <v>1.8055555555555556</v>
      </c>
      <c r="L19" s="224">
        <f>('Annex 4 VULA'!$J$33/'Parameters ULL'!$E$10)</f>
        <v>0.27777777777777779</v>
      </c>
      <c r="M19" s="225">
        <f t="shared" si="4"/>
        <v>2.0833333333333335</v>
      </c>
      <c r="N19" s="224">
        <f>IF(E19="VDSL bonding",'Annex 4 VULA'!$J$25,IF(E19="non-shared",'Annex 4 VULA'!$J$23,'Annex 4 VULA'!$J$24))</f>
        <v>10.14</v>
      </c>
      <c r="O19" s="224">
        <f>IF(G19="Premium",IF(I19="≤2/2Mbps",0,'Annex 4 VULA'!$E$49),0)</f>
        <v>0</v>
      </c>
      <c r="P19" s="224">
        <f>IF(H19="7x24 repairtime 8h",'Annex 4 VULA'!$J$81,0)</f>
        <v>8.1300000000000008</v>
      </c>
      <c r="Q19" s="224">
        <f>collocatie!$J$111</f>
        <v>7.6727608333333336E-3</v>
      </c>
      <c r="R19" s="826">
        <f>('Annex 4 VULA'!$J$88+40*'Annex 4 VULA'!$J$92+40*'Annex 4 VULA'!$J$93+40*'Annex 4 VULA'!$J$94+41*'Annex 4 VULA'!$J$95-'Annex 4 VULA'!$J$97)/'Parameters ULL'!$E$60/'Parameters ULL'!$E$58</f>
        <v>8.3333333333333332E-3</v>
      </c>
      <c r="S19" s="826">
        <f>IF(E19="VDSL bonding",2,1)*'Annex 4 VULA'!$J$27/'Annex 4 VULA'!$L$27/'Parameters ULL'!$E$58</f>
        <v>2.0654761904761907</v>
      </c>
      <c r="T19" s="675">
        <f>'Parameters ULL'!$E$17*('Tarieven W&amp;O'!$G$178+'Tarieven W&amp;O'!$I$178/'Parameters ULL'!$E$58)/1000000</f>
        <v>5.3011904761904758E-3</v>
      </c>
      <c r="U19" s="226">
        <f>'Parameters ULL'!$E$17*'Annex 4 VULA'!$J$65/10000000</f>
        <v>7.4999999999999997E-2</v>
      </c>
      <c r="V19" s="226">
        <f>'EDC minus lijst ULL'!$K$7+'EDC minus lijst ULL'!$L$7</f>
        <v>0.2</v>
      </c>
      <c r="W19" s="614">
        <f t="shared" si="5"/>
        <v>20.631783475119047</v>
      </c>
      <c r="X19" s="615">
        <f t="shared" si="0"/>
        <v>22.715116808452379</v>
      </c>
      <c r="Z19" s="481" t="str">
        <f t="shared" si="1"/>
        <v>ADSL/VDSLnon-sharednieuw</v>
      </c>
      <c r="AA19" s="830">
        <f t="shared" si="6"/>
        <v>12.501783475119046</v>
      </c>
      <c r="AB19" s="830">
        <f>M19*'Parameters ULL'!$E$10</f>
        <v>75</v>
      </c>
      <c r="AC19" s="481" t="str">
        <f t="shared" si="2"/>
        <v>Best-effortOther</v>
      </c>
      <c r="AD19" s="616">
        <f t="shared" si="7"/>
        <v>0</v>
      </c>
      <c r="AE19" s="616" t="str">
        <f t="shared" si="3"/>
        <v>7x24 repairtime 8h</v>
      </c>
      <c r="AF19" s="616">
        <f t="shared" si="8"/>
        <v>8.1300000000000008</v>
      </c>
    </row>
    <row r="20" spans="3:32">
      <c r="C20" s="611" t="s">
        <v>1619</v>
      </c>
      <c r="D20" s="611" t="s">
        <v>1620</v>
      </c>
      <c r="E20" s="611" t="s">
        <v>224</v>
      </c>
      <c r="F20" s="612" t="s">
        <v>1621</v>
      </c>
      <c r="G20" s="611" t="s">
        <v>70</v>
      </c>
      <c r="H20" s="611" t="s">
        <v>199</v>
      </c>
      <c r="I20" s="611" t="s">
        <v>1375</v>
      </c>
      <c r="J20" s="611" t="s">
        <v>1622</v>
      </c>
      <c r="K20" s="613">
        <f>('Annex 4 VULA'!$J$32+IF(D20="NLS type 1/2/3",IF(E20="VDSL bonding",'Parameters ULL'!$E$31,'Parameters ULL'!$E$30)))/'Parameters ULL'!$E$10</f>
        <v>1.8055555555555556</v>
      </c>
      <c r="L20" s="224">
        <f>('Annex 4 VULA'!$J$33/'Parameters ULL'!$E$10)</f>
        <v>0.27777777777777779</v>
      </c>
      <c r="M20" s="225">
        <f t="shared" si="4"/>
        <v>2.0833333333333335</v>
      </c>
      <c r="N20" s="224">
        <f>IF(E20="VDSL bonding",'Annex 4 VULA'!$J$25,IF(E20="non-shared",'Annex 4 VULA'!$J$23,'Annex 4 VULA'!$J$24))</f>
        <v>10.14</v>
      </c>
      <c r="O20" s="224">
        <f>IF(G20="Premium",IF(I20="≤2/2Mbps",0,'Annex 4 VULA'!$E$49),0)</f>
        <v>16.02</v>
      </c>
      <c r="P20" s="224">
        <f>IF(H20="7x24 repairtime 8h",'Annex 4 VULA'!$J$81,0)</f>
        <v>8.1300000000000008</v>
      </c>
      <c r="Q20" s="224">
        <f>collocatie!$J$111</f>
        <v>7.6727608333333336E-3</v>
      </c>
      <c r="R20" s="826">
        <f>('Annex 4 VULA'!$J$88+40*'Annex 4 VULA'!$J$92+40*'Annex 4 VULA'!$J$93+40*'Annex 4 VULA'!$J$94+41*'Annex 4 VULA'!$J$95-'Annex 4 VULA'!$J$97)/'Parameters ULL'!$E$60/'Parameters ULL'!$E$58</f>
        <v>8.3333333333333332E-3</v>
      </c>
      <c r="S20" s="826">
        <f>IF(E20="VDSL bonding",2,1)*'Annex 4 VULA'!$J$27/'Annex 4 VULA'!$L$27/'Parameters ULL'!$E$58</f>
        <v>2.0654761904761907</v>
      </c>
      <c r="T20" s="675">
        <f>'Parameters ULL'!$E$17*('Tarieven W&amp;O'!$G$178+'Tarieven W&amp;O'!$I$178/'Parameters ULL'!$E$58)/1000000</f>
        <v>5.3011904761904758E-3</v>
      </c>
      <c r="U20" s="226">
        <f>'Parameters ULL'!$E$17*'Annex 4 VULA'!$J$65/10000000</f>
        <v>7.4999999999999997E-2</v>
      </c>
      <c r="V20" s="226">
        <f>'EDC minus lijst ULL'!$K$7+'EDC minus lijst ULL'!$L$7</f>
        <v>0.2</v>
      </c>
      <c r="W20" s="614">
        <f t="shared" si="5"/>
        <v>36.651783475119046</v>
      </c>
      <c r="X20" s="615">
        <f t="shared" si="0"/>
        <v>38.735116808452382</v>
      </c>
      <c r="Z20" s="481" t="str">
        <f t="shared" si="1"/>
        <v>ADSL/VDSLnon-sharednieuw</v>
      </c>
      <c r="AA20" s="830">
        <f t="shared" si="6"/>
        <v>12.501783475119046</v>
      </c>
      <c r="AB20" s="830">
        <f>M20*'Parameters ULL'!$E$10</f>
        <v>75</v>
      </c>
      <c r="AC20" s="481" t="str">
        <f t="shared" si="2"/>
        <v>PremiumOther</v>
      </c>
      <c r="AD20" s="616">
        <f t="shared" si="7"/>
        <v>16.02</v>
      </c>
      <c r="AE20" s="616" t="str">
        <f t="shared" si="3"/>
        <v>7x24 repairtime 8h</v>
      </c>
      <c r="AF20" s="616">
        <f t="shared" si="8"/>
        <v>8.1300000000000008</v>
      </c>
    </row>
    <row r="21" spans="3:32">
      <c r="C21" s="611" t="s">
        <v>1619</v>
      </c>
      <c r="D21" s="611" t="s">
        <v>429</v>
      </c>
      <c r="E21" s="611" t="s">
        <v>127</v>
      </c>
      <c r="F21" s="612" t="s">
        <v>1621</v>
      </c>
      <c r="G21" s="611" t="s">
        <v>1374</v>
      </c>
      <c r="H21" s="611" t="s">
        <v>498</v>
      </c>
      <c r="I21" s="611" t="s">
        <v>1376</v>
      </c>
      <c r="J21" s="611" t="s">
        <v>1622</v>
      </c>
      <c r="K21" s="613">
        <f>('Annex 4 VULA'!$J$32+IF(D21="NLS type 1/2/3",IF(E21="VDSL bonding",'Parameters ULL'!$E$31,'Parameters ULL'!$E$30)))/'Parameters ULL'!$E$10</f>
        <v>0.69444444444444442</v>
      </c>
      <c r="L21" s="224">
        <f>('Annex 4 VULA'!$J$33/'Parameters ULL'!$E$10)</f>
        <v>0.27777777777777779</v>
      </c>
      <c r="M21" s="225">
        <f t="shared" si="4"/>
        <v>0.97222222222222221</v>
      </c>
      <c r="N21" s="224">
        <f>IF(E21="VDSL bonding",'Annex 4 VULA'!$J$25,IF(E21="non-shared",'Annex 4 VULA'!$J$23,'Annex 4 VULA'!$J$24))</f>
        <v>3.67</v>
      </c>
      <c r="O21" s="224">
        <f>IF(G21="Premium",IF(I21="≤2/2Mbps",0,'Annex 4 VULA'!$E$49),0)</f>
        <v>0</v>
      </c>
      <c r="P21" s="224">
        <f>IF(H21="7x24 repairtime 8h",'Annex 4 VULA'!$J$81,0)</f>
        <v>0</v>
      </c>
      <c r="Q21" s="224">
        <f>collocatie!$J$111</f>
        <v>7.6727608333333336E-3</v>
      </c>
      <c r="R21" s="826">
        <f>('Annex 4 VULA'!$J$88+40*'Annex 4 VULA'!$J$92+40*'Annex 4 VULA'!$J$93+40*'Annex 4 VULA'!$J$94+41*'Annex 4 VULA'!$J$95-'Annex 4 VULA'!$J$97)/'Parameters ULL'!$E$60/'Parameters ULL'!$E$58</f>
        <v>8.3333333333333332E-3</v>
      </c>
      <c r="S21" s="826">
        <f>IF(E21="VDSL bonding",2,1)*'Annex 4 VULA'!$J$27/'Annex 4 VULA'!$L$27/'Parameters ULL'!$E$58</f>
        <v>2.0654761904761907</v>
      </c>
      <c r="T21" s="675">
        <f>'Parameters ULL'!$E$17*('Tarieven W&amp;O'!$G$178+'Tarieven W&amp;O'!$I$178/'Parameters ULL'!$E$58)/1000000</f>
        <v>5.3011904761904758E-3</v>
      </c>
      <c r="U21" s="226">
        <f>'Parameters ULL'!$E$17*'Annex 4 VULA'!$J$65/10000000</f>
        <v>7.4999999999999997E-2</v>
      </c>
      <c r="V21" s="226">
        <f>'EDC minus lijst ULL'!$K$7+'EDC minus lijst ULL'!$L$7</f>
        <v>0.2</v>
      </c>
      <c r="W21" s="614">
        <f t="shared" si="5"/>
        <v>6.031783475119048</v>
      </c>
      <c r="X21" s="615">
        <f t="shared" si="0"/>
        <v>7.0040056973412703</v>
      </c>
      <c r="Z21" s="481" t="str">
        <f t="shared" si="1"/>
        <v>ADSL/VDSLsharedbestaand</v>
      </c>
      <c r="AA21" s="830">
        <f t="shared" si="6"/>
        <v>6.031783475119048</v>
      </c>
      <c r="AB21" s="830">
        <f>M21*'Parameters ULL'!$E$10</f>
        <v>35</v>
      </c>
      <c r="AC21" s="481" t="str">
        <f t="shared" si="2"/>
        <v>Best-effort≤2/2Mbps</v>
      </c>
      <c r="AD21" s="616">
        <f t="shared" si="7"/>
        <v>0</v>
      </c>
      <c r="AE21" s="616" t="str">
        <f t="shared" si="3"/>
        <v>Standard</v>
      </c>
      <c r="AF21" s="616">
        <f t="shared" si="8"/>
        <v>0</v>
      </c>
    </row>
    <row r="22" spans="3:32">
      <c r="C22" s="611" t="s">
        <v>1619</v>
      </c>
      <c r="D22" s="611" t="s">
        <v>429</v>
      </c>
      <c r="E22" s="611" t="s">
        <v>224</v>
      </c>
      <c r="F22" s="612" t="s">
        <v>1621</v>
      </c>
      <c r="G22" s="611" t="s">
        <v>1374</v>
      </c>
      <c r="H22" s="611" t="s">
        <v>498</v>
      </c>
      <c r="I22" s="611" t="s">
        <v>1376</v>
      </c>
      <c r="J22" s="611" t="s">
        <v>1622</v>
      </c>
      <c r="K22" s="613">
        <f>('Annex 4 VULA'!$J$32+IF(D22="NLS type 1/2/3",IF(E22="VDSL bonding",'Parameters ULL'!$E$31,'Parameters ULL'!$E$30)))/'Parameters ULL'!$E$10</f>
        <v>0.69444444444444442</v>
      </c>
      <c r="L22" s="224">
        <f>('Annex 4 VULA'!$J$33/'Parameters ULL'!$E$10)</f>
        <v>0.27777777777777779</v>
      </c>
      <c r="M22" s="225">
        <f t="shared" si="4"/>
        <v>0.97222222222222221</v>
      </c>
      <c r="N22" s="224">
        <f>IF(E22="VDSL bonding",'Annex 4 VULA'!$J$25,IF(E22="non-shared",'Annex 4 VULA'!$J$23,'Annex 4 VULA'!$J$24))</f>
        <v>10.14</v>
      </c>
      <c r="O22" s="224">
        <f>IF(G22="Premium",IF(I22="≤2/2Mbps",0,'Annex 4 VULA'!$E$49),0)</f>
        <v>0</v>
      </c>
      <c r="P22" s="224">
        <f>IF(H22="7x24 repairtime 8h",'Annex 4 VULA'!$J$81,0)</f>
        <v>0</v>
      </c>
      <c r="Q22" s="224">
        <f>collocatie!$J$111</f>
        <v>7.6727608333333336E-3</v>
      </c>
      <c r="R22" s="826">
        <f>('Annex 4 VULA'!$J$88+40*'Annex 4 VULA'!$J$92+40*'Annex 4 VULA'!$J$93+40*'Annex 4 VULA'!$J$94+41*'Annex 4 VULA'!$J$95-'Annex 4 VULA'!$J$97)/'Parameters ULL'!$E$60/'Parameters ULL'!$E$58</f>
        <v>8.3333333333333332E-3</v>
      </c>
      <c r="S22" s="826">
        <f>IF(E22="VDSL bonding",2,1)*'Annex 4 VULA'!$J$27/'Annex 4 VULA'!$L$27/'Parameters ULL'!$E$58</f>
        <v>2.0654761904761907</v>
      </c>
      <c r="T22" s="675">
        <f>'Parameters ULL'!$E$17*('Tarieven W&amp;O'!$G$178+'Tarieven W&amp;O'!$I$178/'Parameters ULL'!$E$58)/1000000</f>
        <v>5.3011904761904758E-3</v>
      </c>
      <c r="U22" s="226">
        <f>'Parameters ULL'!$E$17*'Annex 4 VULA'!$J$65/10000000</f>
        <v>7.4999999999999997E-2</v>
      </c>
      <c r="V22" s="226">
        <f>'EDC minus lijst ULL'!$K$7+'EDC minus lijst ULL'!$L$7</f>
        <v>0.2</v>
      </c>
      <c r="W22" s="614">
        <f t="shared" si="5"/>
        <v>12.501783475119046</v>
      </c>
      <c r="X22" s="615">
        <f t="shared" si="0"/>
        <v>13.474005697341267</v>
      </c>
      <c r="Z22" s="481" t="str">
        <f t="shared" si="1"/>
        <v>ADSL/VDSLnon-sharedbestaand</v>
      </c>
      <c r="AA22" s="830">
        <f t="shared" si="6"/>
        <v>12.501783475119046</v>
      </c>
      <c r="AB22" s="830">
        <f>M22*'Parameters ULL'!$E$10</f>
        <v>35</v>
      </c>
      <c r="AC22" s="481" t="str">
        <f t="shared" si="2"/>
        <v>Best-effort≤2/2Mbps</v>
      </c>
      <c r="AD22" s="616">
        <f t="shared" si="7"/>
        <v>0</v>
      </c>
      <c r="AE22" s="616" t="str">
        <f t="shared" si="3"/>
        <v>Standard</v>
      </c>
      <c r="AF22" s="616">
        <f t="shared" si="8"/>
        <v>0</v>
      </c>
    </row>
    <row r="23" spans="3:32">
      <c r="C23" s="611" t="s">
        <v>1619</v>
      </c>
      <c r="D23" s="611" t="s">
        <v>429</v>
      </c>
      <c r="E23" s="611" t="s">
        <v>127</v>
      </c>
      <c r="F23" s="612" t="s">
        <v>1621</v>
      </c>
      <c r="G23" s="611" t="s">
        <v>70</v>
      </c>
      <c r="H23" s="611" t="s">
        <v>498</v>
      </c>
      <c r="I23" s="611" t="s">
        <v>1376</v>
      </c>
      <c r="J23" s="611" t="s">
        <v>1622</v>
      </c>
      <c r="K23" s="613">
        <f>('Annex 4 VULA'!$J$32+IF(D23="NLS type 1/2/3",IF(E23="VDSL bonding",'Parameters ULL'!$E$31,'Parameters ULL'!$E$30)))/'Parameters ULL'!$E$10</f>
        <v>0.69444444444444442</v>
      </c>
      <c r="L23" s="224">
        <f>('Annex 4 VULA'!$J$33/'Parameters ULL'!$E$10)</f>
        <v>0.27777777777777779</v>
      </c>
      <c r="M23" s="225">
        <f t="shared" si="4"/>
        <v>0.97222222222222221</v>
      </c>
      <c r="N23" s="224">
        <f>IF(E23="VDSL bonding",'Annex 4 VULA'!$J$25,IF(E23="non-shared",'Annex 4 VULA'!$J$23,'Annex 4 VULA'!$J$24))</f>
        <v>3.67</v>
      </c>
      <c r="O23" s="224">
        <f>IF(G23="Premium",IF(I23="≤2/2Mbps",0,'Annex 4 VULA'!$E$49),0)</f>
        <v>0</v>
      </c>
      <c r="P23" s="224">
        <f>IF(H23="7x24 repairtime 8h",'Annex 4 VULA'!$J$81,0)</f>
        <v>0</v>
      </c>
      <c r="Q23" s="224">
        <f>collocatie!$J$111</f>
        <v>7.6727608333333336E-3</v>
      </c>
      <c r="R23" s="826">
        <f>('Annex 4 VULA'!$J$88+40*'Annex 4 VULA'!$J$92+40*'Annex 4 VULA'!$J$93+40*'Annex 4 VULA'!$J$94+41*'Annex 4 VULA'!$J$95-'Annex 4 VULA'!$J$97)/'Parameters ULL'!$E$60/'Parameters ULL'!$E$58</f>
        <v>8.3333333333333332E-3</v>
      </c>
      <c r="S23" s="826">
        <f>IF(E23="VDSL bonding",2,1)*'Annex 4 VULA'!$J$27/'Annex 4 VULA'!$L$27/'Parameters ULL'!$E$58</f>
        <v>2.0654761904761907</v>
      </c>
      <c r="T23" s="675">
        <f>'Parameters ULL'!$E$17*('Tarieven W&amp;O'!$G$178+'Tarieven W&amp;O'!$I$178/'Parameters ULL'!$E$58)/1000000</f>
        <v>5.3011904761904758E-3</v>
      </c>
      <c r="U23" s="226">
        <f>'Parameters ULL'!$E$17*'Annex 4 VULA'!$J$65/10000000</f>
        <v>7.4999999999999997E-2</v>
      </c>
      <c r="V23" s="226">
        <f>'EDC minus lijst ULL'!$K$7+'EDC minus lijst ULL'!$L$7</f>
        <v>0.2</v>
      </c>
      <c r="W23" s="614">
        <f t="shared" si="5"/>
        <v>6.031783475119048</v>
      </c>
      <c r="X23" s="615">
        <f t="shared" si="0"/>
        <v>7.0040056973412703</v>
      </c>
      <c r="Z23" s="481" t="str">
        <f t="shared" si="1"/>
        <v>ADSL/VDSLsharedbestaand</v>
      </c>
      <c r="AA23" s="830">
        <f t="shared" si="6"/>
        <v>6.031783475119048</v>
      </c>
      <c r="AB23" s="830">
        <f>M23*'Parameters ULL'!$E$10</f>
        <v>35</v>
      </c>
      <c r="AC23" s="481" t="str">
        <f t="shared" si="2"/>
        <v>Premium≤2/2Mbps</v>
      </c>
      <c r="AD23" s="616">
        <f t="shared" si="7"/>
        <v>0</v>
      </c>
      <c r="AE23" s="616" t="str">
        <f t="shared" si="3"/>
        <v>Standard</v>
      </c>
      <c r="AF23" s="616">
        <f t="shared" si="8"/>
        <v>0</v>
      </c>
    </row>
    <row r="24" spans="3:32">
      <c r="C24" s="611" t="s">
        <v>1619</v>
      </c>
      <c r="D24" s="611" t="s">
        <v>429</v>
      </c>
      <c r="E24" s="611" t="s">
        <v>224</v>
      </c>
      <c r="F24" s="612" t="s">
        <v>1621</v>
      </c>
      <c r="G24" s="611" t="s">
        <v>70</v>
      </c>
      <c r="H24" s="611" t="s">
        <v>498</v>
      </c>
      <c r="I24" s="611" t="s">
        <v>1376</v>
      </c>
      <c r="J24" s="611" t="s">
        <v>1622</v>
      </c>
      <c r="K24" s="613">
        <f>('Annex 4 VULA'!$J$32+IF(D24="NLS type 1/2/3",IF(E24="VDSL bonding",'Parameters ULL'!$E$31,'Parameters ULL'!$E$30)))/'Parameters ULL'!$E$10</f>
        <v>0.69444444444444442</v>
      </c>
      <c r="L24" s="224">
        <f>('Annex 4 VULA'!$J$33/'Parameters ULL'!$E$10)</f>
        <v>0.27777777777777779</v>
      </c>
      <c r="M24" s="225">
        <f t="shared" si="4"/>
        <v>0.97222222222222221</v>
      </c>
      <c r="N24" s="224">
        <f>IF(E24="VDSL bonding",'Annex 4 VULA'!$J$25,IF(E24="non-shared",'Annex 4 VULA'!$J$23,'Annex 4 VULA'!$J$24))</f>
        <v>10.14</v>
      </c>
      <c r="O24" s="224">
        <f>IF(G24="Premium",IF(I24="≤2/2Mbps",0,'Annex 4 VULA'!$E$49),0)</f>
        <v>0</v>
      </c>
      <c r="P24" s="224">
        <f>IF(H24="7x24 repairtime 8h",'Annex 4 VULA'!$J$81,0)</f>
        <v>0</v>
      </c>
      <c r="Q24" s="224">
        <f>collocatie!$J$111</f>
        <v>7.6727608333333336E-3</v>
      </c>
      <c r="R24" s="826">
        <f>('Annex 4 VULA'!$J$88+40*'Annex 4 VULA'!$J$92+40*'Annex 4 VULA'!$J$93+40*'Annex 4 VULA'!$J$94+41*'Annex 4 VULA'!$J$95-'Annex 4 VULA'!$J$97)/'Parameters ULL'!$E$60/'Parameters ULL'!$E$58</f>
        <v>8.3333333333333332E-3</v>
      </c>
      <c r="S24" s="826">
        <f>IF(E24="VDSL bonding",2,1)*'Annex 4 VULA'!$J$27/'Annex 4 VULA'!$L$27/'Parameters ULL'!$E$58</f>
        <v>2.0654761904761907</v>
      </c>
      <c r="T24" s="675">
        <f>'Parameters ULL'!$E$17*('Tarieven W&amp;O'!$G$178+'Tarieven W&amp;O'!$I$178/'Parameters ULL'!$E$58)/1000000</f>
        <v>5.3011904761904758E-3</v>
      </c>
      <c r="U24" s="226">
        <f>'Parameters ULL'!$E$17*'Annex 4 VULA'!$J$65/10000000</f>
        <v>7.4999999999999997E-2</v>
      </c>
      <c r="V24" s="226">
        <f>'EDC minus lijst ULL'!$K$7+'EDC minus lijst ULL'!$L$7</f>
        <v>0.2</v>
      </c>
      <c r="W24" s="614">
        <f t="shared" si="5"/>
        <v>12.501783475119046</v>
      </c>
      <c r="X24" s="615">
        <f t="shared" si="0"/>
        <v>13.474005697341267</v>
      </c>
      <c r="Z24" s="481" t="str">
        <f t="shared" si="1"/>
        <v>ADSL/VDSLnon-sharedbestaand</v>
      </c>
      <c r="AA24" s="830">
        <f t="shared" si="6"/>
        <v>12.501783475119046</v>
      </c>
      <c r="AB24" s="830">
        <f>M24*'Parameters ULL'!$E$10</f>
        <v>35</v>
      </c>
      <c r="AC24" s="481" t="str">
        <f t="shared" si="2"/>
        <v>Premium≤2/2Mbps</v>
      </c>
      <c r="AD24" s="616">
        <f t="shared" si="7"/>
        <v>0</v>
      </c>
      <c r="AE24" s="616" t="str">
        <f t="shared" si="3"/>
        <v>Standard</v>
      </c>
      <c r="AF24" s="616">
        <f t="shared" si="8"/>
        <v>0</v>
      </c>
    </row>
    <row r="25" spans="3:32">
      <c r="C25" s="611" t="s">
        <v>1619</v>
      </c>
      <c r="D25" s="611" t="s">
        <v>429</v>
      </c>
      <c r="E25" s="611" t="s">
        <v>127</v>
      </c>
      <c r="F25" s="612" t="s">
        <v>1621</v>
      </c>
      <c r="G25" s="611" t="s">
        <v>1374</v>
      </c>
      <c r="H25" s="611" t="s">
        <v>498</v>
      </c>
      <c r="I25" s="611" t="s">
        <v>1375</v>
      </c>
      <c r="J25" s="611" t="s">
        <v>1622</v>
      </c>
      <c r="K25" s="613">
        <f>('Annex 4 VULA'!$J$32+IF(D25="NLS type 1/2/3",IF(E25="VDSL bonding",'Parameters ULL'!$E$31,'Parameters ULL'!$E$30)))/'Parameters ULL'!$E$10</f>
        <v>0.69444444444444442</v>
      </c>
      <c r="L25" s="224">
        <f>('Annex 4 VULA'!$J$33/'Parameters ULL'!$E$10)</f>
        <v>0.27777777777777779</v>
      </c>
      <c r="M25" s="225">
        <f t="shared" si="4"/>
        <v>0.97222222222222221</v>
      </c>
      <c r="N25" s="224">
        <f>IF(E25="VDSL bonding",'Annex 4 VULA'!$J$25,IF(E25="non-shared",'Annex 4 VULA'!$J$23,'Annex 4 VULA'!$J$24))</f>
        <v>3.67</v>
      </c>
      <c r="O25" s="224">
        <f>IF(G25="Premium",IF(I25="≤2/2Mbps",0,'Annex 4 VULA'!$E$49),0)</f>
        <v>0</v>
      </c>
      <c r="P25" s="224">
        <f>IF(H25="7x24 repairtime 8h",'Annex 4 VULA'!$J$81,0)</f>
        <v>0</v>
      </c>
      <c r="Q25" s="224">
        <f>collocatie!$J$111</f>
        <v>7.6727608333333336E-3</v>
      </c>
      <c r="R25" s="826">
        <f>('Annex 4 VULA'!$J$88+40*'Annex 4 VULA'!$J$92+40*'Annex 4 VULA'!$J$93+40*'Annex 4 VULA'!$J$94+41*'Annex 4 VULA'!$J$95-'Annex 4 VULA'!$J$97)/'Parameters ULL'!$E$60/'Parameters ULL'!$E$58</f>
        <v>8.3333333333333332E-3</v>
      </c>
      <c r="S25" s="826">
        <f>IF(E25="VDSL bonding",2,1)*'Annex 4 VULA'!$J$27/'Annex 4 VULA'!$L$27/'Parameters ULL'!$E$58</f>
        <v>2.0654761904761907</v>
      </c>
      <c r="T25" s="675">
        <f>'Parameters ULL'!$E$17*('Tarieven W&amp;O'!$G$178+'Tarieven W&amp;O'!$I$178/'Parameters ULL'!$E$58)/1000000</f>
        <v>5.3011904761904758E-3</v>
      </c>
      <c r="U25" s="226">
        <f>'Parameters ULL'!$E$17*'Annex 4 VULA'!$J$65/10000000</f>
        <v>7.4999999999999997E-2</v>
      </c>
      <c r="V25" s="226">
        <f>'EDC minus lijst ULL'!$K$7+'EDC minus lijst ULL'!$L$7</f>
        <v>0.2</v>
      </c>
      <c r="W25" s="614">
        <f t="shared" si="5"/>
        <v>6.031783475119048</v>
      </c>
      <c r="X25" s="615">
        <f t="shared" si="0"/>
        <v>7.0040056973412703</v>
      </c>
      <c r="Z25" s="481" t="str">
        <f t="shared" si="1"/>
        <v>ADSL/VDSLsharedbestaand</v>
      </c>
      <c r="AA25" s="830">
        <f t="shared" si="6"/>
        <v>6.031783475119048</v>
      </c>
      <c r="AB25" s="830">
        <f>M25*'Parameters ULL'!$E$10</f>
        <v>35</v>
      </c>
      <c r="AC25" s="481" t="str">
        <f t="shared" si="2"/>
        <v>Best-effortOther</v>
      </c>
      <c r="AD25" s="616">
        <f t="shared" si="7"/>
        <v>0</v>
      </c>
      <c r="AE25" s="616" t="str">
        <f t="shared" si="3"/>
        <v>Standard</v>
      </c>
      <c r="AF25" s="616">
        <f t="shared" si="8"/>
        <v>0</v>
      </c>
    </row>
    <row r="26" spans="3:32">
      <c r="C26" s="611" t="s">
        <v>1619</v>
      </c>
      <c r="D26" s="611" t="s">
        <v>429</v>
      </c>
      <c r="E26" s="611" t="s">
        <v>224</v>
      </c>
      <c r="F26" s="612" t="s">
        <v>1621</v>
      </c>
      <c r="G26" s="611" t="s">
        <v>1374</v>
      </c>
      <c r="H26" s="611" t="s">
        <v>498</v>
      </c>
      <c r="I26" s="611" t="s">
        <v>1375</v>
      </c>
      <c r="J26" s="611" t="s">
        <v>1622</v>
      </c>
      <c r="K26" s="613">
        <f>('Annex 4 VULA'!$J$32+IF(D26="NLS type 1/2/3",IF(E26="VDSL bonding",'Parameters ULL'!$E$31,'Parameters ULL'!$E$30)))/'Parameters ULL'!$E$10</f>
        <v>0.69444444444444442</v>
      </c>
      <c r="L26" s="224">
        <f>('Annex 4 VULA'!$J$33/'Parameters ULL'!$E$10)</f>
        <v>0.27777777777777779</v>
      </c>
      <c r="M26" s="225">
        <f t="shared" si="4"/>
        <v>0.97222222222222221</v>
      </c>
      <c r="N26" s="224">
        <f>IF(E26="VDSL bonding",'Annex 4 VULA'!$J$25,IF(E26="non-shared",'Annex 4 VULA'!$J$23,'Annex 4 VULA'!$J$24))</f>
        <v>10.14</v>
      </c>
      <c r="O26" s="224">
        <f>IF(G26="Premium",IF(I26="≤2/2Mbps",0,'Annex 4 VULA'!$E$49),0)</f>
        <v>0</v>
      </c>
      <c r="P26" s="224">
        <f>IF(H26="7x24 repairtime 8h",'Annex 4 VULA'!$J$81,0)</f>
        <v>0</v>
      </c>
      <c r="Q26" s="224">
        <f>collocatie!$J$111</f>
        <v>7.6727608333333336E-3</v>
      </c>
      <c r="R26" s="826">
        <f>('Annex 4 VULA'!$J$88+40*'Annex 4 VULA'!$J$92+40*'Annex 4 VULA'!$J$93+40*'Annex 4 VULA'!$J$94+41*'Annex 4 VULA'!$J$95-'Annex 4 VULA'!$J$97)/'Parameters ULL'!$E$60/'Parameters ULL'!$E$58</f>
        <v>8.3333333333333332E-3</v>
      </c>
      <c r="S26" s="826">
        <f>IF(E26="VDSL bonding",2,1)*'Annex 4 VULA'!$J$27/'Annex 4 VULA'!$L$27/'Parameters ULL'!$E$58</f>
        <v>2.0654761904761907</v>
      </c>
      <c r="T26" s="675">
        <f>'Parameters ULL'!$E$17*('Tarieven W&amp;O'!$G$178+'Tarieven W&amp;O'!$I$178/'Parameters ULL'!$E$58)/1000000</f>
        <v>5.3011904761904758E-3</v>
      </c>
      <c r="U26" s="226">
        <f>'Parameters ULL'!$E$17*'Annex 4 VULA'!$J$65/10000000</f>
        <v>7.4999999999999997E-2</v>
      </c>
      <c r="V26" s="226">
        <f>'EDC minus lijst ULL'!$K$7+'EDC minus lijst ULL'!$L$7</f>
        <v>0.2</v>
      </c>
      <c r="W26" s="614">
        <f t="shared" si="5"/>
        <v>12.501783475119046</v>
      </c>
      <c r="X26" s="615">
        <f t="shared" si="0"/>
        <v>13.474005697341267</v>
      </c>
      <c r="Z26" s="481" t="str">
        <f t="shared" si="1"/>
        <v>ADSL/VDSLnon-sharedbestaand</v>
      </c>
      <c r="AA26" s="830">
        <f t="shared" si="6"/>
        <v>12.501783475119046</v>
      </c>
      <c r="AB26" s="830">
        <f>M26*'Parameters ULL'!$E$10</f>
        <v>35</v>
      </c>
      <c r="AC26" s="481" t="str">
        <f t="shared" si="2"/>
        <v>Best-effortOther</v>
      </c>
      <c r="AD26" s="616">
        <f t="shared" si="7"/>
        <v>0</v>
      </c>
      <c r="AE26" s="616" t="str">
        <f t="shared" si="3"/>
        <v>Standard</v>
      </c>
      <c r="AF26" s="616">
        <f t="shared" si="8"/>
        <v>0</v>
      </c>
    </row>
    <row r="27" spans="3:32">
      <c r="C27" s="611" t="s">
        <v>1619</v>
      </c>
      <c r="D27" s="611" t="s">
        <v>429</v>
      </c>
      <c r="E27" s="611" t="s">
        <v>127</v>
      </c>
      <c r="F27" s="612" t="s">
        <v>1621</v>
      </c>
      <c r="G27" s="611" t="s">
        <v>70</v>
      </c>
      <c r="H27" s="611" t="s">
        <v>498</v>
      </c>
      <c r="I27" s="611" t="s">
        <v>1375</v>
      </c>
      <c r="J27" s="611" t="s">
        <v>1622</v>
      </c>
      <c r="K27" s="613">
        <f>('Annex 4 VULA'!$J$32+IF(D27="NLS type 1/2/3",IF(E27="VDSL bonding",'Parameters ULL'!$E$31,'Parameters ULL'!$E$30)))/'Parameters ULL'!$E$10</f>
        <v>0.69444444444444442</v>
      </c>
      <c r="L27" s="224">
        <f>('Annex 4 VULA'!$J$33/'Parameters ULL'!$E$10)</f>
        <v>0.27777777777777779</v>
      </c>
      <c r="M27" s="225">
        <f t="shared" si="4"/>
        <v>0.97222222222222221</v>
      </c>
      <c r="N27" s="224">
        <f>IF(E27="VDSL bonding",'Annex 4 VULA'!$J$25,IF(E27="non-shared",'Annex 4 VULA'!$J$23,'Annex 4 VULA'!$J$24))</f>
        <v>3.67</v>
      </c>
      <c r="O27" s="224">
        <f>IF(G27="Premium",IF(I27="≤2/2Mbps",0,'Annex 4 VULA'!$E$49),0)</f>
        <v>16.02</v>
      </c>
      <c r="P27" s="224">
        <f>IF(H27="7x24 repairtime 8h",'Annex 4 VULA'!$J$81,0)</f>
        <v>0</v>
      </c>
      <c r="Q27" s="224">
        <f>collocatie!$J$111</f>
        <v>7.6727608333333336E-3</v>
      </c>
      <c r="R27" s="826">
        <f>('Annex 4 VULA'!$J$88+40*'Annex 4 VULA'!$J$92+40*'Annex 4 VULA'!$J$93+40*'Annex 4 VULA'!$J$94+41*'Annex 4 VULA'!$J$95-'Annex 4 VULA'!$J$97)/'Parameters ULL'!$E$60/'Parameters ULL'!$E$58</f>
        <v>8.3333333333333332E-3</v>
      </c>
      <c r="S27" s="826">
        <f>IF(E27="VDSL bonding",2,1)*'Annex 4 VULA'!$J$27/'Annex 4 VULA'!$L$27/'Parameters ULL'!$E$58</f>
        <v>2.0654761904761907</v>
      </c>
      <c r="T27" s="675">
        <f>'Parameters ULL'!$E$17*('Tarieven W&amp;O'!$G$178+'Tarieven W&amp;O'!$I$178/'Parameters ULL'!$E$58)/1000000</f>
        <v>5.3011904761904758E-3</v>
      </c>
      <c r="U27" s="226">
        <f>'Parameters ULL'!$E$17*'Annex 4 VULA'!$J$65/10000000</f>
        <v>7.4999999999999997E-2</v>
      </c>
      <c r="V27" s="226">
        <f>'EDC minus lijst ULL'!$K$7+'EDC minus lijst ULL'!$L$7</f>
        <v>0.2</v>
      </c>
      <c r="W27" s="614">
        <f t="shared" si="5"/>
        <v>22.051783475119041</v>
      </c>
      <c r="X27" s="615">
        <f t="shared" si="0"/>
        <v>23.024005697341263</v>
      </c>
      <c r="Z27" s="481" t="str">
        <f t="shared" si="1"/>
        <v>ADSL/VDSLsharedbestaand</v>
      </c>
      <c r="AA27" s="830">
        <f t="shared" si="6"/>
        <v>6.0317834751190418</v>
      </c>
      <c r="AB27" s="830">
        <f>M27*'Parameters ULL'!$E$10</f>
        <v>35</v>
      </c>
      <c r="AC27" s="481" t="str">
        <f t="shared" si="2"/>
        <v>PremiumOther</v>
      </c>
      <c r="AD27" s="616">
        <f t="shared" si="7"/>
        <v>16.02</v>
      </c>
      <c r="AE27" s="616" t="str">
        <f t="shared" si="3"/>
        <v>Standard</v>
      </c>
      <c r="AF27" s="616">
        <f t="shared" si="8"/>
        <v>0</v>
      </c>
    </row>
    <row r="28" spans="3:32">
      <c r="C28" s="611" t="s">
        <v>1619</v>
      </c>
      <c r="D28" s="611" t="s">
        <v>429</v>
      </c>
      <c r="E28" s="611" t="s">
        <v>224</v>
      </c>
      <c r="F28" s="612" t="s">
        <v>1621</v>
      </c>
      <c r="G28" s="611" t="s">
        <v>70</v>
      </c>
      <c r="H28" s="611" t="s">
        <v>498</v>
      </c>
      <c r="I28" s="611" t="s">
        <v>1375</v>
      </c>
      <c r="J28" s="611" t="s">
        <v>1622</v>
      </c>
      <c r="K28" s="613">
        <f>('Annex 4 VULA'!$J$32+IF(D28="NLS type 1/2/3",IF(E28="VDSL bonding",'Parameters ULL'!$E$31,'Parameters ULL'!$E$30)))/'Parameters ULL'!$E$10</f>
        <v>0.69444444444444442</v>
      </c>
      <c r="L28" s="224">
        <f>('Annex 4 VULA'!$J$33/'Parameters ULL'!$E$10)</f>
        <v>0.27777777777777779</v>
      </c>
      <c r="M28" s="225">
        <f t="shared" si="4"/>
        <v>0.97222222222222221</v>
      </c>
      <c r="N28" s="224">
        <f>IF(E28="VDSL bonding",'Annex 4 VULA'!$J$25,IF(E28="non-shared",'Annex 4 VULA'!$J$23,'Annex 4 VULA'!$J$24))</f>
        <v>10.14</v>
      </c>
      <c r="O28" s="224">
        <f>IF(G28="Premium",IF(I28="≤2/2Mbps",0,'Annex 4 VULA'!$E$49),0)</f>
        <v>16.02</v>
      </c>
      <c r="P28" s="224">
        <f>IF(H28="7x24 repairtime 8h",'Annex 4 VULA'!$J$81,0)</f>
        <v>0</v>
      </c>
      <c r="Q28" s="224">
        <f>collocatie!$J$111</f>
        <v>7.6727608333333336E-3</v>
      </c>
      <c r="R28" s="826">
        <f>('Annex 4 VULA'!$J$88+40*'Annex 4 VULA'!$J$92+40*'Annex 4 VULA'!$J$93+40*'Annex 4 VULA'!$J$94+41*'Annex 4 VULA'!$J$95-'Annex 4 VULA'!$J$97)/'Parameters ULL'!$E$60/'Parameters ULL'!$E$58</f>
        <v>8.3333333333333332E-3</v>
      </c>
      <c r="S28" s="826">
        <f>IF(E28="VDSL bonding",2,1)*'Annex 4 VULA'!$J$27/'Annex 4 VULA'!$L$27/'Parameters ULL'!$E$58</f>
        <v>2.0654761904761907</v>
      </c>
      <c r="T28" s="675">
        <f>'Parameters ULL'!$E$17*('Tarieven W&amp;O'!$G$178+'Tarieven W&amp;O'!$I$178/'Parameters ULL'!$E$58)/1000000</f>
        <v>5.3011904761904758E-3</v>
      </c>
      <c r="U28" s="226">
        <f>'Parameters ULL'!$E$17*'Annex 4 VULA'!$J$65/10000000</f>
        <v>7.4999999999999997E-2</v>
      </c>
      <c r="V28" s="226">
        <f>'EDC minus lijst ULL'!$K$7+'EDC minus lijst ULL'!$L$7</f>
        <v>0.2</v>
      </c>
      <c r="W28" s="614">
        <f t="shared" si="5"/>
        <v>28.521783475119044</v>
      </c>
      <c r="X28" s="615">
        <f t="shared" si="0"/>
        <v>29.494005697341265</v>
      </c>
      <c r="Z28" s="481" t="str">
        <f t="shared" si="1"/>
        <v>ADSL/VDSLnon-sharedbestaand</v>
      </c>
      <c r="AA28" s="830">
        <f t="shared" si="6"/>
        <v>12.501783475119044</v>
      </c>
      <c r="AB28" s="830">
        <f>M28*'Parameters ULL'!$E$10</f>
        <v>35</v>
      </c>
      <c r="AC28" s="481" t="str">
        <f t="shared" si="2"/>
        <v>PremiumOther</v>
      </c>
      <c r="AD28" s="616">
        <f t="shared" si="7"/>
        <v>16.02</v>
      </c>
      <c r="AE28" s="616" t="str">
        <f t="shared" si="3"/>
        <v>Standard</v>
      </c>
      <c r="AF28" s="616">
        <f t="shared" si="8"/>
        <v>0</v>
      </c>
    </row>
    <row r="29" spans="3:32">
      <c r="C29" s="611" t="s">
        <v>1619</v>
      </c>
      <c r="D29" s="611" t="s">
        <v>429</v>
      </c>
      <c r="E29" s="611" t="s">
        <v>127</v>
      </c>
      <c r="F29" s="612" t="s">
        <v>1621</v>
      </c>
      <c r="G29" s="611" t="s">
        <v>1374</v>
      </c>
      <c r="H29" s="611" t="s">
        <v>199</v>
      </c>
      <c r="I29" s="611" t="s">
        <v>1376</v>
      </c>
      <c r="J29" s="611" t="s">
        <v>1622</v>
      </c>
      <c r="K29" s="613">
        <f>('Annex 4 VULA'!$J$32+IF(D29="NLS type 1/2/3",IF(E29="VDSL bonding",'Parameters ULL'!$E$31,'Parameters ULL'!$E$30)))/'Parameters ULL'!$E$10</f>
        <v>0.69444444444444442</v>
      </c>
      <c r="L29" s="224">
        <f>('Annex 4 VULA'!$J$33/'Parameters ULL'!$E$10)</f>
        <v>0.27777777777777779</v>
      </c>
      <c r="M29" s="225">
        <f t="shared" si="4"/>
        <v>0.97222222222222221</v>
      </c>
      <c r="N29" s="224">
        <f>IF(E29="VDSL bonding",'Annex 4 VULA'!$J$25,IF(E29="non-shared",'Annex 4 VULA'!$J$23,'Annex 4 VULA'!$J$24))</f>
        <v>3.67</v>
      </c>
      <c r="O29" s="224">
        <f>IF(G29="Premium",IF(I29="≤2/2Mbps",0,'Annex 4 VULA'!$E$49),0)</f>
        <v>0</v>
      </c>
      <c r="P29" s="224">
        <f>IF(H29="7x24 repairtime 8h",'Annex 4 VULA'!$J$81,0)</f>
        <v>8.1300000000000008</v>
      </c>
      <c r="Q29" s="224">
        <f>collocatie!$J$111</f>
        <v>7.6727608333333336E-3</v>
      </c>
      <c r="R29" s="826">
        <f>('Annex 4 VULA'!$J$88+40*'Annex 4 VULA'!$J$92+40*'Annex 4 VULA'!$J$93+40*'Annex 4 VULA'!$J$94+41*'Annex 4 VULA'!$J$95-'Annex 4 VULA'!$J$97)/'Parameters ULL'!$E$60/'Parameters ULL'!$E$58</f>
        <v>8.3333333333333332E-3</v>
      </c>
      <c r="S29" s="826">
        <f>IF(E29="VDSL bonding",2,1)*'Annex 4 VULA'!$J$27/'Annex 4 VULA'!$L$27/'Parameters ULL'!$E$58</f>
        <v>2.0654761904761907</v>
      </c>
      <c r="T29" s="675">
        <f>'Parameters ULL'!$E$17*('Tarieven W&amp;O'!$G$178+'Tarieven W&amp;O'!$I$178/'Parameters ULL'!$E$58)/1000000</f>
        <v>5.3011904761904758E-3</v>
      </c>
      <c r="U29" s="226">
        <f>'Parameters ULL'!$E$17*'Annex 4 VULA'!$J$65/10000000</f>
        <v>7.4999999999999997E-2</v>
      </c>
      <c r="V29" s="226">
        <f>'EDC minus lijst ULL'!$K$7+'EDC minus lijst ULL'!$L$7</f>
        <v>0.2</v>
      </c>
      <c r="W29" s="614">
        <f t="shared" si="5"/>
        <v>14.161783475119046</v>
      </c>
      <c r="X29" s="615">
        <f t="shared" si="0"/>
        <v>15.134005697341268</v>
      </c>
      <c r="Z29" s="481" t="str">
        <f t="shared" si="1"/>
        <v>ADSL/VDSLsharedbestaand</v>
      </c>
      <c r="AA29" s="830">
        <f t="shared" si="6"/>
        <v>6.0317834751190453</v>
      </c>
      <c r="AB29" s="830">
        <f>M29*'Parameters ULL'!$E$10</f>
        <v>35</v>
      </c>
      <c r="AC29" s="481" t="str">
        <f t="shared" si="2"/>
        <v>Best-effort≤2/2Mbps</v>
      </c>
      <c r="AD29" s="616">
        <f t="shared" si="7"/>
        <v>0</v>
      </c>
      <c r="AE29" s="616" t="str">
        <f t="shared" si="3"/>
        <v>7x24 repairtime 8h</v>
      </c>
      <c r="AF29" s="616">
        <f t="shared" si="8"/>
        <v>8.1300000000000008</v>
      </c>
    </row>
    <row r="30" spans="3:32">
      <c r="C30" s="611" t="s">
        <v>1619</v>
      </c>
      <c r="D30" s="611" t="s">
        <v>429</v>
      </c>
      <c r="E30" s="611" t="s">
        <v>224</v>
      </c>
      <c r="F30" s="612" t="s">
        <v>1621</v>
      </c>
      <c r="G30" s="611" t="s">
        <v>1374</v>
      </c>
      <c r="H30" s="611" t="s">
        <v>199</v>
      </c>
      <c r="I30" s="611" t="s">
        <v>1376</v>
      </c>
      <c r="J30" s="611" t="s">
        <v>1622</v>
      </c>
      <c r="K30" s="613">
        <f>('Annex 4 VULA'!$J$32+IF(D30="NLS type 1/2/3",IF(E30="VDSL bonding",'Parameters ULL'!$E$31,'Parameters ULL'!$E$30)))/'Parameters ULL'!$E$10</f>
        <v>0.69444444444444442</v>
      </c>
      <c r="L30" s="224">
        <f>('Annex 4 VULA'!$J$33/'Parameters ULL'!$E$10)</f>
        <v>0.27777777777777779</v>
      </c>
      <c r="M30" s="225">
        <f t="shared" si="4"/>
        <v>0.97222222222222221</v>
      </c>
      <c r="N30" s="224">
        <f>IF(E30="VDSL bonding",'Annex 4 VULA'!$J$25,IF(E30="non-shared",'Annex 4 VULA'!$J$23,'Annex 4 VULA'!$J$24))</f>
        <v>10.14</v>
      </c>
      <c r="O30" s="224">
        <f>IF(G30="Premium",IF(I30="≤2/2Mbps",0,'Annex 4 VULA'!$E$49),0)</f>
        <v>0</v>
      </c>
      <c r="P30" s="224">
        <f>IF(H30="7x24 repairtime 8h",'Annex 4 VULA'!$J$81,0)</f>
        <v>8.1300000000000008</v>
      </c>
      <c r="Q30" s="224">
        <f>collocatie!$J$111</f>
        <v>7.6727608333333336E-3</v>
      </c>
      <c r="R30" s="826">
        <f>('Annex 4 VULA'!$J$88+40*'Annex 4 VULA'!$J$92+40*'Annex 4 VULA'!$J$93+40*'Annex 4 VULA'!$J$94+41*'Annex 4 VULA'!$J$95-'Annex 4 VULA'!$J$97)/'Parameters ULL'!$E$60/'Parameters ULL'!$E$58</f>
        <v>8.3333333333333332E-3</v>
      </c>
      <c r="S30" s="826">
        <f>IF(E30="VDSL bonding",2,1)*'Annex 4 VULA'!$J$27/'Annex 4 VULA'!$L$27/'Parameters ULL'!$E$58</f>
        <v>2.0654761904761907</v>
      </c>
      <c r="T30" s="675">
        <f>'Parameters ULL'!$E$17*('Tarieven W&amp;O'!$G$178+'Tarieven W&amp;O'!$I$178/'Parameters ULL'!$E$58)/1000000</f>
        <v>5.3011904761904758E-3</v>
      </c>
      <c r="U30" s="226">
        <f>'Parameters ULL'!$E$17*'Annex 4 VULA'!$J$65/10000000</f>
        <v>7.4999999999999997E-2</v>
      </c>
      <c r="V30" s="226">
        <f>'EDC minus lijst ULL'!$K$7+'EDC minus lijst ULL'!$L$7</f>
        <v>0.2</v>
      </c>
      <c r="W30" s="614">
        <f t="shared" si="5"/>
        <v>20.631783475119047</v>
      </c>
      <c r="X30" s="615">
        <f t="shared" si="0"/>
        <v>21.604005697341268</v>
      </c>
      <c r="Z30" s="481" t="str">
        <f t="shared" si="1"/>
        <v>ADSL/VDSLnon-sharedbestaand</v>
      </c>
      <c r="AA30" s="830">
        <f t="shared" si="6"/>
        <v>12.501783475119046</v>
      </c>
      <c r="AB30" s="830">
        <f>M30*'Parameters ULL'!$E$10</f>
        <v>35</v>
      </c>
      <c r="AC30" s="481" t="str">
        <f t="shared" si="2"/>
        <v>Best-effort≤2/2Mbps</v>
      </c>
      <c r="AD30" s="616">
        <f t="shared" si="7"/>
        <v>0</v>
      </c>
      <c r="AE30" s="616" t="str">
        <f t="shared" si="3"/>
        <v>7x24 repairtime 8h</v>
      </c>
      <c r="AF30" s="616">
        <f t="shared" si="8"/>
        <v>8.1300000000000008</v>
      </c>
    </row>
    <row r="31" spans="3:32">
      <c r="C31" s="611" t="s">
        <v>1619</v>
      </c>
      <c r="D31" s="611" t="s">
        <v>429</v>
      </c>
      <c r="E31" s="611" t="s">
        <v>127</v>
      </c>
      <c r="F31" s="612" t="s">
        <v>1621</v>
      </c>
      <c r="G31" s="611" t="s">
        <v>70</v>
      </c>
      <c r="H31" s="611" t="s">
        <v>199</v>
      </c>
      <c r="I31" s="611" t="s">
        <v>1376</v>
      </c>
      <c r="J31" s="611" t="s">
        <v>1622</v>
      </c>
      <c r="K31" s="613">
        <f>('Annex 4 VULA'!$J$32+IF(D31="NLS type 1/2/3",IF(E31="VDSL bonding",'Parameters ULL'!$E$31,'Parameters ULL'!$E$30)))/'Parameters ULL'!$E$10</f>
        <v>0.69444444444444442</v>
      </c>
      <c r="L31" s="224">
        <f>('Annex 4 VULA'!$J$33/'Parameters ULL'!$E$10)</f>
        <v>0.27777777777777779</v>
      </c>
      <c r="M31" s="225">
        <f t="shared" si="4"/>
        <v>0.97222222222222221</v>
      </c>
      <c r="N31" s="224">
        <f>IF(E31="VDSL bonding",'Annex 4 VULA'!$J$25,IF(E31="non-shared",'Annex 4 VULA'!$J$23,'Annex 4 VULA'!$J$24))</f>
        <v>3.67</v>
      </c>
      <c r="O31" s="224">
        <f>IF(G31="Premium",IF(I31="≤2/2Mbps",0,'Annex 4 VULA'!$E$49),0)</f>
        <v>0</v>
      </c>
      <c r="P31" s="224">
        <f>IF(H31="7x24 repairtime 8h",'Annex 4 VULA'!$J$81,0)</f>
        <v>8.1300000000000008</v>
      </c>
      <c r="Q31" s="224">
        <f>collocatie!$J$111</f>
        <v>7.6727608333333336E-3</v>
      </c>
      <c r="R31" s="826">
        <f>('Annex 4 VULA'!$J$88+40*'Annex 4 VULA'!$J$92+40*'Annex 4 VULA'!$J$93+40*'Annex 4 VULA'!$J$94+41*'Annex 4 VULA'!$J$95-'Annex 4 VULA'!$J$97)/'Parameters ULL'!$E$60/'Parameters ULL'!$E$58</f>
        <v>8.3333333333333332E-3</v>
      </c>
      <c r="S31" s="826">
        <f>IF(E31="VDSL bonding",2,1)*'Annex 4 VULA'!$J$27/'Annex 4 VULA'!$L$27/'Parameters ULL'!$E$58</f>
        <v>2.0654761904761907</v>
      </c>
      <c r="T31" s="675">
        <f>'Parameters ULL'!$E$17*('Tarieven W&amp;O'!$G$178+'Tarieven W&amp;O'!$I$178/'Parameters ULL'!$E$58)/1000000</f>
        <v>5.3011904761904758E-3</v>
      </c>
      <c r="U31" s="226">
        <f>'Parameters ULL'!$E$17*'Annex 4 VULA'!$J$65/10000000</f>
        <v>7.4999999999999997E-2</v>
      </c>
      <c r="V31" s="226">
        <f>'EDC minus lijst ULL'!$K$7+'EDC minus lijst ULL'!$L$7</f>
        <v>0.2</v>
      </c>
      <c r="W31" s="614">
        <f t="shared" si="5"/>
        <v>14.161783475119046</v>
      </c>
      <c r="X31" s="615">
        <f t="shared" si="0"/>
        <v>15.134005697341268</v>
      </c>
      <c r="Z31" s="481" t="str">
        <f t="shared" si="1"/>
        <v>ADSL/VDSLsharedbestaand</v>
      </c>
      <c r="AA31" s="830">
        <f t="shared" si="6"/>
        <v>6.0317834751190453</v>
      </c>
      <c r="AB31" s="830">
        <f>M31*'Parameters ULL'!$E$10</f>
        <v>35</v>
      </c>
      <c r="AC31" s="481" t="str">
        <f t="shared" si="2"/>
        <v>Premium≤2/2Mbps</v>
      </c>
      <c r="AD31" s="616">
        <f t="shared" si="7"/>
        <v>0</v>
      </c>
      <c r="AE31" s="616" t="str">
        <f t="shared" si="3"/>
        <v>7x24 repairtime 8h</v>
      </c>
      <c r="AF31" s="616">
        <f t="shared" si="8"/>
        <v>8.1300000000000008</v>
      </c>
    </row>
    <row r="32" spans="3:32">
      <c r="C32" s="611" t="s">
        <v>1619</v>
      </c>
      <c r="D32" s="611" t="s">
        <v>429</v>
      </c>
      <c r="E32" s="611" t="s">
        <v>224</v>
      </c>
      <c r="F32" s="612" t="s">
        <v>1621</v>
      </c>
      <c r="G32" s="611" t="s">
        <v>70</v>
      </c>
      <c r="H32" s="611" t="s">
        <v>199</v>
      </c>
      <c r="I32" s="611" t="s">
        <v>1376</v>
      </c>
      <c r="J32" s="611" t="s">
        <v>1622</v>
      </c>
      <c r="K32" s="613">
        <f>('Annex 4 VULA'!$J$32+IF(D32="NLS type 1/2/3",IF(E32="VDSL bonding",'Parameters ULL'!$E$31,'Parameters ULL'!$E$30)))/'Parameters ULL'!$E$10</f>
        <v>0.69444444444444442</v>
      </c>
      <c r="L32" s="224">
        <f>('Annex 4 VULA'!$J$33/'Parameters ULL'!$E$10)</f>
        <v>0.27777777777777779</v>
      </c>
      <c r="M32" s="225">
        <f t="shared" si="4"/>
        <v>0.97222222222222221</v>
      </c>
      <c r="N32" s="224">
        <f>IF(E32="VDSL bonding",'Annex 4 VULA'!$J$25,IF(E32="non-shared",'Annex 4 VULA'!$J$23,'Annex 4 VULA'!$J$24))</f>
        <v>10.14</v>
      </c>
      <c r="O32" s="224">
        <f>IF(G32="Premium",IF(I32="≤2/2Mbps",0,'Annex 4 VULA'!$E$49),0)</f>
        <v>0</v>
      </c>
      <c r="P32" s="224">
        <f>IF(H32="7x24 repairtime 8h",'Annex 4 VULA'!$J$81,0)</f>
        <v>8.1300000000000008</v>
      </c>
      <c r="Q32" s="224">
        <f>collocatie!$J$111</f>
        <v>7.6727608333333336E-3</v>
      </c>
      <c r="R32" s="826">
        <f>('Annex 4 VULA'!$J$88+40*'Annex 4 VULA'!$J$92+40*'Annex 4 VULA'!$J$93+40*'Annex 4 VULA'!$J$94+41*'Annex 4 VULA'!$J$95-'Annex 4 VULA'!$J$97)/'Parameters ULL'!$E$60/'Parameters ULL'!$E$58</f>
        <v>8.3333333333333332E-3</v>
      </c>
      <c r="S32" s="826">
        <f>IF(E32="VDSL bonding",2,1)*'Annex 4 VULA'!$J$27/'Annex 4 VULA'!$L$27/'Parameters ULL'!$E$58</f>
        <v>2.0654761904761907</v>
      </c>
      <c r="T32" s="675">
        <f>'Parameters ULL'!$E$17*('Tarieven W&amp;O'!$G$178+'Tarieven W&amp;O'!$I$178/'Parameters ULL'!$E$58)/1000000</f>
        <v>5.3011904761904758E-3</v>
      </c>
      <c r="U32" s="226">
        <f>'Parameters ULL'!$E$17*'Annex 4 VULA'!$J$65/10000000</f>
        <v>7.4999999999999997E-2</v>
      </c>
      <c r="V32" s="226">
        <f>'EDC minus lijst ULL'!$K$7+'EDC minus lijst ULL'!$L$7</f>
        <v>0.2</v>
      </c>
      <c r="W32" s="614">
        <f t="shared" si="5"/>
        <v>20.631783475119047</v>
      </c>
      <c r="X32" s="615">
        <f t="shared" si="0"/>
        <v>21.604005697341268</v>
      </c>
      <c r="Z32" s="481" t="str">
        <f t="shared" si="1"/>
        <v>ADSL/VDSLnon-sharedbestaand</v>
      </c>
      <c r="AA32" s="830">
        <f t="shared" si="6"/>
        <v>12.501783475119046</v>
      </c>
      <c r="AB32" s="830">
        <f>M32*'Parameters ULL'!$E$10</f>
        <v>35</v>
      </c>
      <c r="AC32" s="481" t="str">
        <f t="shared" si="2"/>
        <v>Premium≤2/2Mbps</v>
      </c>
      <c r="AD32" s="616">
        <f t="shared" si="7"/>
        <v>0</v>
      </c>
      <c r="AE32" s="616" t="str">
        <f t="shared" si="3"/>
        <v>7x24 repairtime 8h</v>
      </c>
      <c r="AF32" s="616">
        <f t="shared" si="8"/>
        <v>8.1300000000000008</v>
      </c>
    </row>
    <row r="33" spans="3:32">
      <c r="C33" s="611" t="s">
        <v>1619</v>
      </c>
      <c r="D33" s="611" t="s">
        <v>429</v>
      </c>
      <c r="E33" s="611" t="s">
        <v>127</v>
      </c>
      <c r="F33" s="612" t="s">
        <v>1621</v>
      </c>
      <c r="G33" s="611" t="s">
        <v>1374</v>
      </c>
      <c r="H33" s="611" t="s">
        <v>199</v>
      </c>
      <c r="I33" s="611" t="s">
        <v>1375</v>
      </c>
      <c r="J33" s="611" t="s">
        <v>1622</v>
      </c>
      <c r="K33" s="613">
        <f>('Annex 4 VULA'!$J$32+IF(D33="NLS type 1/2/3",IF(E33="VDSL bonding",'Parameters ULL'!$E$31,'Parameters ULL'!$E$30)))/'Parameters ULL'!$E$10</f>
        <v>0.69444444444444442</v>
      </c>
      <c r="L33" s="224">
        <f>('Annex 4 VULA'!$J$33/'Parameters ULL'!$E$10)</f>
        <v>0.27777777777777779</v>
      </c>
      <c r="M33" s="225">
        <f t="shared" si="4"/>
        <v>0.97222222222222221</v>
      </c>
      <c r="N33" s="224">
        <f>IF(E33="VDSL bonding",'Annex 4 VULA'!$J$25,IF(E33="non-shared",'Annex 4 VULA'!$J$23,'Annex 4 VULA'!$J$24))</f>
        <v>3.67</v>
      </c>
      <c r="O33" s="224">
        <f>IF(G33="Premium",IF(I33="≤2/2Mbps",0,'Annex 4 VULA'!$E$49),0)</f>
        <v>0</v>
      </c>
      <c r="P33" s="224">
        <f>IF(H33="7x24 repairtime 8h",'Annex 4 VULA'!$J$81,0)</f>
        <v>8.1300000000000008</v>
      </c>
      <c r="Q33" s="224">
        <f>collocatie!$J$111</f>
        <v>7.6727608333333336E-3</v>
      </c>
      <c r="R33" s="826">
        <f>('Annex 4 VULA'!$J$88+40*'Annex 4 VULA'!$J$92+40*'Annex 4 VULA'!$J$93+40*'Annex 4 VULA'!$J$94+41*'Annex 4 VULA'!$J$95-'Annex 4 VULA'!$J$97)/'Parameters ULL'!$E$60/'Parameters ULL'!$E$58</f>
        <v>8.3333333333333332E-3</v>
      </c>
      <c r="S33" s="826">
        <f>IF(E33="VDSL bonding",2,1)*'Annex 4 VULA'!$J$27/'Annex 4 VULA'!$L$27/'Parameters ULL'!$E$58</f>
        <v>2.0654761904761907</v>
      </c>
      <c r="T33" s="675">
        <f>'Parameters ULL'!$E$17*('Tarieven W&amp;O'!$G$178+'Tarieven W&amp;O'!$I$178/'Parameters ULL'!$E$58)/1000000</f>
        <v>5.3011904761904758E-3</v>
      </c>
      <c r="U33" s="226">
        <f>'Parameters ULL'!$E$17*'Annex 4 VULA'!$J$65/10000000</f>
        <v>7.4999999999999997E-2</v>
      </c>
      <c r="V33" s="226">
        <f>'EDC minus lijst ULL'!$K$7+'EDC minus lijst ULL'!$L$7</f>
        <v>0.2</v>
      </c>
      <c r="W33" s="614">
        <f t="shared" si="5"/>
        <v>14.161783475119046</v>
      </c>
      <c r="X33" s="615">
        <f t="shared" si="0"/>
        <v>15.134005697341268</v>
      </c>
      <c r="Z33" s="481" t="str">
        <f t="shared" si="1"/>
        <v>ADSL/VDSLsharedbestaand</v>
      </c>
      <c r="AA33" s="830">
        <f t="shared" si="6"/>
        <v>6.0317834751190453</v>
      </c>
      <c r="AB33" s="830">
        <f>M33*'Parameters ULL'!$E$10</f>
        <v>35</v>
      </c>
      <c r="AC33" s="481" t="str">
        <f t="shared" si="2"/>
        <v>Best-effortOther</v>
      </c>
      <c r="AD33" s="616">
        <f t="shared" si="7"/>
        <v>0</v>
      </c>
      <c r="AE33" s="616" t="str">
        <f t="shared" si="3"/>
        <v>7x24 repairtime 8h</v>
      </c>
      <c r="AF33" s="616">
        <f t="shared" si="8"/>
        <v>8.1300000000000008</v>
      </c>
    </row>
    <row r="34" spans="3:32">
      <c r="C34" s="611" t="s">
        <v>1619</v>
      </c>
      <c r="D34" s="611" t="s">
        <v>429</v>
      </c>
      <c r="E34" s="611" t="s">
        <v>224</v>
      </c>
      <c r="F34" s="612" t="s">
        <v>1621</v>
      </c>
      <c r="G34" s="611" t="s">
        <v>1374</v>
      </c>
      <c r="H34" s="611" t="s">
        <v>199</v>
      </c>
      <c r="I34" s="611" t="s">
        <v>1375</v>
      </c>
      <c r="J34" s="611" t="s">
        <v>1622</v>
      </c>
      <c r="K34" s="613">
        <f>('Annex 4 VULA'!$J$32+IF(D34="NLS type 1/2/3",IF(E34="VDSL bonding",'Parameters ULL'!$E$31,'Parameters ULL'!$E$30)))/'Parameters ULL'!$E$10</f>
        <v>0.69444444444444442</v>
      </c>
      <c r="L34" s="224">
        <f>('Annex 4 VULA'!$J$33/'Parameters ULL'!$E$10)</f>
        <v>0.27777777777777779</v>
      </c>
      <c r="M34" s="225">
        <f t="shared" si="4"/>
        <v>0.97222222222222221</v>
      </c>
      <c r="N34" s="224">
        <f>IF(E34="VDSL bonding",'Annex 4 VULA'!$J$25,IF(E34="non-shared",'Annex 4 VULA'!$J$23,'Annex 4 VULA'!$J$24))</f>
        <v>10.14</v>
      </c>
      <c r="O34" s="224">
        <f>IF(G34="Premium",IF(I34="≤2/2Mbps",0,'Annex 4 VULA'!$E$49),0)</f>
        <v>0</v>
      </c>
      <c r="P34" s="224">
        <f>IF(H34="7x24 repairtime 8h",'Annex 4 VULA'!$J$81,0)</f>
        <v>8.1300000000000008</v>
      </c>
      <c r="Q34" s="224">
        <f>collocatie!$J$111</f>
        <v>7.6727608333333336E-3</v>
      </c>
      <c r="R34" s="826">
        <f>('Annex 4 VULA'!$J$88+40*'Annex 4 VULA'!$J$92+40*'Annex 4 VULA'!$J$93+40*'Annex 4 VULA'!$J$94+41*'Annex 4 VULA'!$J$95-'Annex 4 VULA'!$J$97)/'Parameters ULL'!$E$60/'Parameters ULL'!$E$58</f>
        <v>8.3333333333333332E-3</v>
      </c>
      <c r="S34" s="826">
        <f>IF(E34="VDSL bonding",2,1)*'Annex 4 VULA'!$J$27/'Annex 4 VULA'!$L$27/'Parameters ULL'!$E$58</f>
        <v>2.0654761904761907</v>
      </c>
      <c r="T34" s="675">
        <f>'Parameters ULL'!$E$17*('Tarieven W&amp;O'!$G$178+'Tarieven W&amp;O'!$I$178/'Parameters ULL'!$E$58)/1000000</f>
        <v>5.3011904761904758E-3</v>
      </c>
      <c r="U34" s="226">
        <f>'Parameters ULL'!$E$17*'Annex 4 VULA'!$J$65/10000000</f>
        <v>7.4999999999999997E-2</v>
      </c>
      <c r="V34" s="226">
        <f>'EDC minus lijst ULL'!$K$7+'EDC minus lijst ULL'!$L$7</f>
        <v>0.2</v>
      </c>
      <c r="W34" s="614">
        <f t="shared" si="5"/>
        <v>20.631783475119047</v>
      </c>
      <c r="X34" s="615">
        <f t="shared" si="0"/>
        <v>21.604005697341268</v>
      </c>
      <c r="Z34" s="481" t="str">
        <f t="shared" si="1"/>
        <v>ADSL/VDSLnon-sharedbestaand</v>
      </c>
      <c r="AA34" s="830">
        <f t="shared" si="6"/>
        <v>12.501783475119046</v>
      </c>
      <c r="AB34" s="830">
        <f>M34*'Parameters ULL'!$E$10</f>
        <v>35</v>
      </c>
      <c r="AC34" s="481" t="str">
        <f t="shared" si="2"/>
        <v>Best-effortOther</v>
      </c>
      <c r="AD34" s="616">
        <f t="shared" si="7"/>
        <v>0</v>
      </c>
      <c r="AE34" s="616" t="str">
        <f t="shared" si="3"/>
        <v>7x24 repairtime 8h</v>
      </c>
      <c r="AF34" s="616">
        <f t="shared" si="8"/>
        <v>8.1300000000000008</v>
      </c>
    </row>
    <row r="35" spans="3:32">
      <c r="C35" s="611" t="s">
        <v>1619</v>
      </c>
      <c r="D35" s="611" t="s">
        <v>429</v>
      </c>
      <c r="E35" s="611" t="s">
        <v>127</v>
      </c>
      <c r="F35" s="612" t="s">
        <v>1621</v>
      </c>
      <c r="G35" s="611" t="s">
        <v>70</v>
      </c>
      <c r="H35" s="611" t="s">
        <v>199</v>
      </c>
      <c r="I35" s="611" t="s">
        <v>1375</v>
      </c>
      <c r="J35" s="611" t="s">
        <v>1622</v>
      </c>
      <c r="K35" s="613">
        <f>('Annex 4 VULA'!$J$32+IF(D35="NLS type 1/2/3",IF(E35="VDSL bonding",'Parameters ULL'!$E$31,'Parameters ULL'!$E$30)))/'Parameters ULL'!$E$10</f>
        <v>0.69444444444444442</v>
      </c>
      <c r="L35" s="224">
        <f>('Annex 4 VULA'!$J$33/'Parameters ULL'!$E$10)</f>
        <v>0.27777777777777779</v>
      </c>
      <c r="M35" s="225">
        <f t="shared" si="4"/>
        <v>0.97222222222222221</v>
      </c>
      <c r="N35" s="224">
        <f>IF(E35="VDSL bonding",'Annex 4 VULA'!$J$25,IF(E35="non-shared",'Annex 4 VULA'!$J$23,'Annex 4 VULA'!$J$24))</f>
        <v>3.67</v>
      </c>
      <c r="O35" s="224">
        <f>IF(G35="Premium",IF(I35="≤2/2Mbps",0,'Annex 4 VULA'!$E$49),0)</f>
        <v>16.02</v>
      </c>
      <c r="P35" s="224">
        <f>IF(H35="7x24 repairtime 8h",'Annex 4 VULA'!$J$81,0)</f>
        <v>8.1300000000000008</v>
      </c>
      <c r="Q35" s="224">
        <f>collocatie!$J$111</f>
        <v>7.6727608333333336E-3</v>
      </c>
      <c r="R35" s="826">
        <f>('Annex 4 VULA'!$J$88+40*'Annex 4 VULA'!$J$92+40*'Annex 4 VULA'!$J$93+40*'Annex 4 VULA'!$J$94+41*'Annex 4 VULA'!$J$95-'Annex 4 VULA'!$J$97)/'Parameters ULL'!$E$60/'Parameters ULL'!$E$58</f>
        <v>8.3333333333333332E-3</v>
      </c>
      <c r="S35" s="826">
        <f>IF(E35="VDSL bonding",2,1)*'Annex 4 VULA'!$J$27/'Annex 4 VULA'!$L$27/'Parameters ULL'!$E$58</f>
        <v>2.0654761904761907</v>
      </c>
      <c r="T35" s="675">
        <f>'Parameters ULL'!$E$17*('Tarieven W&amp;O'!$G$178+'Tarieven W&amp;O'!$I$178/'Parameters ULL'!$E$58)/1000000</f>
        <v>5.3011904761904758E-3</v>
      </c>
      <c r="U35" s="226">
        <f>'Parameters ULL'!$E$17*'Annex 4 VULA'!$J$65/10000000</f>
        <v>7.4999999999999997E-2</v>
      </c>
      <c r="V35" s="226">
        <f>'EDC minus lijst ULL'!$K$7+'EDC minus lijst ULL'!$L$7</f>
        <v>0.2</v>
      </c>
      <c r="W35" s="614">
        <f t="shared" si="5"/>
        <v>30.181783475119044</v>
      </c>
      <c r="X35" s="615">
        <f t="shared" si="0"/>
        <v>31.154005697341265</v>
      </c>
      <c r="Z35" s="481" t="str">
        <f t="shared" si="1"/>
        <v>ADSL/VDSLsharedbestaand</v>
      </c>
      <c r="AA35" s="830">
        <f t="shared" si="6"/>
        <v>6.0317834751190436</v>
      </c>
      <c r="AB35" s="830">
        <f>M35*'Parameters ULL'!$E$10</f>
        <v>35</v>
      </c>
      <c r="AC35" s="481" t="str">
        <f t="shared" si="2"/>
        <v>PremiumOther</v>
      </c>
      <c r="AD35" s="616">
        <f t="shared" si="7"/>
        <v>16.02</v>
      </c>
      <c r="AE35" s="616" t="str">
        <f t="shared" si="3"/>
        <v>7x24 repairtime 8h</v>
      </c>
      <c r="AF35" s="616">
        <f t="shared" si="8"/>
        <v>8.1300000000000008</v>
      </c>
    </row>
    <row r="36" spans="3:32">
      <c r="C36" s="611" t="s">
        <v>1619</v>
      </c>
      <c r="D36" s="611" t="s">
        <v>429</v>
      </c>
      <c r="E36" s="611" t="s">
        <v>224</v>
      </c>
      <c r="F36" s="612" t="s">
        <v>1621</v>
      </c>
      <c r="G36" s="611" t="s">
        <v>70</v>
      </c>
      <c r="H36" s="611" t="s">
        <v>199</v>
      </c>
      <c r="I36" s="611" t="s">
        <v>1375</v>
      </c>
      <c r="J36" s="611" t="s">
        <v>1622</v>
      </c>
      <c r="K36" s="613">
        <f>('Annex 4 VULA'!$J$32+IF(D36="NLS type 1/2/3",IF(E36="VDSL bonding",'Parameters ULL'!$E$31,'Parameters ULL'!$E$30)))/'Parameters ULL'!$E$10</f>
        <v>0.69444444444444442</v>
      </c>
      <c r="L36" s="224">
        <f>('Annex 4 VULA'!$J$33/'Parameters ULL'!$E$10)</f>
        <v>0.27777777777777779</v>
      </c>
      <c r="M36" s="225">
        <f t="shared" si="4"/>
        <v>0.97222222222222221</v>
      </c>
      <c r="N36" s="224">
        <f>IF(E36="VDSL bonding",'Annex 4 VULA'!$J$25,IF(E36="non-shared",'Annex 4 VULA'!$J$23,'Annex 4 VULA'!$J$24))</f>
        <v>10.14</v>
      </c>
      <c r="O36" s="224">
        <f>IF(G36="Premium",IF(I36="≤2/2Mbps",0,'Annex 4 VULA'!$E$49),0)</f>
        <v>16.02</v>
      </c>
      <c r="P36" s="224">
        <f>IF(H36="7x24 repairtime 8h",'Annex 4 VULA'!$J$81,0)</f>
        <v>8.1300000000000008</v>
      </c>
      <c r="Q36" s="224">
        <f>collocatie!$J$111</f>
        <v>7.6727608333333336E-3</v>
      </c>
      <c r="R36" s="826">
        <f>('Annex 4 VULA'!$J$88+40*'Annex 4 VULA'!$J$92+40*'Annex 4 VULA'!$J$93+40*'Annex 4 VULA'!$J$94+41*'Annex 4 VULA'!$J$95-'Annex 4 VULA'!$J$97)/'Parameters ULL'!$E$60/'Parameters ULL'!$E$58</f>
        <v>8.3333333333333332E-3</v>
      </c>
      <c r="S36" s="826">
        <f>IF(E36="VDSL bonding",2,1)*'Annex 4 VULA'!$J$27/'Annex 4 VULA'!$L$27/'Parameters ULL'!$E$58</f>
        <v>2.0654761904761907</v>
      </c>
      <c r="T36" s="675">
        <f>'Parameters ULL'!$E$17*('Tarieven W&amp;O'!$G$178+'Tarieven W&amp;O'!$I$178/'Parameters ULL'!$E$58)/1000000</f>
        <v>5.3011904761904758E-3</v>
      </c>
      <c r="U36" s="226">
        <f>'Parameters ULL'!$E$17*'Annex 4 VULA'!$J$65/10000000</f>
        <v>7.4999999999999997E-2</v>
      </c>
      <c r="V36" s="226">
        <f>'EDC minus lijst ULL'!$K$7+'EDC minus lijst ULL'!$L$7</f>
        <v>0.2</v>
      </c>
      <c r="W36" s="614">
        <f t="shared" si="5"/>
        <v>36.651783475119046</v>
      </c>
      <c r="X36" s="615">
        <f t="shared" si="0"/>
        <v>37.624005697341268</v>
      </c>
      <c r="Z36" s="481" t="str">
        <f t="shared" si="1"/>
        <v>ADSL/VDSLnon-sharedbestaand</v>
      </c>
      <c r="AA36" s="830">
        <f t="shared" si="6"/>
        <v>12.501783475119046</v>
      </c>
      <c r="AB36" s="830">
        <f>M36*'Parameters ULL'!$E$10</f>
        <v>35</v>
      </c>
      <c r="AC36" s="481" t="str">
        <f t="shared" si="2"/>
        <v>PremiumOther</v>
      </c>
      <c r="AD36" s="616">
        <f t="shared" si="7"/>
        <v>16.02</v>
      </c>
      <c r="AE36" s="616" t="str">
        <f t="shared" si="3"/>
        <v>7x24 repairtime 8h</v>
      </c>
      <c r="AF36" s="616">
        <f t="shared" si="8"/>
        <v>8.1300000000000008</v>
      </c>
    </row>
    <row r="37" spans="3:32">
      <c r="C37" s="611" t="s">
        <v>1619</v>
      </c>
      <c r="D37" s="611" t="s">
        <v>1620</v>
      </c>
      <c r="E37" s="611" t="s">
        <v>222</v>
      </c>
      <c r="F37" s="612" t="s">
        <v>1621</v>
      </c>
      <c r="G37" s="611" t="s">
        <v>1374</v>
      </c>
      <c r="H37" s="611" t="s">
        <v>498</v>
      </c>
      <c r="I37" s="611" t="s">
        <v>1376</v>
      </c>
      <c r="J37" s="611" t="s">
        <v>1622</v>
      </c>
      <c r="K37" s="613">
        <f>('Annex 4 VULA'!$J$32+IF(D37="NLS type 1/2/3",IF(E37="VDSL bonding",'Parameters ULL'!$E$31,'Parameters ULL'!$E$30)))/'Parameters ULL'!$E$10</f>
        <v>0.69444444444444442</v>
      </c>
      <c r="L37" s="224">
        <f>('Annex 4 VULA'!$J$33/'Parameters ULL'!$E$10)</f>
        <v>0.27777777777777779</v>
      </c>
      <c r="M37" s="225">
        <f t="shared" si="4"/>
        <v>0.97222222222222221</v>
      </c>
      <c r="N37" s="224">
        <f>IF(E37="VDSL bonding",'Annex 4 VULA'!$J$25,IF(E37="non-shared",'Annex 4 VULA'!$J$23,'Annex 4 VULA'!$J$24))</f>
        <v>12.36</v>
      </c>
      <c r="O37" s="224">
        <f>IF(G37="Premium",IF(I37="≤2/2Mbps",0,'Annex 4 VULA'!$E$49),0)</f>
        <v>0</v>
      </c>
      <c r="P37" s="224">
        <f>IF(H37="7x24 repairtime 8h",'Annex 4 VULA'!$J$81,0)</f>
        <v>0</v>
      </c>
      <c r="Q37" s="224">
        <f>collocatie!$J$111</f>
        <v>7.6727608333333336E-3</v>
      </c>
      <c r="R37" s="826">
        <f>('Annex 4 VULA'!$J$88+40*'Annex 4 VULA'!$J$92+40*'Annex 4 VULA'!$J$93+40*'Annex 4 VULA'!$J$94+41*'Annex 4 VULA'!$J$95-'Annex 4 VULA'!$J$97)/'Parameters ULL'!$E$60/'Parameters ULL'!$E$58</f>
        <v>8.3333333333333332E-3</v>
      </c>
      <c r="S37" s="826">
        <f>IF(E37="VDSL bonding",2,1)*'Annex 4 VULA'!$J$27/'Annex 4 VULA'!$L$27/'Parameters ULL'!$E$58</f>
        <v>4.1309523809523814</v>
      </c>
      <c r="T37" s="675">
        <f>'Parameters ULL'!$E$17*('Tarieven W&amp;O'!$G$178+'Tarieven W&amp;O'!$I$178/'Parameters ULL'!$E$58)/1000000</f>
        <v>5.3011904761904758E-3</v>
      </c>
      <c r="U37" s="226">
        <f>'Parameters ULL'!$E$17*'Annex 4 VULA'!$J$65/10000000</f>
        <v>7.4999999999999997E-2</v>
      </c>
      <c r="V37" s="226">
        <f>'EDC minus lijst ULL'!$K$7+'EDC minus lijst ULL'!$L$7</f>
        <v>0.2</v>
      </c>
      <c r="W37" s="614">
        <f t="shared" si="5"/>
        <v>16.787259665595236</v>
      </c>
      <c r="X37" s="615">
        <f t="shared" si="0"/>
        <v>17.759481887817458</v>
      </c>
      <c r="Z37" s="481" t="str">
        <f t="shared" si="1"/>
        <v>VDSL bondingnon-sharednieuw</v>
      </c>
      <c r="AA37" s="830">
        <f t="shared" si="6"/>
        <v>16.787259665595236</v>
      </c>
      <c r="AB37" s="830">
        <f>M37*'Parameters ULL'!$E$10</f>
        <v>35</v>
      </c>
      <c r="AC37" s="481" t="str">
        <f t="shared" si="2"/>
        <v>Best-effort≤2/2Mbps</v>
      </c>
      <c r="AD37" s="616">
        <f t="shared" si="7"/>
        <v>0</v>
      </c>
      <c r="AE37" s="616" t="str">
        <f t="shared" si="3"/>
        <v>Standard</v>
      </c>
      <c r="AF37" s="616">
        <f t="shared" si="8"/>
        <v>0</v>
      </c>
    </row>
    <row r="38" spans="3:32">
      <c r="C38" s="611" t="s">
        <v>1619</v>
      </c>
      <c r="D38" s="611" t="s">
        <v>1620</v>
      </c>
      <c r="E38" s="611" t="s">
        <v>222</v>
      </c>
      <c r="F38" s="612" t="s">
        <v>1621</v>
      </c>
      <c r="G38" s="611" t="s">
        <v>70</v>
      </c>
      <c r="H38" s="611" t="s">
        <v>498</v>
      </c>
      <c r="I38" s="611" t="s">
        <v>1376</v>
      </c>
      <c r="J38" s="611" t="s">
        <v>1622</v>
      </c>
      <c r="K38" s="613">
        <f>('Annex 4 VULA'!$J$32+IF(D38="NLS type 1/2/3",IF(E38="VDSL bonding",'Parameters ULL'!$E$31,'Parameters ULL'!$E$30)))/'Parameters ULL'!$E$10</f>
        <v>0.69444444444444442</v>
      </c>
      <c r="L38" s="224">
        <f>('Annex 4 VULA'!$J$33/'Parameters ULL'!$E$10)</f>
        <v>0.27777777777777779</v>
      </c>
      <c r="M38" s="225">
        <f t="shared" si="4"/>
        <v>0.97222222222222221</v>
      </c>
      <c r="N38" s="224">
        <f>IF(E38="VDSL bonding",'Annex 4 VULA'!$J$25,IF(E38="non-shared",'Annex 4 VULA'!$J$23,'Annex 4 VULA'!$J$24))</f>
        <v>12.36</v>
      </c>
      <c r="O38" s="224">
        <f>IF(G38="Premium",IF(I38="≤2/2Mbps",0,'Annex 4 VULA'!$E$49),0)</f>
        <v>0</v>
      </c>
      <c r="P38" s="224">
        <f>IF(H38="7x24 repairtime 8h",'Annex 4 VULA'!$J$81,0)</f>
        <v>0</v>
      </c>
      <c r="Q38" s="224">
        <f>collocatie!$J$111</f>
        <v>7.6727608333333336E-3</v>
      </c>
      <c r="R38" s="826">
        <f>('Annex 4 VULA'!$J$88+40*'Annex 4 VULA'!$J$92+40*'Annex 4 VULA'!$J$93+40*'Annex 4 VULA'!$J$94+41*'Annex 4 VULA'!$J$95-'Annex 4 VULA'!$J$97)/'Parameters ULL'!$E$60/'Parameters ULL'!$E$58</f>
        <v>8.3333333333333332E-3</v>
      </c>
      <c r="S38" s="826">
        <f>IF(E38="VDSL bonding",2,1)*'Annex 4 VULA'!$J$27/'Annex 4 VULA'!$L$27/'Parameters ULL'!$E$58</f>
        <v>4.1309523809523814</v>
      </c>
      <c r="T38" s="675">
        <f>'Parameters ULL'!$E$17*('Tarieven W&amp;O'!$G$178+'Tarieven W&amp;O'!$I$178/'Parameters ULL'!$E$58)/1000000</f>
        <v>5.3011904761904758E-3</v>
      </c>
      <c r="U38" s="226">
        <f>'Parameters ULL'!$E$17*'Annex 4 VULA'!$J$65/10000000</f>
        <v>7.4999999999999997E-2</v>
      </c>
      <c r="V38" s="226">
        <f>'EDC minus lijst ULL'!$K$7+'EDC minus lijst ULL'!$L$7</f>
        <v>0.2</v>
      </c>
      <c r="W38" s="614">
        <f t="shared" si="5"/>
        <v>16.787259665595236</v>
      </c>
      <c r="X38" s="615">
        <f t="shared" si="0"/>
        <v>17.759481887817458</v>
      </c>
      <c r="Z38" s="481" t="str">
        <f t="shared" si="1"/>
        <v>VDSL bondingnon-sharednieuw</v>
      </c>
      <c r="AA38" s="830">
        <f t="shared" si="6"/>
        <v>16.787259665595236</v>
      </c>
      <c r="AB38" s="830">
        <f>M38*'Parameters ULL'!$E$10</f>
        <v>35</v>
      </c>
      <c r="AC38" s="481" t="str">
        <f t="shared" si="2"/>
        <v>Premium≤2/2Mbps</v>
      </c>
      <c r="AD38" s="616">
        <f t="shared" si="7"/>
        <v>0</v>
      </c>
      <c r="AE38" s="616" t="str">
        <f t="shared" si="3"/>
        <v>Standard</v>
      </c>
      <c r="AF38" s="616">
        <f t="shared" si="8"/>
        <v>0</v>
      </c>
    </row>
    <row r="39" spans="3:32">
      <c r="C39" s="611" t="s">
        <v>1619</v>
      </c>
      <c r="D39" s="611" t="s">
        <v>1620</v>
      </c>
      <c r="E39" s="611" t="s">
        <v>222</v>
      </c>
      <c r="F39" s="612" t="s">
        <v>1621</v>
      </c>
      <c r="G39" s="611" t="s">
        <v>1374</v>
      </c>
      <c r="H39" s="611" t="s">
        <v>498</v>
      </c>
      <c r="I39" s="611" t="s">
        <v>1375</v>
      </c>
      <c r="J39" s="611" t="s">
        <v>1622</v>
      </c>
      <c r="K39" s="613">
        <f>('Annex 4 VULA'!$J$32+IF(D39="NLS type 1/2/3",IF(E39="VDSL bonding",'Parameters ULL'!$E$31,'Parameters ULL'!$E$30)))/'Parameters ULL'!$E$10</f>
        <v>0.69444444444444442</v>
      </c>
      <c r="L39" s="224">
        <f>('Annex 4 VULA'!$J$33/'Parameters ULL'!$E$10)</f>
        <v>0.27777777777777779</v>
      </c>
      <c r="M39" s="225">
        <f t="shared" si="4"/>
        <v>0.97222222222222221</v>
      </c>
      <c r="N39" s="224">
        <f>IF(E39="VDSL bonding",'Annex 4 VULA'!$J$25,IF(E39="non-shared",'Annex 4 VULA'!$J$23,'Annex 4 VULA'!$J$24))</f>
        <v>12.36</v>
      </c>
      <c r="O39" s="224">
        <f>IF(G39="Premium",IF(I39="≤2/2Mbps",0,'Annex 4 VULA'!$E$49),0)</f>
        <v>0</v>
      </c>
      <c r="P39" s="224">
        <f>IF(H39="7x24 repairtime 8h",'Annex 4 VULA'!$J$81,0)</f>
        <v>0</v>
      </c>
      <c r="Q39" s="224">
        <f>collocatie!$J$111</f>
        <v>7.6727608333333336E-3</v>
      </c>
      <c r="R39" s="826">
        <f>('Annex 4 VULA'!$J$88+40*'Annex 4 VULA'!$J$92+40*'Annex 4 VULA'!$J$93+40*'Annex 4 VULA'!$J$94+41*'Annex 4 VULA'!$J$95-'Annex 4 VULA'!$J$97)/'Parameters ULL'!$E$60/'Parameters ULL'!$E$58</f>
        <v>8.3333333333333332E-3</v>
      </c>
      <c r="S39" s="826">
        <f>IF(E39="VDSL bonding",2,1)*'Annex 4 VULA'!$J$27/'Annex 4 VULA'!$L$27/'Parameters ULL'!$E$58</f>
        <v>4.1309523809523814</v>
      </c>
      <c r="T39" s="675">
        <f>'Parameters ULL'!$E$17*('Tarieven W&amp;O'!$G$178+'Tarieven W&amp;O'!$I$178/'Parameters ULL'!$E$58)/1000000</f>
        <v>5.3011904761904758E-3</v>
      </c>
      <c r="U39" s="226">
        <f>'Parameters ULL'!$E$17*'Annex 4 VULA'!$J$65/10000000</f>
        <v>7.4999999999999997E-2</v>
      </c>
      <c r="V39" s="226">
        <f>'EDC minus lijst ULL'!$K$7+'EDC minus lijst ULL'!$L$7</f>
        <v>0.2</v>
      </c>
      <c r="W39" s="614">
        <f t="shared" si="5"/>
        <v>16.787259665595236</v>
      </c>
      <c r="X39" s="615">
        <f t="shared" si="0"/>
        <v>17.759481887817458</v>
      </c>
      <c r="Z39" s="481" t="str">
        <f t="shared" si="1"/>
        <v>VDSL bondingnon-sharednieuw</v>
      </c>
      <c r="AA39" s="830">
        <f t="shared" si="6"/>
        <v>16.787259665595236</v>
      </c>
      <c r="AB39" s="830">
        <f>M39*'Parameters ULL'!$E$10</f>
        <v>35</v>
      </c>
      <c r="AC39" s="481" t="str">
        <f t="shared" si="2"/>
        <v>Best-effortOther</v>
      </c>
      <c r="AD39" s="616">
        <f t="shared" si="7"/>
        <v>0</v>
      </c>
      <c r="AE39" s="616" t="str">
        <f t="shared" si="3"/>
        <v>Standard</v>
      </c>
      <c r="AF39" s="616">
        <f t="shared" si="8"/>
        <v>0</v>
      </c>
    </row>
    <row r="40" spans="3:32">
      <c r="C40" s="611" t="s">
        <v>1619</v>
      </c>
      <c r="D40" s="611" t="s">
        <v>1620</v>
      </c>
      <c r="E40" s="611" t="s">
        <v>222</v>
      </c>
      <c r="F40" s="612" t="s">
        <v>1621</v>
      </c>
      <c r="G40" s="611" t="s">
        <v>70</v>
      </c>
      <c r="H40" s="611" t="s">
        <v>498</v>
      </c>
      <c r="I40" s="611" t="s">
        <v>1375</v>
      </c>
      <c r="J40" s="611" t="s">
        <v>1622</v>
      </c>
      <c r="K40" s="613">
        <f>('Annex 4 VULA'!$J$32+IF(D40="NLS type 1/2/3",IF(E40="VDSL bonding",'Parameters ULL'!$E$31,'Parameters ULL'!$E$30)))/'Parameters ULL'!$E$10</f>
        <v>0.69444444444444442</v>
      </c>
      <c r="L40" s="224">
        <f>('Annex 4 VULA'!$J$33/'Parameters ULL'!$E$10)</f>
        <v>0.27777777777777779</v>
      </c>
      <c r="M40" s="225">
        <f t="shared" si="4"/>
        <v>0.97222222222222221</v>
      </c>
      <c r="N40" s="224">
        <f>IF(E40="VDSL bonding",'Annex 4 VULA'!$J$25,IF(E40="non-shared",'Annex 4 VULA'!$J$23,'Annex 4 VULA'!$J$24))</f>
        <v>12.36</v>
      </c>
      <c r="O40" s="224">
        <f>IF(G40="Premium",IF(I40="≤2/2Mbps",0,'Annex 4 VULA'!$E$49),0)</f>
        <v>16.02</v>
      </c>
      <c r="P40" s="224">
        <f>IF(H40="7x24 repairtime 8h",'Annex 4 VULA'!$J$81,0)</f>
        <v>0</v>
      </c>
      <c r="Q40" s="224">
        <f>collocatie!$J$111</f>
        <v>7.6727608333333336E-3</v>
      </c>
      <c r="R40" s="826">
        <f>('Annex 4 VULA'!$J$88+40*'Annex 4 VULA'!$J$92+40*'Annex 4 VULA'!$J$93+40*'Annex 4 VULA'!$J$94+41*'Annex 4 VULA'!$J$95-'Annex 4 VULA'!$J$97)/'Parameters ULL'!$E$60/'Parameters ULL'!$E$58</f>
        <v>8.3333333333333332E-3</v>
      </c>
      <c r="S40" s="826">
        <f>IF(E40="VDSL bonding",2,1)*'Annex 4 VULA'!$J$27/'Annex 4 VULA'!$L$27/'Parameters ULL'!$E$58</f>
        <v>4.1309523809523814</v>
      </c>
      <c r="T40" s="675">
        <f>'Parameters ULL'!$E$17*('Tarieven W&amp;O'!$G$178+'Tarieven W&amp;O'!$I$178/'Parameters ULL'!$E$58)/1000000</f>
        <v>5.3011904761904758E-3</v>
      </c>
      <c r="U40" s="226">
        <f>'Parameters ULL'!$E$17*'Annex 4 VULA'!$J$65/10000000</f>
        <v>7.4999999999999997E-2</v>
      </c>
      <c r="V40" s="226">
        <f>'EDC minus lijst ULL'!$K$7+'EDC minus lijst ULL'!$L$7</f>
        <v>0.2</v>
      </c>
      <c r="W40" s="614">
        <f t="shared" si="5"/>
        <v>32.80725966559524</v>
      </c>
      <c r="X40" s="615">
        <f t="shared" si="0"/>
        <v>33.779481887817461</v>
      </c>
      <c r="Z40" s="481" t="str">
        <f t="shared" si="1"/>
        <v>VDSL bondingnon-sharednieuw</v>
      </c>
      <c r="AA40" s="830">
        <f t="shared" si="6"/>
        <v>16.78725966559524</v>
      </c>
      <c r="AB40" s="830">
        <f>M40*'Parameters ULL'!$E$10</f>
        <v>35</v>
      </c>
      <c r="AC40" s="481" t="str">
        <f t="shared" si="2"/>
        <v>PremiumOther</v>
      </c>
      <c r="AD40" s="616">
        <f t="shared" si="7"/>
        <v>16.02</v>
      </c>
      <c r="AE40" s="616" t="str">
        <f t="shared" si="3"/>
        <v>Standard</v>
      </c>
      <c r="AF40" s="616">
        <f t="shared" si="8"/>
        <v>0</v>
      </c>
    </row>
    <row r="41" spans="3:32">
      <c r="C41" s="611" t="s">
        <v>1619</v>
      </c>
      <c r="D41" s="611" t="s">
        <v>1620</v>
      </c>
      <c r="E41" s="611" t="s">
        <v>222</v>
      </c>
      <c r="F41" s="612" t="s">
        <v>1621</v>
      </c>
      <c r="G41" s="611" t="s">
        <v>1374</v>
      </c>
      <c r="H41" s="611" t="s">
        <v>199</v>
      </c>
      <c r="I41" s="611" t="s">
        <v>1376</v>
      </c>
      <c r="J41" s="611" t="s">
        <v>1622</v>
      </c>
      <c r="K41" s="613">
        <f>('Annex 4 VULA'!$J$32+IF(D41="NLS type 1/2/3",IF(E41="VDSL bonding",'Parameters ULL'!$E$31,'Parameters ULL'!$E$30)))/'Parameters ULL'!$E$10</f>
        <v>0.69444444444444442</v>
      </c>
      <c r="L41" s="224">
        <f>('Annex 4 VULA'!$J$33/'Parameters ULL'!$E$10)</f>
        <v>0.27777777777777779</v>
      </c>
      <c r="M41" s="225">
        <f t="shared" si="4"/>
        <v>0.97222222222222221</v>
      </c>
      <c r="N41" s="224">
        <f>IF(E41="VDSL bonding",'Annex 4 VULA'!$J$25,IF(E41="non-shared",'Annex 4 VULA'!$J$23,'Annex 4 VULA'!$J$24))</f>
        <v>12.36</v>
      </c>
      <c r="O41" s="224">
        <f>IF(G41="Premium",IF(I41="≤2/2Mbps",0,'Annex 4 VULA'!$E$49),0)</f>
        <v>0</v>
      </c>
      <c r="P41" s="224">
        <f>IF(H41="7x24 repairtime 8h",'Annex 4 VULA'!$J$81,0)</f>
        <v>8.1300000000000008</v>
      </c>
      <c r="Q41" s="224">
        <f>collocatie!$J$111</f>
        <v>7.6727608333333336E-3</v>
      </c>
      <c r="R41" s="826">
        <f>('Annex 4 VULA'!$J$88+40*'Annex 4 VULA'!$J$92+40*'Annex 4 VULA'!$J$93+40*'Annex 4 VULA'!$J$94+41*'Annex 4 VULA'!$J$95-'Annex 4 VULA'!$J$97)/'Parameters ULL'!$E$60/'Parameters ULL'!$E$58</f>
        <v>8.3333333333333332E-3</v>
      </c>
      <c r="S41" s="826">
        <f>IF(E41="VDSL bonding",2,1)*'Annex 4 VULA'!$J$27/'Annex 4 VULA'!$L$27/'Parameters ULL'!$E$58</f>
        <v>4.1309523809523814</v>
      </c>
      <c r="T41" s="675">
        <f>'Parameters ULL'!$E$17*('Tarieven W&amp;O'!$G$178+'Tarieven W&amp;O'!$I$178/'Parameters ULL'!$E$58)/1000000</f>
        <v>5.3011904761904758E-3</v>
      </c>
      <c r="U41" s="226">
        <f>'Parameters ULL'!$E$17*'Annex 4 VULA'!$J$65/10000000</f>
        <v>7.4999999999999997E-2</v>
      </c>
      <c r="V41" s="226">
        <f>'EDC minus lijst ULL'!$K$7+'EDC minus lijst ULL'!$L$7</f>
        <v>0.2</v>
      </c>
      <c r="W41" s="614">
        <f t="shared" si="5"/>
        <v>24.917259665595239</v>
      </c>
      <c r="X41" s="615">
        <f t="shared" si="0"/>
        <v>25.88948188781746</v>
      </c>
      <c r="Z41" s="481" t="str">
        <f t="shared" si="1"/>
        <v>VDSL bondingnon-sharednieuw</v>
      </c>
      <c r="AA41" s="830">
        <f t="shared" si="6"/>
        <v>16.787259665595236</v>
      </c>
      <c r="AB41" s="830">
        <f>M41*'Parameters ULL'!$E$10</f>
        <v>35</v>
      </c>
      <c r="AC41" s="481" t="str">
        <f t="shared" si="2"/>
        <v>Best-effort≤2/2Mbps</v>
      </c>
      <c r="AD41" s="616">
        <f t="shared" si="7"/>
        <v>0</v>
      </c>
      <c r="AE41" s="616" t="str">
        <f t="shared" si="3"/>
        <v>7x24 repairtime 8h</v>
      </c>
      <c r="AF41" s="616">
        <f t="shared" si="8"/>
        <v>8.1300000000000008</v>
      </c>
    </row>
    <row r="42" spans="3:32">
      <c r="C42" s="611" t="s">
        <v>1619</v>
      </c>
      <c r="D42" s="611" t="s">
        <v>1620</v>
      </c>
      <c r="E42" s="611" t="s">
        <v>222</v>
      </c>
      <c r="F42" s="612" t="s">
        <v>1621</v>
      </c>
      <c r="G42" s="611" t="s">
        <v>70</v>
      </c>
      <c r="H42" s="611" t="s">
        <v>199</v>
      </c>
      <c r="I42" s="611" t="s">
        <v>1376</v>
      </c>
      <c r="J42" s="611" t="s">
        <v>1622</v>
      </c>
      <c r="K42" s="613">
        <f>('Annex 4 VULA'!$J$32+IF(D42="NLS type 1/2/3",IF(E42="VDSL bonding",'Parameters ULL'!$E$31,'Parameters ULL'!$E$30)))/'Parameters ULL'!$E$10</f>
        <v>0.69444444444444442</v>
      </c>
      <c r="L42" s="224">
        <f>('Annex 4 VULA'!$J$33/'Parameters ULL'!$E$10)</f>
        <v>0.27777777777777779</v>
      </c>
      <c r="M42" s="225">
        <f t="shared" si="4"/>
        <v>0.97222222222222221</v>
      </c>
      <c r="N42" s="224">
        <f>IF(E42="VDSL bonding",'Annex 4 VULA'!$J$25,IF(E42="non-shared",'Annex 4 VULA'!$J$23,'Annex 4 VULA'!$J$24))</f>
        <v>12.36</v>
      </c>
      <c r="O42" s="224">
        <f>IF(G42="Premium",IF(I42="≤2/2Mbps",0,'Annex 4 VULA'!$E$49),0)</f>
        <v>0</v>
      </c>
      <c r="P42" s="224">
        <f>IF(H42="7x24 repairtime 8h",'Annex 4 VULA'!$J$81,0)</f>
        <v>8.1300000000000008</v>
      </c>
      <c r="Q42" s="224">
        <f>collocatie!$J$111</f>
        <v>7.6727608333333336E-3</v>
      </c>
      <c r="R42" s="826">
        <f>('Annex 4 VULA'!$J$88+40*'Annex 4 VULA'!$J$92+40*'Annex 4 VULA'!$J$93+40*'Annex 4 VULA'!$J$94+41*'Annex 4 VULA'!$J$95-'Annex 4 VULA'!$J$97)/'Parameters ULL'!$E$60/'Parameters ULL'!$E$58</f>
        <v>8.3333333333333332E-3</v>
      </c>
      <c r="S42" s="826">
        <f>IF(E42="VDSL bonding",2,1)*'Annex 4 VULA'!$J$27/'Annex 4 VULA'!$L$27/'Parameters ULL'!$E$58</f>
        <v>4.1309523809523814</v>
      </c>
      <c r="T42" s="675">
        <f>'Parameters ULL'!$E$17*('Tarieven W&amp;O'!$G$178+'Tarieven W&amp;O'!$I$178/'Parameters ULL'!$E$58)/1000000</f>
        <v>5.3011904761904758E-3</v>
      </c>
      <c r="U42" s="226">
        <f>'Parameters ULL'!$E$17*'Annex 4 VULA'!$J$65/10000000</f>
        <v>7.4999999999999997E-2</v>
      </c>
      <c r="V42" s="226">
        <f>'EDC minus lijst ULL'!$K$7+'EDC minus lijst ULL'!$L$7</f>
        <v>0.2</v>
      </c>
      <c r="W42" s="614">
        <f t="shared" si="5"/>
        <v>24.917259665595239</v>
      </c>
      <c r="X42" s="615">
        <f t="shared" si="0"/>
        <v>25.88948188781746</v>
      </c>
      <c r="Z42" s="481" t="str">
        <f t="shared" si="1"/>
        <v>VDSL bondingnon-sharednieuw</v>
      </c>
      <c r="AA42" s="830">
        <f t="shared" si="6"/>
        <v>16.787259665595236</v>
      </c>
      <c r="AB42" s="830">
        <f>M42*'Parameters ULL'!$E$10</f>
        <v>35</v>
      </c>
      <c r="AC42" s="481" t="str">
        <f t="shared" si="2"/>
        <v>Premium≤2/2Mbps</v>
      </c>
      <c r="AD42" s="616">
        <f t="shared" si="7"/>
        <v>0</v>
      </c>
      <c r="AE42" s="616" t="str">
        <f t="shared" si="3"/>
        <v>7x24 repairtime 8h</v>
      </c>
      <c r="AF42" s="616">
        <f t="shared" si="8"/>
        <v>8.1300000000000008</v>
      </c>
    </row>
    <row r="43" spans="3:32">
      <c r="C43" s="611" t="s">
        <v>1619</v>
      </c>
      <c r="D43" s="611" t="s">
        <v>1620</v>
      </c>
      <c r="E43" s="611" t="s">
        <v>222</v>
      </c>
      <c r="F43" s="612" t="s">
        <v>1621</v>
      </c>
      <c r="G43" s="611" t="s">
        <v>1374</v>
      </c>
      <c r="H43" s="611" t="s">
        <v>199</v>
      </c>
      <c r="I43" s="611" t="s">
        <v>1375</v>
      </c>
      <c r="J43" s="611" t="s">
        <v>1622</v>
      </c>
      <c r="K43" s="613">
        <f>('Annex 4 VULA'!$J$32+IF(D43="NLS type 1/2/3",IF(E43="VDSL bonding",'Parameters ULL'!$E$31,'Parameters ULL'!$E$30)))/'Parameters ULL'!$E$10</f>
        <v>0.69444444444444442</v>
      </c>
      <c r="L43" s="224">
        <f>('Annex 4 VULA'!$J$33/'Parameters ULL'!$E$10)</f>
        <v>0.27777777777777779</v>
      </c>
      <c r="M43" s="225">
        <f t="shared" si="4"/>
        <v>0.97222222222222221</v>
      </c>
      <c r="N43" s="224">
        <f>IF(E43="VDSL bonding",'Annex 4 VULA'!$J$25,IF(E43="non-shared",'Annex 4 VULA'!$J$23,'Annex 4 VULA'!$J$24))</f>
        <v>12.36</v>
      </c>
      <c r="O43" s="224">
        <f>IF(G43="Premium",IF(I43="≤2/2Mbps",0,'Annex 4 VULA'!$E$49),0)</f>
        <v>0</v>
      </c>
      <c r="P43" s="224">
        <f>IF(H43="7x24 repairtime 8h",'Annex 4 VULA'!$J$81,0)</f>
        <v>8.1300000000000008</v>
      </c>
      <c r="Q43" s="224">
        <f>collocatie!$J$111</f>
        <v>7.6727608333333336E-3</v>
      </c>
      <c r="R43" s="826">
        <f>('Annex 4 VULA'!$J$88+40*'Annex 4 VULA'!$J$92+40*'Annex 4 VULA'!$J$93+40*'Annex 4 VULA'!$J$94+41*'Annex 4 VULA'!$J$95-'Annex 4 VULA'!$J$97)/'Parameters ULL'!$E$60/'Parameters ULL'!$E$58</f>
        <v>8.3333333333333332E-3</v>
      </c>
      <c r="S43" s="826">
        <f>IF(E43="VDSL bonding",2,1)*'Annex 4 VULA'!$J$27/'Annex 4 VULA'!$L$27/'Parameters ULL'!$E$58</f>
        <v>4.1309523809523814</v>
      </c>
      <c r="T43" s="675">
        <f>'Parameters ULL'!$E$17*('Tarieven W&amp;O'!$G$178+'Tarieven W&amp;O'!$I$178/'Parameters ULL'!$E$58)/1000000</f>
        <v>5.3011904761904758E-3</v>
      </c>
      <c r="U43" s="226">
        <f>'Parameters ULL'!$E$17*'Annex 4 VULA'!$J$65/10000000</f>
        <v>7.4999999999999997E-2</v>
      </c>
      <c r="V43" s="226">
        <f>'EDC minus lijst ULL'!$K$7+'EDC minus lijst ULL'!$L$7</f>
        <v>0.2</v>
      </c>
      <c r="W43" s="614">
        <f t="shared" si="5"/>
        <v>24.917259665595239</v>
      </c>
      <c r="X43" s="615">
        <f t="shared" si="0"/>
        <v>25.88948188781746</v>
      </c>
      <c r="Z43" s="481" t="str">
        <f t="shared" si="1"/>
        <v>VDSL bondingnon-sharednieuw</v>
      </c>
      <c r="AA43" s="830">
        <f t="shared" si="6"/>
        <v>16.787259665595236</v>
      </c>
      <c r="AB43" s="830">
        <f>M43*'Parameters ULL'!$E$10</f>
        <v>35</v>
      </c>
      <c r="AC43" s="481" t="str">
        <f t="shared" si="2"/>
        <v>Best-effortOther</v>
      </c>
      <c r="AD43" s="616">
        <f t="shared" si="7"/>
        <v>0</v>
      </c>
      <c r="AE43" s="616" t="str">
        <f t="shared" si="3"/>
        <v>7x24 repairtime 8h</v>
      </c>
      <c r="AF43" s="616">
        <f t="shared" si="8"/>
        <v>8.1300000000000008</v>
      </c>
    </row>
    <row r="44" spans="3:32">
      <c r="C44" s="611" t="s">
        <v>1619</v>
      </c>
      <c r="D44" s="611" t="s">
        <v>1620</v>
      </c>
      <c r="E44" s="611" t="s">
        <v>222</v>
      </c>
      <c r="F44" s="612" t="s">
        <v>1621</v>
      </c>
      <c r="G44" s="611" t="s">
        <v>70</v>
      </c>
      <c r="H44" s="611" t="s">
        <v>199</v>
      </c>
      <c r="I44" s="611" t="s">
        <v>1375</v>
      </c>
      <c r="J44" s="611" t="s">
        <v>1622</v>
      </c>
      <c r="K44" s="613">
        <f>('Annex 4 VULA'!$J$32+IF(D44="NLS type 1/2/3",IF(E44="VDSL bonding",'Parameters ULL'!$E$31,'Parameters ULL'!$E$30)))/'Parameters ULL'!$E$10</f>
        <v>0.69444444444444442</v>
      </c>
      <c r="L44" s="224">
        <f>('Annex 4 VULA'!$J$33/'Parameters ULL'!$E$10)</f>
        <v>0.27777777777777779</v>
      </c>
      <c r="M44" s="225">
        <f t="shared" si="4"/>
        <v>0.97222222222222221</v>
      </c>
      <c r="N44" s="224">
        <f>IF(E44="VDSL bonding",'Annex 4 VULA'!$J$25,IF(E44="non-shared",'Annex 4 VULA'!$J$23,'Annex 4 VULA'!$J$24))</f>
        <v>12.36</v>
      </c>
      <c r="O44" s="224">
        <f>IF(G44="Premium",IF(I44="≤2/2Mbps",0,'Annex 4 VULA'!$E$49),0)</f>
        <v>16.02</v>
      </c>
      <c r="P44" s="224">
        <f>IF(H44="7x24 repairtime 8h",'Annex 4 VULA'!$J$81,0)</f>
        <v>8.1300000000000008</v>
      </c>
      <c r="Q44" s="224">
        <f>collocatie!$J$111</f>
        <v>7.6727608333333336E-3</v>
      </c>
      <c r="R44" s="826">
        <f>('Annex 4 VULA'!$J$88+40*'Annex 4 VULA'!$J$92+40*'Annex 4 VULA'!$J$93+40*'Annex 4 VULA'!$J$94+41*'Annex 4 VULA'!$J$95-'Annex 4 VULA'!$J$97)/'Parameters ULL'!$E$60/'Parameters ULL'!$E$58</f>
        <v>8.3333333333333332E-3</v>
      </c>
      <c r="S44" s="826">
        <f>IF(E44="VDSL bonding",2,1)*'Annex 4 VULA'!$J$27/'Annex 4 VULA'!$L$27/'Parameters ULL'!$E$58</f>
        <v>4.1309523809523814</v>
      </c>
      <c r="T44" s="675">
        <f>'Parameters ULL'!$E$17*('Tarieven W&amp;O'!$G$178+'Tarieven W&amp;O'!$I$178/'Parameters ULL'!$E$58)/1000000</f>
        <v>5.3011904761904758E-3</v>
      </c>
      <c r="U44" s="226">
        <f>'Parameters ULL'!$E$17*'Annex 4 VULA'!$J$65/10000000</f>
        <v>7.4999999999999997E-2</v>
      </c>
      <c r="V44" s="226">
        <f>'EDC minus lijst ULL'!$K$7+'EDC minus lijst ULL'!$L$7</f>
        <v>0.2</v>
      </c>
      <c r="W44" s="614">
        <f t="shared" si="5"/>
        <v>40.937259665595235</v>
      </c>
      <c r="X44" s="615">
        <f t="shared" si="0"/>
        <v>41.909481887817456</v>
      </c>
      <c r="Z44" s="481" t="str">
        <f t="shared" si="1"/>
        <v>VDSL bondingnon-sharednieuw</v>
      </c>
      <c r="AA44" s="830">
        <f t="shared" si="6"/>
        <v>16.787259665595236</v>
      </c>
      <c r="AB44" s="830">
        <f>M44*'Parameters ULL'!$E$10</f>
        <v>35</v>
      </c>
      <c r="AC44" s="481" t="str">
        <f t="shared" si="2"/>
        <v>PremiumOther</v>
      </c>
      <c r="AD44" s="616">
        <f t="shared" si="7"/>
        <v>16.02</v>
      </c>
      <c r="AE44" s="616" t="str">
        <f t="shared" si="3"/>
        <v>7x24 repairtime 8h</v>
      </c>
      <c r="AF44" s="616">
        <f t="shared" si="8"/>
        <v>8.1300000000000008</v>
      </c>
    </row>
    <row r="45" spans="3:32">
      <c r="C45" s="611" t="s">
        <v>1619</v>
      </c>
      <c r="D45" s="611" t="s">
        <v>429</v>
      </c>
      <c r="E45" s="611" t="s">
        <v>222</v>
      </c>
      <c r="F45" s="612" t="s">
        <v>1621</v>
      </c>
      <c r="G45" s="611" t="s">
        <v>1374</v>
      </c>
      <c r="H45" s="611" t="s">
        <v>498</v>
      </c>
      <c r="I45" s="611" t="s">
        <v>1376</v>
      </c>
      <c r="J45" s="611" t="s">
        <v>1622</v>
      </c>
      <c r="K45" s="613">
        <f>('Annex 4 VULA'!$J$32+IF(D45="NLS type 1/2/3",IF(E45="VDSL bonding",'Parameters ULL'!$E$31,'Parameters ULL'!$E$30)))/'Parameters ULL'!$E$10</f>
        <v>0.69444444444444442</v>
      </c>
      <c r="L45" s="224">
        <f>('Annex 4 VULA'!$J$33/'Parameters ULL'!$E$10)</f>
        <v>0.27777777777777779</v>
      </c>
      <c r="M45" s="225">
        <f t="shared" si="4"/>
        <v>0.97222222222222221</v>
      </c>
      <c r="N45" s="224">
        <f>IF(E45="VDSL bonding",'Annex 4 VULA'!$J$25,IF(E45="non-shared",'Annex 4 VULA'!$J$23,'Annex 4 VULA'!$J$24))</f>
        <v>12.36</v>
      </c>
      <c r="O45" s="224">
        <f>IF(G45="Premium",IF(I45="≤2/2Mbps",0,'Annex 4 VULA'!$E$49),0)</f>
        <v>0</v>
      </c>
      <c r="P45" s="224">
        <f>IF(H45="7x24 repairtime 8h",'Annex 4 VULA'!$J$81,0)</f>
        <v>0</v>
      </c>
      <c r="Q45" s="224">
        <f>collocatie!$J$111</f>
        <v>7.6727608333333336E-3</v>
      </c>
      <c r="R45" s="826">
        <f>('Annex 4 VULA'!$J$88+40*'Annex 4 VULA'!$J$92+40*'Annex 4 VULA'!$J$93+40*'Annex 4 VULA'!$J$94+41*'Annex 4 VULA'!$J$95-'Annex 4 VULA'!$J$97)/'Parameters ULL'!$E$60/'Parameters ULL'!$E$58</f>
        <v>8.3333333333333332E-3</v>
      </c>
      <c r="S45" s="826">
        <f>IF(E45="VDSL bonding",2,1)*'Annex 4 VULA'!$J$27/'Annex 4 VULA'!$L$27/'Parameters ULL'!$E$58</f>
        <v>4.1309523809523814</v>
      </c>
      <c r="T45" s="675">
        <f>'Parameters ULL'!$E$17*('Tarieven W&amp;O'!$G$178+'Tarieven W&amp;O'!$I$178/'Parameters ULL'!$E$58)/1000000</f>
        <v>5.3011904761904758E-3</v>
      </c>
      <c r="U45" s="226">
        <f>'Parameters ULL'!$E$17*'Annex 4 VULA'!$J$65/10000000</f>
        <v>7.4999999999999997E-2</v>
      </c>
      <c r="V45" s="226">
        <f>'EDC minus lijst ULL'!$K$7+'EDC minus lijst ULL'!$L$7</f>
        <v>0.2</v>
      </c>
      <c r="W45" s="614">
        <f t="shared" si="5"/>
        <v>16.787259665595236</v>
      </c>
      <c r="X45" s="615">
        <f t="shared" si="0"/>
        <v>17.759481887817458</v>
      </c>
      <c r="Z45" s="481" t="str">
        <f t="shared" si="1"/>
        <v/>
      </c>
      <c r="AA45" s="830">
        <f t="shared" si="6"/>
        <v>16.787259665595236</v>
      </c>
      <c r="AB45" s="830">
        <f>M45*'Parameters ULL'!$E$10</f>
        <v>35</v>
      </c>
      <c r="AC45" s="481" t="str">
        <f t="shared" si="2"/>
        <v>Best-effort≤2/2Mbps</v>
      </c>
      <c r="AD45" s="616">
        <f t="shared" si="7"/>
        <v>0</v>
      </c>
      <c r="AE45" s="616" t="str">
        <f t="shared" si="3"/>
        <v>Standard</v>
      </c>
      <c r="AF45" s="616">
        <f t="shared" si="8"/>
        <v>0</v>
      </c>
    </row>
    <row r="46" spans="3:32">
      <c r="C46" s="611" t="s">
        <v>1619</v>
      </c>
      <c r="D46" s="611" t="s">
        <v>429</v>
      </c>
      <c r="E46" s="611" t="s">
        <v>222</v>
      </c>
      <c r="F46" s="612" t="s">
        <v>1621</v>
      </c>
      <c r="G46" s="611" t="s">
        <v>70</v>
      </c>
      <c r="H46" s="611" t="s">
        <v>498</v>
      </c>
      <c r="I46" s="611" t="s">
        <v>1376</v>
      </c>
      <c r="J46" s="611" t="s">
        <v>1622</v>
      </c>
      <c r="K46" s="613">
        <f>('Annex 4 VULA'!$J$32+IF(D46="NLS type 1/2/3",IF(E46="VDSL bonding",'Parameters ULL'!$E$31,'Parameters ULL'!$E$30)))/'Parameters ULL'!$E$10</f>
        <v>0.69444444444444442</v>
      </c>
      <c r="L46" s="224">
        <f>('Annex 4 VULA'!$J$33/'Parameters ULL'!$E$10)</f>
        <v>0.27777777777777779</v>
      </c>
      <c r="M46" s="225">
        <f t="shared" si="4"/>
        <v>0.97222222222222221</v>
      </c>
      <c r="N46" s="224">
        <f>IF(E46="VDSL bonding",'Annex 4 VULA'!$J$25,IF(E46="non-shared",'Annex 4 VULA'!$J$23,'Annex 4 VULA'!$J$24))</f>
        <v>12.36</v>
      </c>
      <c r="O46" s="224">
        <f>IF(G46="Premium",IF(I46="≤2/2Mbps",0,'Annex 4 VULA'!$E$49),0)</f>
        <v>0</v>
      </c>
      <c r="P46" s="224">
        <f>IF(H46="7x24 repairtime 8h",'Annex 4 VULA'!$J$81,0)</f>
        <v>0</v>
      </c>
      <c r="Q46" s="224">
        <f>collocatie!$J$111</f>
        <v>7.6727608333333336E-3</v>
      </c>
      <c r="R46" s="826">
        <f>('Annex 4 VULA'!$J$88+40*'Annex 4 VULA'!$J$92+40*'Annex 4 VULA'!$J$93+40*'Annex 4 VULA'!$J$94+41*'Annex 4 VULA'!$J$95-'Annex 4 VULA'!$J$97)/'Parameters ULL'!$E$60/'Parameters ULL'!$E$58</f>
        <v>8.3333333333333332E-3</v>
      </c>
      <c r="S46" s="826">
        <f>IF(E46="VDSL bonding",2,1)*'Annex 4 VULA'!$J$27/'Annex 4 VULA'!$L$27/'Parameters ULL'!$E$58</f>
        <v>4.1309523809523814</v>
      </c>
      <c r="T46" s="675">
        <f>'Parameters ULL'!$E$17*('Tarieven W&amp;O'!$G$178+'Tarieven W&amp;O'!$I$178/'Parameters ULL'!$E$58)/1000000</f>
        <v>5.3011904761904758E-3</v>
      </c>
      <c r="U46" s="226">
        <f>'Parameters ULL'!$E$17*'Annex 4 VULA'!$J$65/10000000</f>
        <v>7.4999999999999997E-2</v>
      </c>
      <c r="V46" s="226">
        <f>'EDC minus lijst ULL'!$K$7+'EDC minus lijst ULL'!$L$7</f>
        <v>0.2</v>
      </c>
      <c r="W46" s="614">
        <f t="shared" si="5"/>
        <v>16.787259665595236</v>
      </c>
      <c r="X46" s="615">
        <f t="shared" si="0"/>
        <v>17.759481887817458</v>
      </c>
      <c r="Z46" s="481" t="str">
        <f t="shared" si="1"/>
        <v/>
      </c>
      <c r="AA46" s="830">
        <f t="shared" si="6"/>
        <v>16.787259665595236</v>
      </c>
      <c r="AB46" s="830">
        <f>M46*'Parameters ULL'!$E$10</f>
        <v>35</v>
      </c>
      <c r="AC46" s="481" t="str">
        <f t="shared" si="2"/>
        <v>Premium≤2/2Mbps</v>
      </c>
      <c r="AD46" s="616">
        <f t="shared" si="7"/>
        <v>0</v>
      </c>
      <c r="AE46" s="616" t="str">
        <f t="shared" si="3"/>
        <v>Standard</v>
      </c>
      <c r="AF46" s="616">
        <f t="shared" si="8"/>
        <v>0</v>
      </c>
    </row>
    <row r="47" spans="3:32">
      <c r="C47" s="611" t="s">
        <v>1619</v>
      </c>
      <c r="D47" s="611" t="s">
        <v>429</v>
      </c>
      <c r="E47" s="611" t="s">
        <v>222</v>
      </c>
      <c r="F47" s="612" t="s">
        <v>1621</v>
      </c>
      <c r="G47" s="611" t="s">
        <v>1374</v>
      </c>
      <c r="H47" s="611" t="s">
        <v>498</v>
      </c>
      <c r="I47" s="611" t="s">
        <v>1375</v>
      </c>
      <c r="J47" s="611" t="s">
        <v>1622</v>
      </c>
      <c r="K47" s="613">
        <f>('Annex 4 VULA'!$J$32+IF(D47="NLS type 1/2/3",IF(E47="VDSL bonding",'Parameters ULL'!$E$31,'Parameters ULL'!$E$30)))/'Parameters ULL'!$E$10</f>
        <v>0.69444444444444442</v>
      </c>
      <c r="L47" s="224">
        <f>('Annex 4 VULA'!$J$33/'Parameters ULL'!$E$10)</f>
        <v>0.27777777777777779</v>
      </c>
      <c r="M47" s="225">
        <f t="shared" si="4"/>
        <v>0.97222222222222221</v>
      </c>
      <c r="N47" s="224">
        <f>IF(E47="VDSL bonding",'Annex 4 VULA'!$J$25,IF(E47="non-shared",'Annex 4 VULA'!$J$23,'Annex 4 VULA'!$J$24))</f>
        <v>12.36</v>
      </c>
      <c r="O47" s="224">
        <f>IF(G47="Premium",IF(I47="≤2/2Mbps",0,'Annex 4 VULA'!$E$49),0)</f>
        <v>0</v>
      </c>
      <c r="P47" s="224">
        <f>IF(H47="7x24 repairtime 8h",'Annex 4 VULA'!$J$81,0)</f>
        <v>0</v>
      </c>
      <c r="Q47" s="224">
        <f>collocatie!$J$111</f>
        <v>7.6727608333333336E-3</v>
      </c>
      <c r="R47" s="826">
        <f>('Annex 4 VULA'!$J$88+40*'Annex 4 VULA'!$J$92+40*'Annex 4 VULA'!$J$93+40*'Annex 4 VULA'!$J$94+41*'Annex 4 VULA'!$J$95-'Annex 4 VULA'!$J$97)/'Parameters ULL'!$E$60/'Parameters ULL'!$E$58</f>
        <v>8.3333333333333332E-3</v>
      </c>
      <c r="S47" s="826">
        <f>IF(E47="VDSL bonding",2,1)*'Annex 4 VULA'!$J$27/'Annex 4 VULA'!$L$27/'Parameters ULL'!$E$58</f>
        <v>4.1309523809523814</v>
      </c>
      <c r="T47" s="675">
        <f>'Parameters ULL'!$E$17*('Tarieven W&amp;O'!$G$178+'Tarieven W&amp;O'!$I$178/'Parameters ULL'!$E$58)/1000000</f>
        <v>5.3011904761904758E-3</v>
      </c>
      <c r="U47" s="226">
        <f>'Parameters ULL'!$E$17*'Annex 4 VULA'!$J$65/10000000</f>
        <v>7.4999999999999997E-2</v>
      </c>
      <c r="V47" s="226">
        <f>'EDC minus lijst ULL'!$K$7+'EDC minus lijst ULL'!$L$7</f>
        <v>0.2</v>
      </c>
      <c r="W47" s="614">
        <f t="shared" si="5"/>
        <v>16.787259665595236</v>
      </c>
      <c r="X47" s="615">
        <f t="shared" si="0"/>
        <v>17.759481887817458</v>
      </c>
      <c r="Z47" s="481" t="str">
        <f t="shared" si="1"/>
        <v/>
      </c>
      <c r="AA47" s="830">
        <f t="shared" si="6"/>
        <v>16.787259665595236</v>
      </c>
      <c r="AB47" s="830">
        <f>M47*'Parameters ULL'!$E$10</f>
        <v>35</v>
      </c>
      <c r="AC47" s="481" t="str">
        <f t="shared" si="2"/>
        <v>Best-effortOther</v>
      </c>
      <c r="AD47" s="616">
        <f t="shared" si="7"/>
        <v>0</v>
      </c>
      <c r="AE47" s="616" t="str">
        <f t="shared" si="3"/>
        <v>Standard</v>
      </c>
      <c r="AF47" s="616">
        <f t="shared" si="8"/>
        <v>0</v>
      </c>
    </row>
    <row r="48" spans="3:32">
      <c r="C48" s="611" t="s">
        <v>1619</v>
      </c>
      <c r="D48" s="611" t="s">
        <v>429</v>
      </c>
      <c r="E48" s="611" t="s">
        <v>222</v>
      </c>
      <c r="F48" s="612" t="s">
        <v>1621</v>
      </c>
      <c r="G48" s="611" t="s">
        <v>70</v>
      </c>
      <c r="H48" s="611" t="s">
        <v>498</v>
      </c>
      <c r="I48" s="611" t="s">
        <v>1375</v>
      </c>
      <c r="J48" s="611" t="s">
        <v>1622</v>
      </c>
      <c r="K48" s="613">
        <f>('Annex 4 VULA'!$J$32+IF(D48="NLS type 1/2/3",IF(E48="VDSL bonding",'Parameters ULL'!$E$31,'Parameters ULL'!$E$30)))/'Parameters ULL'!$E$10</f>
        <v>0.69444444444444442</v>
      </c>
      <c r="L48" s="224">
        <f>('Annex 4 VULA'!$J$33/'Parameters ULL'!$E$10)</f>
        <v>0.27777777777777779</v>
      </c>
      <c r="M48" s="225">
        <f t="shared" si="4"/>
        <v>0.97222222222222221</v>
      </c>
      <c r="N48" s="224">
        <f>IF(E48="VDSL bonding",'Annex 4 VULA'!$J$25,IF(E48="non-shared",'Annex 4 VULA'!$J$23,'Annex 4 VULA'!$J$24))</f>
        <v>12.36</v>
      </c>
      <c r="O48" s="224">
        <f>IF(G48="Premium",IF(I48="≤2/2Mbps",0,'Annex 4 VULA'!$E$49),0)</f>
        <v>16.02</v>
      </c>
      <c r="P48" s="224">
        <f>IF(H48="7x24 repairtime 8h",'Annex 4 VULA'!$J$81,0)</f>
        <v>0</v>
      </c>
      <c r="Q48" s="224">
        <f>collocatie!$J$111</f>
        <v>7.6727608333333336E-3</v>
      </c>
      <c r="R48" s="826">
        <f>('Annex 4 VULA'!$J$88+40*'Annex 4 VULA'!$J$92+40*'Annex 4 VULA'!$J$93+40*'Annex 4 VULA'!$J$94+41*'Annex 4 VULA'!$J$95-'Annex 4 VULA'!$J$97)/'Parameters ULL'!$E$60/'Parameters ULL'!$E$58</f>
        <v>8.3333333333333332E-3</v>
      </c>
      <c r="S48" s="826">
        <f>IF(E48="VDSL bonding",2,1)*'Annex 4 VULA'!$J$27/'Annex 4 VULA'!$L$27/'Parameters ULL'!$E$58</f>
        <v>4.1309523809523814</v>
      </c>
      <c r="T48" s="675">
        <f>'Parameters ULL'!$E$17*('Tarieven W&amp;O'!$G$178+'Tarieven W&amp;O'!$I$178/'Parameters ULL'!$E$58)/1000000</f>
        <v>5.3011904761904758E-3</v>
      </c>
      <c r="U48" s="226">
        <f>'Parameters ULL'!$E$17*'Annex 4 VULA'!$J$65/10000000</f>
        <v>7.4999999999999997E-2</v>
      </c>
      <c r="V48" s="226">
        <f>'EDC minus lijst ULL'!$K$7+'EDC minus lijst ULL'!$L$7</f>
        <v>0.2</v>
      </c>
      <c r="W48" s="614">
        <f t="shared" si="5"/>
        <v>32.80725966559524</v>
      </c>
      <c r="X48" s="615">
        <f t="shared" si="0"/>
        <v>33.779481887817461</v>
      </c>
      <c r="Z48" s="481" t="str">
        <f t="shared" si="1"/>
        <v/>
      </c>
      <c r="AA48" s="830">
        <f t="shared" si="6"/>
        <v>16.78725966559524</v>
      </c>
      <c r="AB48" s="830">
        <f>M48*'Parameters ULL'!$E$10</f>
        <v>35</v>
      </c>
      <c r="AC48" s="481" t="str">
        <f t="shared" si="2"/>
        <v>PremiumOther</v>
      </c>
      <c r="AD48" s="616">
        <f t="shared" si="7"/>
        <v>16.02</v>
      </c>
      <c r="AE48" s="616" t="str">
        <f t="shared" si="3"/>
        <v>Standard</v>
      </c>
      <c r="AF48" s="616">
        <f t="shared" si="8"/>
        <v>0</v>
      </c>
    </row>
    <row r="49" spans="3:32">
      <c r="C49" s="611" t="s">
        <v>1619</v>
      </c>
      <c r="D49" s="611" t="s">
        <v>429</v>
      </c>
      <c r="E49" s="611" t="s">
        <v>222</v>
      </c>
      <c r="F49" s="612" t="s">
        <v>1621</v>
      </c>
      <c r="G49" s="611" t="s">
        <v>1374</v>
      </c>
      <c r="H49" s="611" t="s">
        <v>199</v>
      </c>
      <c r="I49" s="611" t="s">
        <v>1376</v>
      </c>
      <c r="J49" s="611" t="s">
        <v>1622</v>
      </c>
      <c r="K49" s="613">
        <f>('Annex 4 VULA'!$J$32+IF(D49="NLS type 1/2/3",IF(E49="VDSL bonding",'Parameters ULL'!$E$31,'Parameters ULL'!$E$30)))/'Parameters ULL'!$E$10</f>
        <v>0.69444444444444442</v>
      </c>
      <c r="L49" s="224">
        <f>('Annex 4 VULA'!$J$33/'Parameters ULL'!$E$10)</f>
        <v>0.27777777777777779</v>
      </c>
      <c r="M49" s="225">
        <f t="shared" si="4"/>
        <v>0.97222222222222221</v>
      </c>
      <c r="N49" s="224">
        <f>IF(E49="VDSL bonding",'Annex 4 VULA'!$J$25,IF(E49="non-shared",'Annex 4 VULA'!$J$23,'Annex 4 VULA'!$J$24))</f>
        <v>12.36</v>
      </c>
      <c r="O49" s="224">
        <f>IF(G49="Premium",IF(I49="≤2/2Mbps",0,'Annex 4 VULA'!$E$49),0)</f>
        <v>0</v>
      </c>
      <c r="P49" s="224">
        <f>IF(H49="7x24 repairtime 8h",'Annex 4 VULA'!$J$81,0)</f>
        <v>8.1300000000000008</v>
      </c>
      <c r="Q49" s="224">
        <f>collocatie!$J$111</f>
        <v>7.6727608333333336E-3</v>
      </c>
      <c r="R49" s="826">
        <f>('Annex 4 VULA'!$J$88+40*'Annex 4 VULA'!$J$92+40*'Annex 4 VULA'!$J$93+40*'Annex 4 VULA'!$J$94+41*'Annex 4 VULA'!$J$95-'Annex 4 VULA'!$J$97)/'Parameters ULL'!$E$60/'Parameters ULL'!$E$58</f>
        <v>8.3333333333333332E-3</v>
      </c>
      <c r="S49" s="826">
        <f>IF(E49="VDSL bonding",2,1)*'Annex 4 VULA'!$J$27/'Annex 4 VULA'!$L$27/'Parameters ULL'!$E$58</f>
        <v>4.1309523809523814</v>
      </c>
      <c r="T49" s="675">
        <f>'Parameters ULL'!$E$17*('Tarieven W&amp;O'!$G$178+'Tarieven W&amp;O'!$I$178/'Parameters ULL'!$E$58)/1000000</f>
        <v>5.3011904761904758E-3</v>
      </c>
      <c r="U49" s="226">
        <f>'Parameters ULL'!$E$17*'Annex 4 VULA'!$J$65/10000000</f>
        <v>7.4999999999999997E-2</v>
      </c>
      <c r="V49" s="226">
        <f>'EDC minus lijst ULL'!$K$7+'EDC minus lijst ULL'!$L$7</f>
        <v>0.2</v>
      </c>
      <c r="W49" s="614">
        <f t="shared" si="5"/>
        <v>24.917259665595239</v>
      </c>
      <c r="X49" s="615">
        <f t="shared" si="0"/>
        <v>25.88948188781746</v>
      </c>
      <c r="Z49" s="481" t="str">
        <f t="shared" si="1"/>
        <v/>
      </c>
      <c r="AA49" s="830">
        <f t="shared" si="6"/>
        <v>16.787259665595236</v>
      </c>
      <c r="AB49" s="830">
        <f>M49*'Parameters ULL'!$E$10</f>
        <v>35</v>
      </c>
      <c r="AC49" s="481" t="str">
        <f t="shared" si="2"/>
        <v>Best-effort≤2/2Mbps</v>
      </c>
      <c r="AD49" s="616">
        <f t="shared" si="7"/>
        <v>0</v>
      </c>
      <c r="AE49" s="616" t="str">
        <f t="shared" si="3"/>
        <v>7x24 repairtime 8h</v>
      </c>
      <c r="AF49" s="616">
        <f t="shared" si="8"/>
        <v>8.1300000000000008</v>
      </c>
    </row>
    <row r="50" spans="3:32">
      <c r="C50" s="611" t="s">
        <v>1619</v>
      </c>
      <c r="D50" s="611" t="s">
        <v>429</v>
      </c>
      <c r="E50" s="611" t="s">
        <v>222</v>
      </c>
      <c r="F50" s="612" t="s">
        <v>1621</v>
      </c>
      <c r="G50" s="611" t="s">
        <v>70</v>
      </c>
      <c r="H50" s="611" t="s">
        <v>199</v>
      </c>
      <c r="I50" s="611" t="s">
        <v>1376</v>
      </c>
      <c r="J50" s="611" t="s">
        <v>1622</v>
      </c>
      <c r="K50" s="613">
        <f>('Annex 4 VULA'!$J$32+IF(D50="NLS type 1/2/3",IF(E50="VDSL bonding",'Parameters ULL'!$E$31,'Parameters ULL'!$E$30)))/'Parameters ULL'!$E$10</f>
        <v>0.69444444444444442</v>
      </c>
      <c r="L50" s="224">
        <f>('Annex 4 VULA'!$J$33/'Parameters ULL'!$E$10)</f>
        <v>0.27777777777777779</v>
      </c>
      <c r="M50" s="225">
        <f t="shared" si="4"/>
        <v>0.97222222222222221</v>
      </c>
      <c r="N50" s="224">
        <f>IF(E50="VDSL bonding",'Annex 4 VULA'!$J$25,IF(E50="non-shared",'Annex 4 VULA'!$J$23,'Annex 4 VULA'!$J$24))</f>
        <v>12.36</v>
      </c>
      <c r="O50" s="224">
        <f>IF(G50="Premium",IF(I50="≤2/2Mbps",0,'Annex 4 VULA'!$E$49),0)</f>
        <v>0</v>
      </c>
      <c r="P50" s="224">
        <f>IF(H50="7x24 repairtime 8h",'Annex 4 VULA'!$J$81,0)</f>
        <v>8.1300000000000008</v>
      </c>
      <c r="Q50" s="224">
        <f>collocatie!$J$111</f>
        <v>7.6727608333333336E-3</v>
      </c>
      <c r="R50" s="826">
        <f>('Annex 4 VULA'!$J$88+40*'Annex 4 VULA'!$J$92+40*'Annex 4 VULA'!$J$93+40*'Annex 4 VULA'!$J$94+41*'Annex 4 VULA'!$J$95-'Annex 4 VULA'!$J$97)/'Parameters ULL'!$E$60/'Parameters ULL'!$E$58</f>
        <v>8.3333333333333332E-3</v>
      </c>
      <c r="S50" s="826">
        <f>IF(E50="VDSL bonding",2,1)*'Annex 4 VULA'!$J$27/'Annex 4 VULA'!$L$27/'Parameters ULL'!$E$58</f>
        <v>4.1309523809523814</v>
      </c>
      <c r="T50" s="675">
        <f>'Parameters ULL'!$E$17*('Tarieven W&amp;O'!$G$178+'Tarieven W&amp;O'!$I$178/'Parameters ULL'!$E$58)/1000000</f>
        <v>5.3011904761904758E-3</v>
      </c>
      <c r="U50" s="226">
        <f>'Parameters ULL'!$E$17*'Annex 4 VULA'!$J$65/10000000</f>
        <v>7.4999999999999997E-2</v>
      </c>
      <c r="V50" s="226">
        <f>'EDC minus lijst ULL'!$K$7+'EDC minus lijst ULL'!$L$7</f>
        <v>0.2</v>
      </c>
      <c r="W50" s="614">
        <f t="shared" si="5"/>
        <v>24.917259665595239</v>
      </c>
      <c r="X50" s="615">
        <f t="shared" si="0"/>
        <v>25.88948188781746</v>
      </c>
      <c r="Z50" s="481" t="str">
        <f t="shared" si="1"/>
        <v/>
      </c>
      <c r="AA50" s="830">
        <f t="shared" si="6"/>
        <v>16.787259665595236</v>
      </c>
      <c r="AB50" s="830">
        <f>M50*'Parameters ULL'!$E$10</f>
        <v>35</v>
      </c>
      <c r="AC50" s="481" t="str">
        <f t="shared" si="2"/>
        <v>Premium≤2/2Mbps</v>
      </c>
      <c r="AD50" s="616">
        <f t="shared" si="7"/>
        <v>0</v>
      </c>
      <c r="AE50" s="616" t="str">
        <f t="shared" si="3"/>
        <v>7x24 repairtime 8h</v>
      </c>
      <c r="AF50" s="616">
        <f t="shared" si="8"/>
        <v>8.1300000000000008</v>
      </c>
    </row>
    <row r="51" spans="3:32">
      <c r="C51" s="611" t="s">
        <v>1619</v>
      </c>
      <c r="D51" s="611" t="s">
        <v>429</v>
      </c>
      <c r="E51" s="611" t="s">
        <v>222</v>
      </c>
      <c r="F51" s="612" t="s">
        <v>1621</v>
      </c>
      <c r="G51" s="611" t="s">
        <v>1374</v>
      </c>
      <c r="H51" s="611" t="s">
        <v>199</v>
      </c>
      <c r="I51" s="611" t="s">
        <v>1375</v>
      </c>
      <c r="J51" s="611" t="s">
        <v>1622</v>
      </c>
      <c r="K51" s="613">
        <f>('Annex 4 VULA'!$J$32+IF(D51="NLS type 1/2/3",IF(E51="VDSL bonding",'Parameters ULL'!$E$31,'Parameters ULL'!$E$30)))/'Parameters ULL'!$E$10</f>
        <v>0.69444444444444442</v>
      </c>
      <c r="L51" s="224">
        <f>('Annex 4 VULA'!$J$33/'Parameters ULL'!$E$10)</f>
        <v>0.27777777777777779</v>
      </c>
      <c r="M51" s="225">
        <f t="shared" si="4"/>
        <v>0.97222222222222221</v>
      </c>
      <c r="N51" s="224">
        <f>IF(E51="VDSL bonding",'Annex 4 VULA'!$J$25,IF(E51="non-shared",'Annex 4 VULA'!$J$23,'Annex 4 VULA'!$J$24))</f>
        <v>12.36</v>
      </c>
      <c r="O51" s="224">
        <f>IF(G51="Premium",IF(I51="≤2/2Mbps",0,'Annex 4 VULA'!$E$49),0)</f>
        <v>0</v>
      </c>
      <c r="P51" s="224">
        <f>IF(H51="7x24 repairtime 8h",'Annex 4 VULA'!$J$81,0)</f>
        <v>8.1300000000000008</v>
      </c>
      <c r="Q51" s="224">
        <f>collocatie!$J$111</f>
        <v>7.6727608333333336E-3</v>
      </c>
      <c r="R51" s="826">
        <f>('Annex 4 VULA'!$J$88+40*'Annex 4 VULA'!$J$92+40*'Annex 4 VULA'!$J$93+40*'Annex 4 VULA'!$J$94+41*'Annex 4 VULA'!$J$95-'Annex 4 VULA'!$J$97)/'Parameters ULL'!$E$60/'Parameters ULL'!$E$58</f>
        <v>8.3333333333333332E-3</v>
      </c>
      <c r="S51" s="826">
        <f>IF(E51="VDSL bonding",2,1)*'Annex 4 VULA'!$J$27/'Annex 4 VULA'!$L$27/'Parameters ULL'!$E$58</f>
        <v>4.1309523809523814</v>
      </c>
      <c r="T51" s="675">
        <f>'Parameters ULL'!$E$17*('Tarieven W&amp;O'!$G$178+'Tarieven W&amp;O'!$I$178/'Parameters ULL'!$E$58)/1000000</f>
        <v>5.3011904761904758E-3</v>
      </c>
      <c r="U51" s="226">
        <f>'Parameters ULL'!$E$17*'Annex 4 VULA'!$J$65/10000000</f>
        <v>7.4999999999999997E-2</v>
      </c>
      <c r="V51" s="226">
        <f>'EDC minus lijst ULL'!$K$7+'EDC minus lijst ULL'!$L$7</f>
        <v>0.2</v>
      </c>
      <c r="W51" s="614">
        <f t="shared" si="5"/>
        <v>24.917259665595239</v>
      </c>
      <c r="X51" s="615">
        <f t="shared" si="0"/>
        <v>25.88948188781746</v>
      </c>
      <c r="Z51" s="481" t="str">
        <f t="shared" si="1"/>
        <v/>
      </c>
      <c r="AA51" s="830">
        <f t="shared" si="6"/>
        <v>16.787259665595236</v>
      </c>
      <c r="AB51" s="830">
        <f>M51*'Parameters ULL'!$E$10</f>
        <v>35</v>
      </c>
      <c r="AC51" s="481" t="str">
        <f t="shared" si="2"/>
        <v>Best-effortOther</v>
      </c>
      <c r="AD51" s="616">
        <f t="shared" si="7"/>
        <v>0</v>
      </c>
      <c r="AE51" s="616" t="str">
        <f t="shared" si="3"/>
        <v>7x24 repairtime 8h</v>
      </c>
      <c r="AF51" s="616">
        <f t="shared" si="8"/>
        <v>8.1300000000000008</v>
      </c>
    </row>
    <row r="52" spans="3:32">
      <c r="C52" s="611" t="s">
        <v>1619</v>
      </c>
      <c r="D52" s="611" t="s">
        <v>429</v>
      </c>
      <c r="E52" s="611" t="s">
        <v>222</v>
      </c>
      <c r="F52" s="612" t="s">
        <v>1621</v>
      </c>
      <c r="G52" s="611" t="s">
        <v>70</v>
      </c>
      <c r="H52" s="611" t="s">
        <v>199</v>
      </c>
      <c r="I52" s="611" t="s">
        <v>1375</v>
      </c>
      <c r="J52" s="611" t="s">
        <v>1622</v>
      </c>
      <c r="K52" s="613">
        <f>('Annex 4 VULA'!$J$32+IF(D52="NLS type 1/2/3",IF(E52="VDSL bonding",'Parameters ULL'!$E$31,'Parameters ULL'!$E$30)))/'Parameters ULL'!$E$10</f>
        <v>0.69444444444444442</v>
      </c>
      <c r="L52" s="224">
        <f>('Annex 4 VULA'!$J$33/'Parameters ULL'!$E$10)</f>
        <v>0.27777777777777779</v>
      </c>
      <c r="M52" s="225">
        <f t="shared" si="4"/>
        <v>0.97222222222222221</v>
      </c>
      <c r="N52" s="224">
        <f>IF(E52="VDSL bonding",'Annex 4 VULA'!$J$25,IF(E52="non-shared",'Annex 4 VULA'!$J$23,'Annex 4 VULA'!$J$24))</f>
        <v>12.36</v>
      </c>
      <c r="O52" s="224">
        <f>IF(G52="Premium",IF(I52="≤2/2Mbps",0,'Annex 4 VULA'!$E$49),0)</f>
        <v>16.02</v>
      </c>
      <c r="P52" s="224">
        <f>IF(H52="7x24 repairtime 8h",'Annex 4 VULA'!$J$81,0)</f>
        <v>8.1300000000000008</v>
      </c>
      <c r="Q52" s="224">
        <f>collocatie!$J$111</f>
        <v>7.6727608333333336E-3</v>
      </c>
      <c r="R52" s="826">
        <f>('Annex 4 VULA'!$J$88+40*'Annex 4 VULA'!$J$92+40*'Annex 4 VULA'!$J$93+40*'Annex 4 VULA'!$J$94+41*'Annex 4 VULA'!$J$95-'Annex 4 VULA'!$J$97)/'Parameters ULL'!$E$60/'Parameters ULL'!$E$58</f>
        <v>8.3333333333333332E-3</v>
      </c>
      <c r="S52" s="826">
        <f>IF(E52="VDSL bonding",2,1)*'Annex 4 VULA'!$J$27/'Annex 4 VULA'!$L$27/'Parameters ULL'!$E$58</f>
        <v>4.1309523809523814</v>
      </c>
      <c r="T52" s="675">
        <f>'Parameters ULL'!$E$17*('Tarieven W&amp;O'!$G$178+'Tarieven W&amp;O'!$I$178/'Parameters ULL'!$E$58)/1000000</f>
        <v>5.3011904761904758E-3</v>
      </c>
      <c r="U52" s="226">
        <f>'Parameters ULL'!$E$17*'Annex 4 VULA'!$J$65/10000000</f>
        <v>7.4999999999999997E-2</v>
      </c>
      <c r="V52" s="226">
        <f>'EDC minus lijst ULL'!$K$7+'EDC minus lijst ULL'!$L$7</f>
        <v>0.2</v>
      </c>
      <c r="W52" s="614">
        <f t="shared" si="5"/>
        <v>40.937259665595235</v>
      </c>
      <c r="X52" s="615">
        <f t="shared" si="0"/>
        <v>41.909481887817456</v>
      </c>
      <c r="Z52" s="481" t="str">
        <f t="shared" si="1"/>
        <v/>
      </c>
      <c r="AA52" s="830">
        <f t="shared" si="6"/>
        <v>16.787259665595236</v>
      </c>
      <c r="AB52" s="830">
        <f>M52*'Parameters ULL'!$E$10</f>
        <v>35</v>
      </c>
      <c r="AC52" s="481" t="str">
        <f t="shared" si="2"/>
        <v>PremiumOther</v>
      </c>
      <c r="AD52" s="616">
        <f t="shared" si="7"/>
        <v>16.02</v>
      </c>
      <c r="AE52" s="616" t="str">
        <f t="shared" si="3"/>
        <v>7x24 repairtime 8h</v>
      </c>
      <c r="AF52" s="616">
        <f t="shared" si="8"/>
        <v>8.1300000000000008</v>
      </c>
    </row>
    <row r="53" spans="3:32">
      <c r="R53" s="827"/>
      <c r="S53" s="827"/>
    </row>
    <row r="54" spans="3:32"/>
    <row r="55" spans="3:32"/>
    <row r="56" spans="3:32"/>
    <row r="57" spans="3:32"/>
    <row r="58" spans="3:32"/>
    <row r="59" spans="3:32"/>
    <row r="60" spans="3:32"/>
    <row r="61" spans="3:32"/>
    <row r="62" spans="3:32"/>
    <row r="63" spans="3:32"/>
    <row r="64" spans="3:32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</sheetData>
  <autoFilter ref="C12:X52"/>
  <dataConsolidate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9CC00"/>
  </sheetPr>
  <dimension ref="A1:Z211"/>
  <sheetViews>
    <sheetView topLeftCell="N1" workbookViewId="0">
      <selection activeCell="T8" sqref="T8"/>
    </sheetView>
  </sheetViews>
  <sheetFormatPr defaultColWidth="10.28515625" defaultRowHeight="12.75" zeroHeight="1"/>
  <cols>
    <col min="1" max="1" width="3.7109375" style="481" customWidth="1"/>
    <col min="2" max="2" width="3.5703125" style="481" customWidth="1"/>
    <col min="3" max="3" width="26.140625" style="481" customWidth="1"/>
    <col min="4" max="4" width="20.42578125" style="481" customWidth="1"/>
    <col min="5" max="5" width="13.42578125" style="481" customWidth="1"/>
    <col min="6" max="6" width="19.5703125" style="481" customWidth="1"/>
    <col min="7" max="7" width="30.28515625" style="481" customWidth="1"/>
    <col min="8" max="9" width="14.28515625" style="481" customWidth="1"/>
    <col min="10" max="11" width="15.5703125" style="481" bestFit="1" customWidth="1"/>
    <col min="12" max="16" width="15.5703125" style="481" customWidth="1"/>
    <col min="17" max="19" width="22.28515625" style="481" customWidth="1"/>
    <col min="20" max="20" width="15.5703125" style="481" bestFit="1" customWidth="1"/>
    <col min="21" max="21" width="10.28515625" style="481"/>
    <col min="22" max="22" width="25.7109375" style="481" customWidth="1"/>
    <col min="23" max="16384" width="10.28515625" style="481"/>
  </cols>
  <sheetData>
    <row r="1" spans="1:26" s="473" customFormat="1"/>
    <row r="2" spans="1:26" s="473" customFormat="1">
      <c r="C2" s="475" t="str">
        <f ca="1">UPPER(MID(CELL("filename",A1),FIND("[",CELL("filename",A1))+1,FIND("]",CELL("filename",A1))-FIND("[",CELL("filename",A1))-5))</f>
        <v>LPM MB15 - EPACITY DSL 20170201 OPENBAAR.</v>
      </c>
      <c r="D2" s="475"/>
      <c r="E2" s="475"/>
      <c r="F2" s="475"/>
      <c r="G2" s="475"/>
      <c r="H2" s="475"/>
      <c r="I2" s="475"/>
    </row>
    <row r="3" spans="1:26" s="473" customFormat="1">
      <c r="C3" s="473" t="str">
        <f ca="1">UPPER(MID(CELL("filename",A2),FIND("]",CELL("filename",A2))+1,LEN(CELL("filename",A2))))</f>
        <v>INKOOP MDF SDSL</v>
      </c>
    </row>
    <row r="4" spans="1:26" s="476" customFormat="1"/>
    <row r="5" spans="1:26" s="581" customFormat="1">
      <c r="A5" s="481"/>
      <c r="B5" s="481"/>
      <c r="C5" s="579"/>
      <c r="D5" s="579"/>
      <c r="E5" s="579"/>
      <c r="F5" s="579"/>
      <c r="G5" s="580"/>
      <c r="H5" s="580"/>
      <c r="I5" s="580"/>
    </row>
    <row r="6" spans="1:26" s="581" customFormat="1" ht="13.5" thickBot="1">
      <c r="A6" s="481"/>
      <c r="B6" s="481"/>
      <c r="C6" s="579"/>
      <c r="D6" s="579"/>
      <c r="E6" s="579"/>
      <c r="F6" s="579"/>
      <c r="G6" s="580"/>
      <c r="H6" s="580"/>
      <c r="I6" s="580"/>
    </row>
    <row r="7" spans="1:26" s="581" customFormat="1">
      <c r="A7" s="481"/>
      <c r="B7" s="481"/>
      <c r="C7" s="579"/>
      <c r="D7" s="579"/>
      <c r="E7" s="579" t="s">
        <v>1597</v>
      </c>
      <c r="F7" s="582">
        <f>COUNTA($C$13:$C$4611)</f>
        <v>6</v>
      </c>
      <c r="G7" s="580"/>
      <c r="H7" s="580"/>
      <c r="I7" s="580"/>
      <c r="J7" s="583"/>
      <c r="K7" s="584"/>
      <c r="L7" s="585"/>
      <c r="M7" s="583"/>
      <c r="N7" s="584"/>
      <c r="O7" s="584"/>
      <c r="P7" s="584"/>
      <c r="Q7" s="584"/>
      <c r="R7" s="584"/>
      <c r="S7" s="585"/>
      <c r="T7" s="586"/>
    </row>
    <row r="8" spans="1:26" s="581" customFormat="1">
      <c r="A8" s="481"/>
      <c r="B8" s="481"/>
      <c r="C8" s="579"/>
      <c r="D8" s="579"/>
      <c r="G8" s="580"/>
      <c r="H8" s="580"/>
      <c r="I8" s="580"/>
      <c r="J8" s="587"/>
      <c r="K8" s="588"/>
      <c r="L8" s="589"/>
      <c r="M8" s="587"/>
      <c r="N8" s="588"/>
      <c r="O8" s="588"/>
      <c r="P8" s="588"/>
      <c r="Q8" s="588"/>
      <c r="R8" s="588"/>
      <c r="S8" s="589"/>
      <c r="T8" s="590"/>
    </row>
    <row r="9" spans="1:26" s="581" customFormat="1">
      <c r="A9" s="481"/>
      <c r="B9" s="591"/>
      <c r="C9" s="592"/>
      <c r="D9" s="592"/>
      <c r="E9" s="592"/>
      <c r="F9" s="592"/>
      <c r="G9" s="592"/>
      <c r="H9" s="592"/>
      <c r="I9" s="592"/>
      <c r="J9" s="593" t="s">
        <v>1598</v>
      </c>
      <c r="K9" s="617" t="s">
        <v>1598</v>
      </c>
      <c r="L9" s="618" t="s">
        <v>1598</v>
      </c>
      <c r="M9" s="593" t="s">
        <v>1599</v>
      </c>
      <c r="N9" s="617" t="s">
        <v>1599</v>
      </c>
      <c r="O9" s="617" t="s">
        <v>1599</v>
      </c>
      <c r="P9" s="617" t="s">
        <v>1599</v>
      </c>
      <c r="Q9" s="591" t="s">
        <v>360</v>
      </c>
      <c r="R9" s="591" t="s">
        <v>360</v>
      </c>
      <c r="S9" s="594" t="s">
        <v>1599</v>
      </c>
      <c r="T9" s="595" t="s">
        <v>1600</v>
      </c>
    </row>
    <row r="10" spans="1:26" s="581" customFormat="1" ht="38.25">
      <c r="A10" s="481"/>
      <c r="B10" s="591"/>
      <c r="C10" s="596" t="s">
        <v>422</v>
      </c>
      <c r="D10" s="596" t="s">
        <v>423</v>
      </c>
      <c r="E10" s="596" t="s">
        <v>424</v>
      </c>
      <c r="F10" s="596" t="s">
        <v>425</v>
      </c>
      <c r="G10" s="596" t="s">
        <v>1190</v>
      </c>
      <c r="H10" s="596"/>
      <c r="I10" s="619" t="s">
        <v>1601</v>
      </c>
      <c r="J10" s="620" t="s">
        <v>1602</v>
      </c>
      <c r="K10" s="621" t="s">
        <v>1603</v>
      </c>
      <c r="L10" s="622" t="s">
        <v>1606</v>
      </c>
      <c r="M10" s="597" t="s">
        <v>1623</v>
      </c>
      <c r="N10" s="621" t="s">
        <v>1190</v>
      </c>
      <c r="O10" s="621" t="s">
        <v>427</v>
      </c>
      <c r="P10" s="621" t="s">
        <v>1624</v>
      </c>
      <c r="Q10" s="598" t="s">
        <v>1625</v>
      </c>
      <c r="R10" s="598" t="s">
        <v>1611</v>
      </c>
      <c r="S10" s="600" t="s">
        <v>1612</v>
      </c>
      <c r="T10" s="603" t="s">
        <v>1613</v>
      </c>
      <c r="V10" s="581" t="s">
        <v>501</v>
      </c>
      <c r="W10" s="828" t="s">
        <v>1626</v>
      </c>
      <c r="X10" s="828" t="s">
        <v>1626</v>
      </c>
      <c r="Y10" s="604" t="s">
        <v>1617</v>
      </c>
      <c r="Z10" s="604" t="s">
        <v>1627</v>
      </c>
    </row>
    <row r="11" spans="1:26" s="581" customFormat="1">
      <c r="A11" s="481"/>
      <c r="B11" s="481"/>
      <c r="C11" s="481"/>
      <c r="D11" s="481"/>
      <c r="E11" s="481"/>
      <c r="F11" s="481"/>
      <c r="G11" s="481"/>
      <c r="H11" s="481"/>
      <c r="I11" s="481"/>
      <c r="J11" s="623"/>
      <c r="K11" s="222"/>
      <c r="L11" s="223"/>
      <c r="M11" s="221"/>
      <c r="N11" s="222"/>
      <c r="O11" s="222"/>
      <c r="P11" s="222"/>
      <c r="Q11" s="222"/>
      <c r="R11" s="222"/>
      <c r="S11" s="223"/>
      <c r="T11" s="624"/>
      <c r="W11" s="829" t="s">
        <v>145</v>
      </c>
      <c r="X11" s="829" t="s">
        <v>146</v>
      </c>
    </row>
    <row r="12" spans="1:26" s="581" customFormat="1" ht="15.75">
      <c r="A12" s="481"/>
      <c r="B12" s="481"/>
      <c r="C12" s="610" t="s">
        <v>1628</v>
      </c>
      <c r="D12" s="610"/>
      <c r="E12" s="610"/>
      <c r="F12" s="610"/>
      <c r="G12" s="481"/>
      <c r="H12" s="481"/>
      <c r="I12" s="481"/>
      <c r="J12" s="623"/>
      <c r="K12" s="222"/>
      <c r="L12" s="223"/>
      <c r="M12" s="221"/>
      <c r="N12" s="222"/>
      <c r="O12" s="222"/>
      <c r="P12" s="222"/>
      <c r="Q12" s="222"/>
      <c r="R12" s="222"/>
      <c r="S12" s="223"/>
      <c r="T12" s="624"/>
      <c r="W12" s="831"/>
      <c r="X12" s="831"/>
    </row>
    <row r="13" spans="1:26">
      <c r="C13" s="611" t="s">
        <v>1628</v>
      </c>
      <c r="D13" s="611" t="s">
        <v>1620</v>
      </c>
      <c r="E13" s="611" t="s">
        <v>224</v>
      </c>
      <c r="F13" s="612" t="s">
        <v>1621</v>
      </c>
      <c r="G13" s="611" t="s">
        <v>498</v>
      </c>
      <c r="H13" s="611"/>
      <c r="I13" s="625" t="s">
        <v>1622</v>
      </c>
      <c r="J13" s="613">
        <f>IF(D13="NLS type 1/2/3",'Parameters ULL'!$E$28,INDEX('Inkoop tarief elementen'!$D$10:$F$18,MATCH(D13,'Inkoop tarief elementen'!$C$10:$C$18,0),MATCH(E13,'Inkoop tarief elementen'!$D$9:$F$9,0)))/'Parameters ULL'!$E$10</f>
        <v>1.966388888888889</v>
      </c>
      <c r="K13" s="224">
        <f>INDEX('Inkoop tarief elementen'!$E$21:$E$23,MATCH('inkoop VULA'!$E16,'Inkoop tarief elementen'!$D$21:$D$23,0))/'Parameters ULL'!$E$10</f>
        <v>0.1713888888888889</v>
      </c>
      <c r="L13" s="626">
        <f>SUM(J13:K13)</f>
        <v>2.137777777777778</v>
      </c>
      <c r="M13" s="613">
        <f>INDEX('Inkoop tarief elementen'!$E$26:$E$28,MATCH($E13,'Inkoop tarief elementen'!$D$26:$D$28,0))</f>
        <v>7.93</v>
      </c>
      <c r="N13" s="224">
        <f>IF(G13="7x24 repairtime 8h",'Inkoop tarief elementen'!$E$38,0)</f>
        <v>0</v>
      </c>
      <c r="O13" s="224">
        <f>'Inkoop tarief elementen'!$E$33/'Parameters ULL'!$E$10</f>
        <v>5.5833333333333325E-2</v>
      </c>
      <c r="P13" s="224">
        <f>collocatie!$J$82</f>
        <v>0.99975111111111126</v>
      </c>
      <c r="Q13" s="224">
        <f>'EDC minus lijst ULL'!$D$6+'EDC minus lijst ULL'!$E$6</f>
        <v>0.2</v>
      </c>
      <c r="R13" s="224">
        <f>'EDC minus lijst ULL'!$K$6+'EDC minus lijst ULL'!$L$6</f>
        <v>0.2</v>
      </c>
      <c r="S13" s="626">
        <f>SUM(M13:R13)</f>
        <v>9.3855844444444436</v>
      </c>
      <c r="T13" s="627">
        <f>L13+S13</f>
        <v>11.523362222222222</v>
      </c>
      <c r="V13" s="481" t="str">
        <f>IF(AND(D13="telco-telco",E13="shared"),"",IF(D13="NLS type 1/2/3","SDSLnon-sharednieuw","SDSLnon-sharedbestaand"))</f>
        <v>SDSLnon-sharednieuw</v>
      </c>
      <c r="W13" s="830">
        <f>S13-Z13</f>
        <v>9.3855844444444436</v>
      </c>
      <c r="X13" s="830">
        <f>L13*'Parameters ULL'!$E$10</f>
        <v>76.960000000000008</v>
      </c>
      <c r="Y13" s="481" t="str">
        <f>G13</f>
        <v>Standard</v>
      </c>
      <c r="Z13" s="616">
        <f>N13</f>
        <v>0</v>
      </c>
    </row>
    <row r="14" spans="1:26">
      <c r="C14" s="611" t="s">
        <v>1628</v>
      </c>
      <c r="D14" s="611" t="s">
        <v>1620</v>
      </c>
      <c r="E14" s="611" t="s">
        <v>224</v>
      </c>
      <c r="F14" s="612" t="s">
        <v>1621</v>
      </c>
      <c r="G14" s="611" t="s">
        <v>199</v>
      </c>
      <c r="H14" s="611"/>
      <c r="I14" s="625" t="s">
        <v>1622</v>
      </c>
      <c r="J14" s="613">
        <f>IF(D14="NLS type 1/2/3",'Parameters ULL'!$E$28,INDEX('Inkoop tarief elementen'!$D$10:$F$18,MATCH(D14,'Inkoop tarief elementen'!$C$10:$C$18,0),MATCH(E14,'Inkoop tarief elementen'!$D$9:$F$9,0)))/'Parameters ULL'!$E$10</f>
        <v>1.966388888888889</v>
      </c>
      <c r="K14" s="224">
        <f>INDEX('Inkoop tarief elementen'!$E$21:$E$23,MATCH('inkoop VULA'!$E20,'Inkoop tarief elementen'!$D$21:$D$23,0))/'Parameters ULL'!$E$10</f>
        <v>0.1713888888888889</v>
      </c>
      <c r="L14" s="626">
        <f t="shared" ref="L14:L18" si="0">SUM(J14:K14)</f>
        <v>2.137777777777778</v>
      </c>
      <c r="M14" s="613">
        <f>INDEX('Inkoop tarief elementen'!$E$26:$E$28,MATCH($E14,'Inkoop tarief elementen'!$D$26:$D$28,0))</f>
        <v>7.93</v>
      </c>
      <c r="N14" s="224">
        <f>IF(G14="7x24 repairtime 8h",'Inkoop tarief elementen'!$E$38,0)</f>
        <v>2.39</v>
      </c>
      <c r="O14" s="224">
        <f>'Inkoop tarief elementen'!$E$33/'Parameters ULL'!$E$10</f>
        <v>5.5833333333333325E-2</v>
      </c>
      <c r="P14" s="224">
        <f>collocatie!$J$82</f>
        <v>0.99975111111111126</v>
      </c>
      <c r="Q14" s="224">
        <f>'EDC minus lijst ULL'!$D$6+'EDC minus lijst ULL'!$E$6</f>
        <v>0.2</v>
      </c>
      <c r="R14" s="224">
        <f>'EDC minus lijst ULL'!$K$6+'EDC minus lijst ULL'!$L$6</f>
        <v>0.2</v>
      </c>
      <c r="S14" s="626">
        <f t="shared" ref="S14:S18" si="1">SUM(M14:R14)</f>
        <v>11.775584444444444</v>
      </c>
      <c r="T14" s="627">
        <f t="shared" ref="T14:T18" si="2">L14+S14</f>
        <v>13.913362222222222</v>
      </c>
      <c r="V14" s="481" t="str">
        <f t="shared" ref="V14:V15" si="3">IF(AND(D14="telco-telco",E14="shared"),"",IF(D14="NLS type 1/2/3","SDSLnon-sharednieuw","SDSLnon-sharedbestaand"))</f>
        <v>SDSLnon-sharednieuw</v>
      </c>
      <c r="W14" s="830">
        <f t="shared" ref="W14:W18" si="4">S14-Z14</f>
        <v>9.3855844444444436</v>
      </c>
      <c r="X14" s="830">
        <f>L14*'Parameters ULL'!$E$10</f>
        <v>76.960000000000008</v>
      </c>
      <c r="Y14" s="481" t="str">
        <f t="shared" ref="Y14:Y18" si="5">G14</f>
        <v>7x24 repairtime 8h</v>
      </c>
      <c r="Z14" s="616">
        <f t="shared" ref="Z14:Z18" si="6">N14</f>
        <v>2.39</v>
      </c>
    </row>
    <row r="15" spans="1:26">
      <c r="C15" s="611" t="s">
        <v>1628</v>
      </c>
      <c r="D15" s="611" t="s">
        <v>429</v>
      </c>
      <c r="E15" s="611" t="s">
        <v>127</v>
      </c>
      <c r="F15" s="612" t="s">
        <v>1621</v>
      </c>
      <c r="G15" s="611" t="s">
        <v>498</v>
      </c>
      <c r="H15" s="611"/>
      <c r="I15" s="625" t="s">
        <v>1622</v>
      </c>
      <c r="J15" s="613">
        <f>IF(D15="NLS type 1/2/3",'Parameters ULL'!$E$28,INDEX('Inkoop tarief elementen'!$D$10:$F$18,MATCH(D15,'Inkoop tarief elementen'!$C$10:$C$18,0),MATCH(E15,'Inkoop tarief elementen'!$D$9:$F$9,0)))/'Parameters ULL'!$E$10</f>
        <v>0.47611111111111115</v>
      </c>
      <c r="K15" s="224">
        <f>INDEX('Inkoop tarief elementen'!$E$21:$E$23,MATCH('inkoop VULA'!$E27,'Inkoop tarief elementen'!$D$21:$D$23,0))/'Parameters ULL'!$E$10</f>
        <v>0.28277777777777779</v>
      </c>
      <c r="L15" s="626">
        <f t="shared" si="0"/>
        <v>0.75888888888888895</v>
      </c>
      <c r="M15" s="613">
        <f>INDEX('Inkoop tarief elementen'!$E$26:$E$28,MATCH($E15,'Inkoop tarief elementen'!$D$26:$D$28,0))</f>
        <v>0.1111</v>
      </c>
      <c r="N15" s="224">
        <f>IF(G15="7x24 repairtime 8h",'Inkoop tarief elementen'!$E$38,0)</f>
        <v>0</v>
      </c>
      <c r="O15" s="224">
        <f>'Inkoop tarief elementen'!$E$33/'Parameters ULL'!$E$10</f>
        <v>5.5833333333333325E-2</v>
      </c>
      <c r="P15" s="224">
        <f>collocatie!$J$82</f>
        <v>0.99975111111111126</v>
      </c>
      <c r="Q15" s="224">
        <f>'EDC minus lijst ULL'!$D$6+'EDC minus lijst ULL'!$E$6</f>
        <v>0.2</v>
      </c>
      <c r="R15" s="224">
        <f>'EDC minus lijst ULL'!$K$6+'EDC minus lijst ULL'!$L$6</f>
        <v>0.2</v>
      </c>
      <c r="S15" s="626">
        <f t="shared" si="1"/>
        <v>1.5666844444444445</v>
      </c>
      <c r="T15" s="627">
        <f t="shared" si="2"/>
        <v>2.3255733333333337</v>
      </c>
      <c r="V15" s="481" t="str">
        <f t="shared" si="3"/>
        <v/>
      </c>
      <c r="W15" s="830">
        <f t="shared" si="4"/>
        <v>1.5666844444444445</v>
      </c>
      <c r="X15" s="830">
        <f>L15*'Parameters ULL'!$E$10</f>
        <v>27.32</v>
      </c>
      <c r="Y15" s="481" t="str">
        <f t="shared" si="5"/>
        <v>Standard</v>
      </c>
      <c r="Z15" s="616">
        <f t="shared" si="6"/>
        <v>0</v>
      </c>
    </row>
    <row r="16" spans="1:26">
      <c r="C16" s="611" t="s">
        <v>1628</v>
      </c>
      <c r="D16" s="611" t="s">
        <v>429</v>
      </c>
      <c r="E16" s="611" t="s">
        <v>224</v>
      </c>
      <c r="F16" s="612" t="s">
        <v>1621</v>
      </c>
      <c r="G16" s="611" t="s">
        <v>498</v>
      </c>
      <c r="H16" s="611"/>
      <c r="I16" s="625" t="s">
        <v>1622</v>
      </c>
      <c r="J16" s="613">
        <f>IF(D16="NLS type 1/2/3",'Parameters ULL'!$E$28,INDEX('Inkoop tarief elementen'!$D$10:$F$18,MATCH(D16,'Inkoop tarief elementen'!$C$10:$C$18,0),MATCH(E16,'Inkoop tarief elementen'!$D$9:$F$9,0)))/'Parameters ULL'!$E$10</f>
        <v>0.36472222222222223</v>
      </c>
      <c r="K16" s="224">
        <f>INDEX('Inkoop tarief elementen'!$E$21:$E$23,MATCH('inkoop VULA'!$E28,'Inkoop tarief elementen'!$D$21:$D$23,0))/'Parameters ULL'!$E$10</f>
        <v>0.1713888888888889</v>
      </c>
      <c r="L16" s="626">
        <f t="shared" si="0"/>
        <v>0.53611111111111109</v>
      </c>
      <c r="M16" s="613">
        <f>INDEX('Inkoop tarief elementen'!$E$26:$E$28,MATCH($E16,'Inkoop tarief elementen'!$D$26:$D$28,0))</f>
        <v>7.93</v>
      </c>
      <c r="N16" s="224">
        <f>IF(G16="7x24 repairtime 8h",'Inkoop tarief elementen'!$E$38,0)</f>
        <v>0</v>
      </c>
      <c r="O16" s="224">
        <f>'Inkoop tarief elementen'!$E$33/'Parameters ULL'!$E$10</f>
        <v>5.5833333333333325E-2</v>
      </c>
      <c r="P16" s="224">
        <f>collocatie!$J$82</f>
        <v>0.99975111111111126</v>
      </c>
      <c r="Q16" s="224">
        <f>'EDC minus lijst ULL'!$D$6+'EDC minus lijst ULL'!$E$6</f>
        <v>0.2</v>
      </c>
      <c r="R16" s="224">
        <f>'EDC minus lijst ULL'!$K$6+'EDC minus lijst ULL'!$L$6</f>
        <v>0.2</v>
      </c>
      <c r="S16" s="626">
        <f t="shared" si="1"/>
        <v>9.3855844444444436</v>
      </c>
      <c r="T16" s="627">
        <f t="shared" si="2"/>
        <v>9.921695555555555</v>
      </c>
      <c r="V16" s="481" t="str">
        <f>IF(AND(D16="telco-telco",E16="shared"),"",IF(D16="NLS type 1/2/3","SDSLnon-sharednieuw","SDSLnon-sharedbestaand"))</f>
        <v>SDSLnon-sharedbestaand</v>
      </c>
      <c r="W16" s="830">
        <f t="shared" si="4"/>
        <v>9.3855844444444436</v>
      </c>
      <c r="X16" s="830">
        <f>L16*'Parameters ULL'!$E$10</f>
        <v>19.3</v>
      </c>
      <c r="Y16" s="481" t="str">
        <f t="shared" si="5"/>
        <v>Standard</v>
      </c>
      <c r="Z16" s="616">
        <f t="shared" si="6"/>
        <v>0</v>
      </c>
    </row>
    <row r="17" spans="3:26">
      <c r="C17" s="611" t="s">
        <v>1628</v>
      </c>
      <c r="D17" s="611" t="s">
        <v>429</v>
      </c>
      <c r="E17" s="611" t="s">
        <v>127</v>
      </c>
      <c r="F17" s="612" t="s">
        <v>1621</v>
      </c>
      <c r="G17" s="611" t="s">
        <v>199</v>
      </c>
      <c r="H17" s="611"/>
      <c r="I17" s="625" t="s">
        <v>1622</v>
      </c>
      <c r="J17" s="613">
        <f>IF(D17="NLS type 1/2/3",'Parameters ULL'!$E$28,INDEX('Inkoop tarief elementen'!$D$10:$F$18,MATCH(D17,'Inkoop tarief elementen'!$C$10:$C$18,0),MATCH(E17,'Inkoop tarief elementen'!$D$9:$F$9,0)))/'Parameters ULL'!$E$10</f>
        <v>0.47611111111111115</v>
      </c>
      <c r="K17" s="224">
        <f>INDEX('Inkoop tarief elementen'!$E$21:$E$23,MATCH('inkoop VULA'!$E35,'Inkoop tarief elementen'!$D$21:$D$23,0))/'Parameters ULL'!$E$10</f>
        <v>0.28277777777777779</v>
      </c>
      <c r="L17" s="626">
        <f t="shared" si="0"/>
        <v>0.75888888888888895</v>
      </c>
      <c r="M17" s="613">
        <f>INDEX('Inkoop tarief elementen'!$E$26:$E$28,MATCH($E17,'Inkoop tarief elementen'!$D$26:$D$28,0))</f>
        <v>0.1111</v>
      </c>
      <c r="N17" s="224">
        <f>IF(G17="7x24 repairtime 8h",'Inkoop tarief elementen'!$E$38,0)</f>
        <v>2.39</v>
      </c>
      <c r="O17" s="224">
        <f>'Inkoop tarief elementen'!$E$33/'Parameters ULL'!$E$10</f>
        <v>5.5833333333333325E-2</v>
      </c>
      <c r="P17" s="224">
        <f>collocatie!$J$82</f>
        <v>0.99975111111111126</v>
      </c>
      <c r="Q17" s="224">
        <f>'EDC minus lijst ULL'!$D$6+'EDC minus lijst ULL'!$E$6</f>
        <v>0.2</v>
      </c>
      <c r="R17" s="224">
        <f>'EDC minus lijst ULL'!$K$6+'EDC minus lijst ULL'!$L$6</f>
        <v>0.2</v>
      </c>
      <c r="S17" s="626">
        <f t="shared" si="1"/>
        <v>3.9566844444444449</v>
      </c>
      <c r="T17" s="627">
        <f t="shared" si="2"/>
        <v>4.7155733333333334</v>
      </c>
      <c r="V17" s="481" t="str">
        <f t="shared" ref="V17:V18" si="7">IF(AND(D17="telco-telco",E17="shared"),"",IF(D17="NLS type 1/2/3","SDSLnon-sharednieuw","SDSLnon-sharedbestaand"))</f>
        <v/>
      </c>
      <c r="W17" s="830">
        <f t="shared" si="4"/>
        <v>1.5666844444444448</v>
      </c>
      <c r="X17" s="830">
        <f>L17*'Parameters ULL'!$E$10</f>
        <v>27.32</v>
      </c>
      <c r="Y17" s="481" t="str">
        <f t="shared" si="5"/>
        <v>7x24 repairtime 8h</v>
      </c>
      <c r="Z17" s="616">
        <f t="shared" si="6"/>
        <v>2.39</v>
      </c>
    </row>
    <row r="18" spans="3:26">
      <c r="C18" s="611" t="s">
        <v>1628</v>
      </c>
      <c r="D18" s="611" t="s">
        <v>429</v>
      </c>
      <c r="E18" s="611" t="s">
        <v>224</v>
      </c>
      <c r="F18" s="612" t="s">
        <v>1621</v>
      </c>
      <c r="G18" s="611" t="s">
        <v>199</v>
      </c>
      <c r="H18" s="611"/>
      <c r="I18" s="625" t="s">
        <v>1622</v>
      </c>
      <c r="J18" s="613">
        <f>IF(D18="NLS type 1/2/3",'Parameters ULL'!$E$28,INDEX('Inkoop tarief elementen'!$D$10:$F$18,MATCH(D18,'Inkoop tarief elementen'!$C$10:$C$18,0),MATCH(E18,'Inkoop tarief elementen'!$D$9:$F$9,0)))/'Parameters ULL'!$E$10</f>
        <v>0.36472222222222223</v>
      </c>
      <c r="K18" s="224">
        <f>INDEX('Inkoop tarief elementen'!$E$21:$E$23,MATCH('inkoop VULA'!$E36,'Inkoop tarief elementen'!$D$21:$D$23,0))/'Parameters ULL'!$E$10</f>
        <v>0.1713888888888889</v>
      </c>
      <c r="L18" s="626">
        <f t="shared" si="0"/>
        <v>0.53611111111111109</v>
      </c>
      <c r="M18" s="613">
        <f>INDEX('Inkoop tarief elementen'!$E$26:$E$28,MATCH($E18,'Inkoop tarief elementen'!$D$26:$D$28,0))</f>
        <v>7.93</v>
      </c>
      <c r="N18" s="224">
        <f>IF(G18="7x24 repairtime 8h",'Inkoop tarief elementen'!$E$38,0)</f>
        <v>2.39</v>
      </c>
      <c r="O18" s="224">
        <f>'Inkoop tarief elementen'!$E$33/'Parameters ULL'!$E$10</f>
        <v>5.5833333333333325E-2</v>
      </c>
      <c r="P18" s="224">
        <f>collocatie!$J$82</f>
        <v>0.99975111111111126</v>
      </c>
      <c r="Q18" s="224">
        <f>'EDC minus lijst ULL'!$D$6+'EDC minus lijst ULL'!$E$6</f>
        <v>0.2</v>
      </c>
      <c r="R18" s="224">
        <f>'EDC minus lijst ULL'!$K$6+'EDC minus lijst ULL'!$L$6</f>
        <v>0.2</v>
      </c>
      <c r="S18" s="626">
        <f t="shared" si="1"/>
        <v>11.775584444444444</v>
      </c>
      <c r="T18" s="627">
        <f t="shared" si="2"/>
        <v>12.311695555555556</v>
      </c>
      <c r="V18" s="481" t="str">
        <f t="shared" si="7"/>
        <v>SDSLnon-sharedbestaand</v>
      </c>
      <c r="W18" s="830">
        <f t="shared" si="4"/>
        <v>9.3855844444444436</v>
      </c>
      <c r="X18" s="830">
        <f>L18*'Parameters ULL'!$E$10</f>
        <v>19.3</v>
      </c>
      <c r="Y18" s="481" t="str">
        <f t="shared" si="5"/>
        <v>7x24 repairtime 8h</v>
      </c>
      <c r="Z18" s="616">
        <f t="shared" si="6"/>
        <v>2.39</v>
      </c>
    </row>
    <row r="19" spans="3:26"/>
    <row r="20" spans="3:26"/>
    <row r="21" spans="3:26"/>
    <row r="22" spans="3:26"/>
    <row r="23" spans="3:26"/>
    <row r="24" spans="3:26"/>
    <row r="25" spans="3:26"/>
    <row r="26" spans="3:26"/>
    <row r="27" spans="3:26"/>
    <row r="28" spans="3:26"/>
    <row r="29" spans="3:26"/>
    <row r="30" spans="3:26"/>
    <row r="31" spans="3:26"/>
    <row r="32" spans="3:26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</sheetData>
  <autoFilter ref="C10:T18"/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00"/>
  </sheetPr>
  <dimension ref="A1:Z208"/>
  <sheetViews>
    <sheetView topLeftCell="A4" workbookViewId="0">
      <selection activeCell="C19" sqref="C19"/>
    </sheetView>
  </sheetViews>
  <sheetFormatPr defaultColWidth="10.28515625" defaultRowHeight="12.75" zeroHeight="1"/>
  <cols>
    <col min="1" max="1" width="3.7109375" style="481" customWidth="1"/>
    <col min="2" max="2" width="3.5703125" style="481" customWidth="1"/>
    <col min="3" max="3" width="26.140625" style="481" customWidth="1"/>
    <col min="4" max="4" width="20.42578125" style="481" customWidth="1"/>
    <col min="5" max="5" width="18.42578125" style="481" customWidth="1"/>
    <col min="6" max="6" width="19.5703125" style="481" customWidth="1"/>
    <col min="7" max="7" width="26.7109375" style="481" customWidth="1"/>
    <col min="8" max="9" width="14.28515625" style="481" customWidth="1"/>
    <col min="10" max="11" width="15.5703125" style="481" bestFit="1" customWidth="1"/>
    <col min="12" max="16" width="15.5703125" style="481" customWidth="1"/>
    <col min="17" max="19" width="22.28515625" style="481" customWidth="1"/>
    <col min="20" max="20" width="15.5703125" style="481" bestFit="1" customWidth="1"/>
    <col min="21" max="21" width="10.28515625" style="481"/>
    <col min="22" max="22" width="30.5703125" style="481" customWidth="1"/>
    <col min="23" max="24" width="10.28515625" style="481"/>
    <col min="25" max="25" width="22.28515625" style="481" customWidth="1"/>
    <col min="26" max="16384" width="10.28515625" style="481"/>
  </cols>
  <sheetData>
    <row r="1" spans="1:26" s="473" customFormat="1"/>
    <row r="2" spans="1:26" s="473" customFormat="1">
      <c r="C2" s="475" t="str">
        <f ca="1">UPPER(MID(CELL("filename",A1),FIND("[",CELL("filename",A1))+1,FIND("]",CELL("filename",A1))-FIND("[",CELL("filename",A1))-5))</f>
        <v>LPM MB15 - EPACITY DSL 20170201 OPENBAAR.</v>
      </c>
      <c r="D2" s="475"/>
      <c r="E2" s="475"/>
      <c r="F2" s="475"/>
      <c r="G2" s="475"/>
      <c r="H2" s="475"/>
      <c r="I2" s="475"/>
    </row>
    <row r="3" spans="1:26" s="473" customFormat="1">
      <c r="C3" s="473" t="str">
        <f ca="1">UPPER(MID(CELL("filename",A2),FIND("]",CELL("filename",A2))+1,LEN(CELL("filename",A2))))</f>
        <v>INKOOP MDF VDSL</v>
      </c>
    </row>
    <row r="4" spans="1:26" s="476" customFormat="1"/>
    <row r="5" spans="1:26" s="581" customFormat="1">
      <c r="A5" s="481"/>
      <c r="B5" s="481"/>
      <c r="C5" s="579"/>
      <c r="D5" s="579"/>
      <c r="E5" s="579"/>
      <c r="F5" s="579"/>
      <c r="G5" s="580"/>
      <c r="H5" s="580"/>
      <c r="I5" s="580"/>
    </row>
    <row r="6" spans="1:26" s="581" customFormat="1" ht="13.5" thickBot="1">
      <c r="A6" s="481"/>
      <c r="B6" s="481"/>
      <c r="C6" s="579"/>
      <c r="D6" s="579"/>
      <c r="E6" s="579"/>
      <c r="F6" s="579"/>
      <c r="G6" s="580"/>
      <c r="H6" s="580"/>
      <c r="I6" s="580"/>
    </row>
    <row r="7" spans="1:26" s="581" customFormat="1">
      <c r="A7" s="481"/>
      <c r="B7" s="481"/>
      <c r="C7" s="579"/>
      <c r="D7" s="579"/>
      <c r="E7" s="579" t="s">
        <v>1597</v>
      </c>
      <c r="F7" s="582">
        <f>COUNTA($C$13:$C$4608)</f>
        <v>10</v>
      </c>
      <c r="G7" s="580"/>
      <c r="H7" s="580"/>
      <c r="I7" s="580"/>
      <c r="J7" s="583"/>
      <c r="K7" s="584"/>
      <c r="L7" s="585"/>
      <c r="M7" s="583"/>
      <c r="N7" s="584"/>
      <c r="O7" s="584"/>
      <c r="P7" s="584"/>
      <c r="Q7" s="584"/>
      <c r="R7" s="584"/>
      <c r="S7" s="585"/>
      <c r="T7" s="586"/>
    </row>
    <row r="8" spans="1:26" s="581" customFormat="1">
      <c r="A8" s="481"/>
      <c r="B8" s="481"/>
      <c r="C8" s="579"/>
      <c r="D8" s="579"/>
      <c r="G8" s="580"/>
      <c r="H8" s="580"/>
      <c r="I8" s="580"/>
      <c r="J8" s="587"/>
      <c r="K8" s="588"/>
      <c r="L8" s="589"/>
      <c r="M8" s="587"/>
      <c r="N8" s="588"/>
      <c r="O8" s="588"/>
      <c r="P8" s="588"/>
      <c r="Q8" s="588"/>
      <c r="R8" s="588"/>
      <c r="S8" s="589"/>
      <c r="T8" s="590"/>
    </row>
    <row r="9" spans="1:26" s="581" customFormat="1">
      <c r="A9" s="481"/>
      <c r="B9" s="591"/>
      <c r="C9" s="592"/>
      <c r="D9" s="592"/>
      <c r="E9" s="592"/>
      <c r="F9" s="592"/>
      <c r="G9" s="592"/>
      <c r="H9" s="592"/>
      <c r="I9" s="592"/>
      <c r="J9" s="593" t="s">
        <v>1598</v>
      </c>
      <c r="K9" s="617" t="s">
        <v>1598</v>
      </c>
      <c r="L9" s="618" t="s">
        <v>1598</v>
      </c>
      <c r="M9" s="593" t="s">
        <v>1599</v>
      </c>
      <c r="N9" s="617" t="s">
        <v>1599</v>
      </c>
      <c r="O9" s="617" t="s">
        <v>1599</v>
      </c>
      <c r="P9" s="617" t="s">
        <v>1599</v>
      </c>
      <c r="Q9" s="591" t="s">
        <v>360</v>
      </c>
      <c r="R9" s="591" t="s">
        <v>360</v>
      </c>
      <c r="S9" s="594" t="s">
        <v>1599</v>
      </c>
      <c r="T9" s="595" t="s">
        <v>1600</v>
      </c>
    </row>
    <row r="10" spans="1:26" s="581" customFormat="1" ht="38.25">
      <c r="A10" s="481"/>
      <c r="B10" s="591"/>
      <c r="C10" s="596" t="s">
        <v>422</v>
      </c>
      <c r="D10" s="596" t="s">
        <v>423</v>
      </c>
      <c r="E10" s="596" t="s">
        <v>424</v>
      </c>
      <c r="F10" s="596" t="s">
        <v>425</v>
      </c>
      <c r="G10" s="596" t="s">
        <v>1190</v>
      </c>
      <c r="H10" s="596"/>
      <c r="I10" s="619" t="s">
        <v>1601</v>
      </c>
      <c r="J10" s="620" t="s">
        <v>1602</v>
      </c>
      <c r="K10" s="621" t="s">
        <v>1603</v>
      </c>
      <c r="L10" s="622" t="s">
        <v>1606</v>
      </c>
      <c r="M10" s="597" t="s">
        <v>1623</v>
      </c>
      <c r="N10" s="621" t="s">
        <v>1190</v>
      </c>
      <c r="O10" s="621" t="s">
        <v>427</v>
      </c>
      <c r="P10" s="621" t="s">
        <v>1624</v>
      </c>
      <c r="Q10" s="598" t="s">
        <v>1625</v>
      </c>
      <c r="R10" s="598" t="s">
        <v>1611</v>
      </c>
      <c r="S10" s="600" t="s">
        <v>1612</v>
      </c>
      <c r="T10" s="603" t="s">
        <v>1613</v>
      </c>
      <c r="V10" s="581" t="s">
        <v>501</v>
      </c>
      <c r="W10" s="828" t="s">
        <v>1626</v>
      </c>
      <c r="X10" s="828" t="s">
        <v>1626</v>
      </c>
      <c r="Y10" s="604" t="s">
        <v>1617</v>
      </c>
      <c r="Z10" s="604" t="s">
        <v>1627</v>
      </c>
    </row>
    <row r="11" spans="1:26" s="581" customFormat="1">
      <c r="A11" s="481"/>
      <c r="B11" s="481"/>
      <c r="C11" s="481"/>
      <c r="D11" s="481"/>
      <c r="E11" s="481"/>
      <c r="F11" s="481"/>
      <c r="G11" s="481"/>
      <c r="H11" s="481"/>
      <c r="I11" s="481"/>
      <c r="J11" s="623"/>
      <c r="K11" s="222"/>
      <c r="L11" s="223"/>
      <c r="M11" s="221"/>
      <c r="N11" s="222"/>
      <c r="O11" s="222"/>
      <c r="P11" s="222"/>
      <c r="Q11" s="222"/>
      <c r="R11" s="222"/>
      <c r="S11" s="223"/>
      <c r="T11" s="624"/>
      <c r="W11" s="829" t="s">
        <v>145</v>
      </c>
      <c r="X11" s="829" t="s">
        <v>146</v>
      </c>
    </row>
    <row r="12" spans="1:26" s="581" customFormat="1" ht="15.75">
      <c r="A12" s="481"/>
      <c r="B12" s="481"/>
      <c r="C12" s="610" t="s">
        <v>1629</v>
      </c>
      <c r="D12" s="610"/>
      <c r="E12" s="610"/>
      <c r="F12" s="610"/>
      <c r="G12" s="481"/>
      <c r="H12" s="481"/>
      <c r="I12" s="481"/>
      <c r="J12" s="623"/>
      <c r="K12" s="222"/>
      <c r="L12" s="223"/>
      <c r="M12" s="221"/>
      <c r="N12" s="222"/>
      <c r="O12" s="222"/>
      <c r="P12" s="222"/>
      <c r="Q12" s="222"/>
      <c r="R12" s="222"/>
      <c r="S12" s="223"/>
      <c r="T12" s="624"/>
      <c r="W12" s="831"/>
      <c r="X12" s="831"/>
    </row>
    <row r="13" spans="1:26">
      <c r="C13" s="611" t="s">
        <v>1629</v>
      </c>
      <c r="D13" s="611" t="s">
        <v>1620</v>
      </c>
      <c r="E13" s="611" t="s">
        <v>224</v>
      </c>
      <c r="F13" s="612" t="s">
        <v>1621</v>
      </c>
      <c r="G13" s="611" t="s">
        <v>498</v>
      </c>
      <c r="H13" s="611"/>
      <c r="I13" s="625" t="s">
        <v>1622</v>
      </c>
      <c r="J13" s="613">
        <f>IF(D13="NLS type 1/2/3",IF(E13="VDSL bonding",'Parameters ULL'!$E$29,'Parameters ULL'!$E$28),INDEX('Inkoop tarief elementen'!$D$11:$F$11,MATCH(E13,'Inkoop tarief elementen'!$D$9:$F$9,0)))/'Parameters ULL'!$E$10</f>
        <v>1.966388888888889</v>
      </c>
      <c r="K13" s="224">
        <f>INDEX('Inkoop tarief elementen'!$E$21:$E$23,MATCH(E13,'Inkoop tarief elementen'!$D$21:$D$23,0))/'Parameters ULL'!$E$10</f>
        <v>0.1713888888888889</v>
      </c>
      <c r="L13" s="626">
        <f t="shared" ref="L13:L22" si="0">SUM(J13:K13)</f>
        <v>2.137777777777778</v>
      </c>
      <c r="M13" s="613">
        <f>INDEX('Inkoop tarief elementen'!$E$26:$E$28,MATCH($E13,'Inkoop tarief elementen'!$D$26:$D$28,0))</f>
        <v>7.93</v>
      </c>
      <c r="N13" s="224">
        <f>IF(G13="7x24 repairtime 8h",'Inkoop tarief elementen'!$E$38,0)</f>
        <v>0</v>
      </c>
      <c r="O13" s="224">
        <f>'Inkoop tarief elementen'!$E$33/'Parameters ULL'!$E$10</f>
        <v>5.5833333333333325E-2</v>
      </c>
      <c r="P13" s="224">
        <f>IF(E13="VDSL bonding",collocatie!$J$97,collocatie!$J$67)</f>
        <v>0.99975111111111126</v>
      </c>
      <c r="Q13" s="224">
        <f>IF(E13="VDSL bonding",'EDC minus lijst ULL'!$D$9+'EDC minus lijst ULL'!$E$9,'EDC minus lijst ULL'!$D$3+'EDC minus lijst ULL'!$E$3)</f>
        <v>0.2</v>
      </c>
      <c r="R13" s="224">
        <f>IF(E13="VDSL bonding",'EDC minus lijst ULL'!$K$9+'EDC minus lijst ULL'!$L$9,'EDC minus lijst ULL'!$K$3+'EDC minus lijst ULL'!$L$3)</f>
        <v>0.2</v>
      </c>
      <c r="S13" s="626">
        <f>SUM(M13:R13)</f>
        <v>9.3855844444444436</v>
      </c>
      <c r="T13" s="627">
        <f>L13+S13</f>
        <v>11.523362222222222</v>
      </c>
      <c r="V13" s="481" t="str">
        <f>IF(AND(E13="VDSL bonding",D13&lt;&gt;"telco-telco"),"VDSL bondingnon-sharednieuw","")</f>
        <v/>
      </c>
      <c r="W13" s="830">
        <f>S13-Z13</f>
        <v>9.3855844444444436</v>
      </c>
      <c r="X13" s="830">
        <f>L13*'Parameters ULL'!$E$10</f>
        <v>76.960000000000008</v>
      </c>
      <c r="Y13" s="481" t="str">
        <f>G13</f>
        <v>Standard</v>
      </c>
      <c r="Z13" s="616">
        <f>N13</f>
        <v>0</v>
      </c>
    </row>
    <row r="14" spans="1:26">
      <c r="C14" s="611" t="s">
        <v>1629</v>
      </c>
      <c r="D14" s="611" t="s">
        <v>1620</v>
      </c>
      <c r="E14" s="611" t="s">
        <v>224</v>
      </c>
      <c r="F14" s="612" t="s">
        <v>1621</v>
      </c>
      <c r="G14" s="611" t="s">
        <v>199</v>
      </c>
      <c r="H14" s="611"/>
      <c r="I14" s="625" t="s">
        <v>1622</v>
      </c>
      <c r="J14" s="613">
        <f>IF(D14="NLS type 1/2/3",IF(E14="VDSL bonding",'Parameters ULL'!$E$29,'Parameters ULL'!$E$28),INDEX('Inkoop tarief elementen'!$D$11:$F$11,MATCH(E14,'Inkoop tarief elementen'!$D$9:$F$9,0)))/'Parameters ULL'!$E$10</f>
        <v>1.966388888888889</v>
      </c>
      <c r="K14" s="224">
        <f>INDEX('Inkoop tarief elementen'!$E$21:$E$23,MATCH(E14,'Inkoop tarief elementen'!$D$21:$D$23,0))/'Parameters ULL'!$E$10</f>
        <v>0.1713888888888889</v>
      </c>
      <c r="L14" s="626">
        <f t="shared" si="0"/>
        <v>2.137777777777778</v>
      </c>
      <c r="M14" s="613">
        <f>INDEX('Inkoop tarief elementen'!$E$26:$E$28,MATCH($E14,'Inkoop tarief elementen'!$D$26:$D$28,0))</f>
        <v>7.93</v>
      </c>
      <c r="N14" s="224">
        <f>IF(G14="7x24 repairtime 8h",'Inkoop tarief elementen'!$E$38,0)</f>
        <v>2.39</v>
      </c>
      <c r="O14" s="224">
        <f>'Inkoop tarief elementen'!$E$33/'Parameters ULL'!$E$10</f>
        <v>5.5833333333333325E-2</v>
      </c>
      <c r="P14" s="224">
        <f>IF(E14="VDSL bonding",collocatie!$J$97,collocatie!$J$67)</f>
        <v>0.99975111111111126</v>
      </c>
      <c r="Q14" s="224">
        <f>IF(E14="VDSL bonding",'EDC minus lijst ULL'!$D$9+'EDC minus lijst ULL'!$E$9,'EDC minus lijst ULL'!$D$3+'EDC minus lijst ULL'!$E$3)</f>
        <v>0.2</v>
      </c>
      <c r="R14" s="224">
        <f>IF(E14="VDSL bonding",'EDC minus lijst ULL'!$K$9+'EDC minus lijst ULL'!$L$9,'EDC minus lijst ULL'!$K$3+'EDC minus lijst ULL'!$L$3)</f>
        <v>0.2</v>
      </c>
      <c r="S14" s="626">
        <f t="shared" ref="S14:S18" si="1">SUM(M14:R14)</f>
        <v>11.775584444444444</v>
      </c>
      <c r="T14" s="627">
        <f t="shared" ref="T14:T18" si="2">L14+S14</f>
        <v>13.913362222222222</v>
      </c>
      <c r="V14" s="481" t="str">
        <f t="shared" ref="V14:V22" si="3">IF(AND(E14="VDSL bonding",D14&lt;&gt;"telco-telco"),"VDSL bondingnon-sharednieuw","")</f>
        <v/>
      </c>
      <c r="W14" s="830">
        <f t="shared" ref="W14:W22" si="4">S14-Z14</f>
        <v>9.3855844444444436</v>
      </c>
      <c r="X14" s="830">
        <f>L14*'Parameters ULL'!$E$10</f>
        <v>76.960000000000008</v>
      </c>
      <c r="Y14" s="481" t="str">
        <f t="shared" ref="Y14:Y22" si="5">G14</f>
        <v>7x24 repairtime 8h</v>
      </c>
      <c r="Z14" s="616">
        <f t="shared" ref="Z14:Z22" si="6">N14</f>
        <v>2.39</v>
      </c>
    </row>
    <row r="15" spans="1:26">
      <c r="C15" s="611" t="s">
        <v>1629</v>
      </c>
      <c r="D15" s="611" t="s">
        <v>429</v>
      </c>
      <c r="E15" s="611" t="s">
        <v>127</v>
      </c>
      <c r="F15" s="612" t="s">
        <v>1621</v>
      </c>
      <c r="G15" s="611" t="s">
        <v>498</v>
      </c>
      <c r="H15" s="611"/>
      <c r="I15" s="625" t="s">
        <v>1622</v>
      </c>
      <c r="J15" s="613">
        <f>IF(D15="NLS type 1/2/3",IF(E15="VDSL bonding",'Parameters ULL'!$E$29,'Parameters ULL'!$E$28),INDEX('Inkoop tarief elementen'!$D$11:$F$11,MATCH(E15,'Inkoop tarief elementen'!$D$9:$F$9,0)))/'Parameters ULL'!$E$10</f>
        <v>0.47611111111111115</v>
      </c>
      <c r="K15" s="224">
        <f>INDEX('Inkoop tarief elementen'!$E$21:$E$23,MATCH(E15,'Inkoop tarief elementen'!$D$21:$D$23,0))/'Parameters ULL'!$E$10</f>
        <v>0.28277777777777779</v>
      </c>
      <c r="L15" s="626">
        <f t="shared" si="0"/>
        <v>0.75888888888888895</v>
      </c>
      <c r="M15" s="613">
        <f>INDEX('Inkoop tarief elementen'!$E$26:$E$28,MATCH($E15,'Inkoop tarief elementen'!$D$26:$D$28,0))</f>
        <v>0.1111</v>
      </c>
      <c r="N15" s="224">
        <f>IF(G15="7x24 repairtime 8h",'Inkoop tarief elementen'!$E$38,0)</f>
        <v>0</v>
      </c>
      <c r="O15" s="224">
        <f>'Inkoop tarief elementen'!$E$33/'Parameters ULL'!$E$10</f>
        <v>5.5833333333333325E-2</v>
      </c>
      <c r="P15" s="224">
        <f>IF(E15="VDSL bonding",collocatie!$J$97,collocatie!$J$67)</f>
        <v>0.99975111111111126</v>
      </c>
      <c r="Q15" s="224">
        <f>IF(E15="VDSL bonding",'EDC minus lijst ULL'!$D$9+'EDC minus lijst ULL'!$E$9,'EDC minus lijst ULL'!$D$3+'EDC minus lijst ULL'!$E$3)</f>
        <v>0.2</v>
      </c>
      <c r="R15" s="224">
        <f>IF(E15="VDSL bonding",'EDC minus lijst ULL'!$K$9+'EDC minus lijst ULL'!$L$9,'EDC minus lijst ULL'!$K$3+'EDC minus lijst ULL'!$L$3)</f>
        <v>0.2</v>
      </c>
      <c r="S15" s="626">
        <f t="shared" si="1"/>
        <v>1.5666844444444445</v>
      </c>
      <c r="T15" s="627">
        <f t="shared" si="2"/>
        <v>2.3255733333333337</v>
      </c>
      <c r="V15" s="481" t="str">
        <f t="shared" si="3"/>
        <v/>
      </c>
      <c r="W15" s="830">
        <f t="shared" si="4"/>
        <v>1.5666844444444445</v>
      </c>
      <c r="X15" s="830">
        <f>L15*'Parameters ULL'!$E$10</f>
        <v>27.32</v>
      </c>
      <c r="Y15" s="481" t="str">
        <f t="shared" si="5"/>
        <v>Standard</v>
      </c>
      <c r="Z15" s="616">
        <f t="shared" si="6"/>
        <v>0</v>
      </c>
    </row>
    <row r="16" spans="1:26">
      <c r="C16" s="611" t="s">
        <v>1629</v>
      </c>
      <c r="D16" s="611" t="s">
        <v>429</v>
      </c>
      <c r="E16" s="611" t="s">
        <v>224</v>
      </c>
      <c r="F16" s="612" t="s">
        <v>1621</v>
      </c>
      <c r="G16" s="611" t="s">
        <v>498</v>
      </c>
      <c r="H16" s="611"/>
      <c r="I16" s="625" t="s">
        <v>1622</v>
      </c>
      <c r="J16" s="613">
        <f>IF(D16="NLS type 1/2/3",IF(E16="VDSL bonding",'Parameters ULL'!$E$29,'Parameters ULL'!$E$28),INDEX('Inkoop tarief elementen'!$D$11:$F$11,MATCH(E16,'Inkoop tarief elementen'!$D$9:$F$9,0)))/'Parameters ULL'!$E$10</f>
        <v>0.36472222222222223</v>
      </c>
      <c r="K16" s="224">
        <f>INDEX('Inkoop tarief elementen'!$E$21:$E$23,MATCH(E16,'Inkoop tarief elementen'!$D$21:$D$23,0))/'Parameters ULL'!$E$10</f>
        <v>0.1713888888888889</v>
      </c>
      <c r="L16" s="626">
        <f t="shared" si="0"/>
        <v>0.53611111111111109</v>
      </c>
      <c r="M16" s="613">
        <f>INDEX('Inkoop tarief elementen'!$E$26:$E$28,MATCH($E16,'Inkoop tarief elementen'!$D$26:$D$28,0))</f>
        <v>7.93</v>
      </c>
      <c r="N16" s="224">
        <f>IF(G16="7x24 repairtime 8h",'Inkoop tarief elementen'!$E$38,0)</f>
        <v>0</v>
      </c>
      <c r="O16" s="224">
        <f>'Inkoop tarief elementen'!$E$33/'Parameters ULL'!$E$10</f>
        <v>5.5833333333333325E-2</v>
      </c>
      <c r="P16" s="224">
        <f>IF(E16="VDSL bonding",collocatie!$J$97,collocatie!$J$67)</f>
        <v>0.99975111111111126</v>
      </c>
      <c r="Q16" s="224">
        <f>IF(E16="VDSL bonding",'EDC minus lijst ULL'!$D$9+'EDC minus lijst ULL'!$E$9,'EDC minus lijst ULL'!$D$3+'EDC minus lijst ULL'!$E$3)</f>
        <v>0.2</v>
      </c>
      <c r="R16" s="224">
        <f>IF(E16="VDSL bonding",'EDC minus lijst ULL'!$K$9+'EDC minus lijst ULL'!$L$9,'EDC minus lijst ULL'!$K$3+'EDC minus lijst ULL'!$L$3)</f>
        <v>0.2</v>
      </c>
      <c r="S16" s="626">
        <f t="shared" si="1"/>
        <v>9.3855844444444436</v>
      </c>
      <c r="T16" s="627">
        <f t="shared" si="2"/>
        <v>9.921695555555555</v>
      </c>
      <c r="V16" s="481" t="str">
        <f t="shared" si="3"/>
        <v/>
      </c>
      <c r="W16" s="830">
        <f t="shared" si="4"/>
        <v>9.3855844444444436</v>
      </c>
      <c r="X16" s="830">
        <f>L16*'Parameters ULL'!$E$10</f>
        <v>19.3</v>
      </c>
      <c r="Y16" s="481" t="str">
        <f t="shared" si="5"/>
        <v>Standard</v>
      </c>
      <c r="Z16" s="616">
        <f t="shared" si="6"/>
        <v>0</v>
      </c>
    </row>
    <row r="17" spans="3:26">
      <c r="C17" s="611" t="s">
        <v>1629</v>
      </c>
      <c r="D17" s="611" t="s">
        <v>429</v>
      </c>
      <c r="E17" s="611" t="s">
        <v>127</v>
      </c>
      <c r="F17" s="612" t="s">
        <v>1621</v>
      </c>
      <c r="G17" s="611" t="s">
        <v>199</v>
      </c>
      <c r="H17" s="611"/>
      <c r="I17" s="625" t="s">
        <v>1622</v>
      </c>
      <c r="J17" s="613">
        <f>IF(D17="NLS type 1/2/3",IF(E17="VDSL bonding",'Parameters ULL'!$E$29,'Parameters ULL'!$E$28),INDEX('Inkoop tarief elementen'!$D$11:$F$11,MATCH(E17,'Inkoop tarief elementen'!$D$9:$F$9,0)))/'Parameters ULL'!$E$10</f>
        <v>0.47611111111111115</v>
      </c>
      <c r="K17" s="224">
        <f>INDEX('Inkoop tarief elementen'!$E$21:$E$23,MATCH(E17,'Inkoop tarief elementen'!$D$21:$D$23,0))/'Parameters ULL'!$E$10</f>
        <v>0.28277777777777779</v>
      </c>
      <c r="L17" s="626">
        <f t="shared" si="0"/>
        <v>0.75888888888888895</v>
      </c>
      <c r="M17" s="613">
        <f>INDEX('Inkoop tarief elementen'!$E$26:$E$28,MATCH($E17,'Inkoop tarief elementen'!$D$26:$D$28,0))</f>
        <v>0.1111</v>
      </c>
      <c r="N17" s="224">
        <f>IF(G17="7x24 repairtime 8h",'Inkoop tarief elementen'!$E$38,0)</f>
        <v>2.39</v>
      </c>
      <c r="O17" s="224">
        <f>'Inkoop tarief elementen'!$E$33/'Parameters ULL'!$E$10</f>
        <v>5.5833333333333325E-2</v>
      </c>
      <c r="P17" s="224">
        <f>IF(E17="VDSL bonding",collocatie!$J$97,collocatie!$J$67)</f>
        <v>0.99975111111111126</v>
      </c>
      <c r="Q17" s="224">
        <f>IF(E17="VDSL bonding",'EDC minus lijst ULL'!$D$9+'EDC minus lijst ULL'!$E$9,'EDC minus lijst ULL'!$D$3+'EDC minus lijst ULL'!$E$3)</f>
        <v>0.2</v>
      </c>
      <c r="R17" s="224">
        <f>IF(E17="VDSL bonding",'EDC minus lijst ULL'!$K$9+'EDC minus lijst ULL'!$L$9,'EDC minus lijst ULL'!$K$3+'EDC minus lijst ULL'!$L$3)</f>
        <v>0.2</v>
      </c>
      <c r="S17" s="626">
        <f t="shared" si="1"/>
        <v>3.9566844444444449</v>
      </c>
      <c r="T17" s="627">
        <f t="shared" si="2"/>
        <v>4.7155733333333334</v>
      </c>
      <c r="V17" s="481" t="str">
        <f t="shared" si="3"/>
        <v/>
      </c>
      <c r="W17" s="830">
        <f t="shared" si="4"/>
        <v>1.5666844444444448</v>
      </c>
      <c r="X17" s="830">
        <f>L17*'Parameters ULL'!$E$10</f>
        <v>27.32</v>
      </c>
      <c r="Y17" s="481" t="str">
        <f t="shared" si="5"/>
        <v>7x24 repairtime 8h</v>
      </c>
      <c r="Z17" s="616">
        <f t="shared" si="6"/>
        <v>2.39</v>
      </c>
    </row>
    <row r="18" spans="3:26">
      <c r="C18" s="611" t="s">
        <v>1629</v>
      </c>
      <c r="D18" s="611" t="s">
        <v>429</v>
      </c>
      <c r="E18" s="611" t="s">
        <v>224</v>
      </c>
      <c r="F18" s="612" t="s">
        <v>1621</v>
      </c>
      <c r="G18" s="611" t="s">
        <v>199</v>
      </c>
      <c r="H18" s="611"/>
      <c r="I18" s="625" t="s">
        <v>1622</v>
      </c>
      <c r="J18" s="613">
        <f>IF(D18="NLS type 1/2/3",IF(E18="VDSL bonding",'Parameters ULL'!$E$29,'Parameters ULL'!$E$28),INDEX('Inkoop tarief elementen'!$D$11:$F$11,MATCH(E18,'Inkoop tarief elementen'!$D$9:$F$9,0)))/'Parameters ULL'!$E$10</f>
        <v>0.36472222222222223</v>
      </c>
      <c r="K18" s="224">
        <f>INDEX('Inkoop tarief elementen'!$E$21:$E$23,MATCH(E18,'Inkoop tarief elementen'!$D$21:$D$23,0))/'Parameters ULL'!$E$10</f>
        <v>0.1713888888888889</v>
      </c>
      <c r="L18" s="626">
        <f t="shared" si="0"/>
        <v>0.53611111111111109</v>
      </c>
      <c r="M18" s="613">
        <f>INDEX('Inkoop tarief elementen'!$E$26:$E$28,MATCH($E18,'Inkoop tarief elementen'!$D$26:$D$28,0))</f>
        <v>7.93</v>
      </c>
      <c r="N18" s="224">
        <f>IF(G18="7x24 repairtime 8h",'Inkoop tarief elementen'!$E$38,0)</f>
        <v>2.39</v>
      </c>
      <c r="O18" s="224">
        <f>'Inkoop tarief elementen'!$E$33/'Parameters ULL'!$E$10</f>
        <v>5.5833333333333325E-2</v>
      </c>
      <c r="P18" s="224">
        <f>IF(E18="VDSL bonding",collocatie!$J$97,collocatie!$J$67)</f>
        <v>0.99975111111111126</v>
      </c>
      <c r="Q18" s="224">
        <f>IF(E18="VDSL bonding",'EDC minus lijst ULL'!$D$9+'EDC minus lijst ULL'!$E$9,'EDC minus lijst ULL'!$D$3+'EDC minus lijst ULL'!$E$3)</f>
        <v>0.2</v>
      </c>
      <c r="R18" s="224">
        <f>IF(E18="VDSL bonding",'EDC minus lijst ULL'!$K$9+'EDC minus lijst ULL'!$L$9,'EDC minus lijst ULL'!$K$3+'EDC minus lijst ULL'!$L$3)</f>
        <v>0.2</v>
      </c>
      <c r="S18" s="626">
        <f t="shared" si="1"/>
        <v>11.775584444444444</v>
      </c>
      <c r="T18" s="627">
        <f t="shared" si="2"/>
        <v>12.311695555555556</v>
      </c>
      <c r="V18" s="481" t="str">
        <f t="shared" si="3"/>
        <v/>
      </c>
      <c r="W18" s="830">
        <f t="shared" si="4"/>
        <v>9.3855844444444436</v>
      </c>
      <c r="X18" s="830">
        <f>L18*'Parameters ULL'!$E$10</f>
        <v>19.3</v>
      </c>
      <c r="Y18" s="481" t="str">
        <f t="shared" si="5"/>
        <v>7x24 repairtime 8h</v>
      </c>
      <c r="Z18" s="616">
        <f t="shared" si="6"/>
        <v>2.39</v>
      </c>
    </row>
    <row r="19" spans="3:26">
      <c r="C19" s="611" t="s">
        <v>1629</v>
      </c>
      <c r="D19" s="611" t="s">
        <v>1620</v>
      </c>
      <c r="E19" s="611" t="s">
        <v>222</v>
      </c>
      <c r="F19" s="612" t="s">
        <v>1621</v>
      </c>
      <c r="G19" s="611" t="s">
        <v>498</v>
      </c>
      <c r="H19" s="611"/>
      <c r="I19" s="625" t="s">
        <v>1622</v>
      </c>
      <c r="J19" s="613">
        <f>IF(D19="NLS type 1/2/3",IF(E19="VDSL bonding",'Parameters ULL'!$E$29,'Parameters ULL'!$E$28),INDEX('Inkoop tarief elementen'!$D$11:$F$11,MATCH(E19,'Inkoop tarief elementen'!$D$9:$F$9,0)))/'Parameters ULL'!$E$10</f>
        <v>4.6355555555555554</v>
      </c>
      <c r="K19" s="224">
        <f>INDEX('Inkoop tarief elementen'!$E$21:$E$23,MATCH(E19,'Inkoop tarief elementen'!$D$21:$D$23,0))/'Parameters ULL'!$E$10</f>
        <v>0.42944444444444446</v>
      </c>
      <c r="L19" s="626">
        <f t="shared" si="0"/>
        <v>5.0649999999999995</v>
      </c>
      <c r="M19" s="613">
        <f>INDEX('Inkoop tarief elementen'!$E$26:$E$28,MATCH($E19,'Inkoop tarief elementen'!$D$26:$D$28,0))</f>
        <v>8.3800000000000008</v>
      </c>
      <c r="N19" s="224">
        <f>IF(G19="7x24 repairtime 8h",'Inkoop tarief elementen'!$E$38,0)</f>
        <v>0</v>
      </c>
      <c r="O19" s="224">
        <f>'Inkoop tarief elementen'!$E$33/'Parameters ULL'!$E$10</f>
        <v>5.5833333333333325E-2</v>
      </c>
      <c r="P19" s="224">
        <f>IF(E19="VDSL bonding",collocatie!$J$97,collocatie!$J$67)</f>
        <v>1.5228616055555559</v>
      </c>
      <c r="Q19" s="224">
        <f>IF(E19="VDSL bonding",'EDC minus lijst ULL'!$D$9+'EDC minus lijst ULL'!$E$9,'EDC minus lijst ULL'!$D$3+'EDC minus lijst ULL'!$E$3)</f>
        <v>0.2</v>
      </c>
      <c r="R19" s="224">
        <f>IF(E19="VDSL bonding",'EDC minus lijst ULL'!$K$9+'EDC minus lijst ULL'!$L$9,'EDC minus lijst ULL'!$K$3+'EDC minus lijst ULL'!$L$3)</f>
        <v>0.2</v>
      </c>
      <c r="S19" s="626">
        <f>SUM(M19:R19)</f>
        <v>10.35869493888889</v>
      </c>
      <c r="T19" s="627">
        <f>L19+S19</f>
        <v>15.42369493888889</v>
      </c>
      <c r="V19" s="481" t="str">
        <f t="shared" si="3"/>
        <v>VDSL bondingnon-sharednieuw</v>
      </c>
      <c r="W19" s="830">
        <f t="shared" si="4"/>
        <v>10.35869493888889</v>
      </c>
      <c r="X19" s="830">
        <f>L19*'Parameters ULL'!$E$10</f>
        <v>182.33999999999997</v>
      </c>
      <c r="Y19" s="481" t="str">
        <f t="shared" si="5"/>
        <v>Standard</v>
      </c>
      <c r="Z19" s="616">
        <f t="shared" si="6"/>
        <v>0</v>
      </c>
    </row>
    <row r="20" spans="3:26">
      <c r="C20" s="611" t="s">
        <v>1629</v>
      </c>
      <c r="D20" s="611" t="s">
        <v>1620</v>
      </c>
      <c r="E20" s="611" t="s">
        <v>222</v>
      </c>
      <c r="F20" s="612" t="s">
        <v>1621</v>
      </c>
      <c r="G20" s="611" t="s">
        <v>199</v>
      </c>
      <c r="H20" s="611"/>
      <c r="I20" s="625" t="s">
        <v>1622</v>
      </c>
      <c r="J20" s="613">
        <f>IF(D20="NLS type 1/2/3",IF(E20="VDSL bonding",'Parameters ULL'!$E$29,'Parameters ULL'!$E$28),INDEX('Inkoop tarief elementen'!$D$11:$F$11,MATCH(E20,'Inkoop tarief elementen'!$D$9:$F$9,0)))/'Parameters ULL'!$E$10</f>
        <v>4.6355555555555554</v>
      </c>
      <c r="K20" s="224">
        <f>INDEX('Inkoop tarief elementen'!$E$21:$E$23,MATCH(E20,'Inkoop tarief elementen'!$D$21:$D$23,0))/'Parameters ULL'!$E$10</f>
        <v>0.42944444444444446</v>
      </c>
      <c r="L20" s="626">
        <f t="shared" si="0"/>
        <v>5.0649999999999995</v>
      </c>
      <c r="M20" s="613">
        <f>INDEX('Inkoop tarief elementen'!$E$26:$E$28,MATCH($E20,'Inkoop tarief elementen'!$D$26:$D$28,0))</f>
        <v>8.3800000000000008</v>
      </c>
      <c r="N20" s="224">
        <f>IF(G20="7x24 repairtime 8h",'Inkoop tarief elementen'!$E$38,0)</f>
        <v>2.39</v>
      </c>
      <c r="O20" s="224">
        <f>'Inkoop tarief elementen'!$E$33/'Parameters ULL'!$E$10</f>
        <v>5.5833333333333325E-2</v>
      </c>
      <c r="P20" s="224">
        <f>IF(E20="VDSL bonding",collocatie!$J$97,collocatie!$J$67)</f>
        <v>1.5228616055555559</v>
      </c>
      <c r="Q20" s="224">
        <f>IF(E20="VDSL bonding",'EDC minus lijst ULL'!$D$9+'EDC minus lijst ULL'!$E$9,'EDC minus lijst ULL'!$D$3+'EDC minus lijst ULL'!$E$3)</f>
        <v>0.2</v>
      </c>
      <c r="R20" s="224">
        <f>IF(E20="VDSL bonding",'EDC minus lijst ULL'!$K$9+'EDC minus lijst ULL'!$L$9,'EDC minus lijst ULL'!$K$3+'EDC minus lijst ULL'!$L$3)</f>
        <v>0.2</v>
      </c>
      <c r="S20" s="626">
        <f t="shared" ref="S20:S22" si="7">SUM(M20:R20)</f>
        <v>12.748694938888891</v>
      </c>
      <c r="T20" s="627">
        <f t="shared" ref="T20:T22" si="8">L20+S20</f>
        <v>17.81369493888889</v>
      </c>
      <c r="V20" s="481" t="str">
        <f t="shared" si="3"/>
        <v>VDSL bondingnon-sharednieuw</v>
      </c>
      <c r="W20" s="830">
        <f t="shared" si="4"/>
        <v>10.35869493888889</v>
      </c>
      <c r="X20" s="830">
        <f>L20*'Parameters ULL'!$E$10</f>
        <v>182.33999999999997</v>
      </c>
      <c r="Y20" s="481" t="str">
        <f t="shared" si="5"/>
        <v>7x24 repairtime 8h</v>
      </c>
      <c r="Z20" s="616">
        <f t="shared" si="6"/>
        <v>2.39</v>
      </c>
    </row>
    <row r="21" spans="3:26">
      <c r="C21" s="611" t="s">
        <v>1629</v>
      </c>
      <c r="D21" s="611" t="s">
        <v>429</v>
      </c>
      <c r="E21" s="611" t="s">
        <v>222</v>
      </c>
      <c r="F21" s="612" t="s">
        <v>1621</v>
      </c>
      <c r="G21" s="611" t="s">
        <v>498</v>
      </c>
      <c r="H21" s="611"/>
      <c r="I21" s="625" t="s">
        <v>1622</v>
      </c>
      <c r="J21" s="613">
        <f>IF(D21="NLS type 1/2/3",IF(E21="VDSL bonding",'Parameters ULL'!$E$29,'Parameters ULL'!$E$28),INDEX('Inkoop tarief elementen'!$D$11:$F$11,MATCH(E21,'Inkoop tarief elementen'!$D$9:$F$9,0)))/'Parameters ULL'!$E$10</f>
        <v>0.84194444444444438</v>
      </c>
      <c r="K21" s="224">
        <f>INDEX('Inkoop tarief elementen'!$E$21:$E$23,MATCH(E21,'Inkoop tarief elementen'!$D$21:$D$23,0))/'Parameters ULL'!$E$10</f>
        <v>0.42944444444444446</v>
      </c>
      <c r="L21" s="626">
        <f t="shared" si="0"/>
        <v>1.2713888888888889</v>
      </c>
      <c r="M21" s="613">
        <f>INDEX('Inkoop tarief elementen'!$E$26:$E$28,MATCH($E21,'Inkoop tarief elementen'!$D$26:$D$28,0))</f>
        <v>8.3800000000000008</v>
      </c>
      <c r="N21" s="224">
        <f>IF(G21="7x24 repairtime 8h",'Inkoop tarief elementen'!$E$38,0)</f>
        <v>0</v>
      </c>
      <c r="O21" s="224">
        <f>'Inkoop tarief elementen'!$E$33/'Parameters ULL'!$E$10</f>
        <v>5.5833333333333325E-2</v>
      </c>
      <c r="P21" s="224">
        <f>IF(E21="VDSL bonding",collocatie!$J$97,collocatie!$J$67)</f>
        <v>1.5228616055555559</v>
      </c>
      <c r="Q21" s="224">
        <f>IF(E21="VDSL bonding",'EDC minus lijst ULL'!$D$9+'EDC minus lijst ULL'!$E$9,'EDC minus lijst ULL'!$D$3+'EDC minus lijst ULL'!$E$3)</f>
        <v>0.2</v>
      </c>
      <c r="R21" s="224">
        <f>IF(E21="VDSL bonding",'EDC minus lijst ULL'!$K$9+'EDC minus lijst ULL'!$L$9,'EDC minus lijst ULL'!$K$3+'EDC minus lijst ULL'!$L$3)</f>
        <v>0.2</v>
      </c>
      <c r="S21" s="626">
        <f t="shared" si="7"/>
        <v>10.35869493888889</v>
      </c>
      <c r="T21" s="627">
        <f t="shared" si="8"/>
        <v>11.63008382777778</v>
      </c>
      <c r="V21" s="481" t="str">
        <f t="shared" si="3"/>
        <v/>
      </c>
      <c r="W21" s="830">
        <f t="shared" si="4"/>
        <v>10.35869493888889</v>
      </c>
      <c r="X21" s="830">
        <f>L21*'Parameters ULL'!$E$10</f>
        <v>45.77</v>
      </c>
      <c r="Y21" s="481" t="str">
        <f t="shared" si="5"/>
        <v>Standard</v>
      </c>
      <c r="Z21" s="616">
        <f t="shared" si="6"/>
        <v>0</v>
      </c>
    </row>
    <row r="22" spans="3:26">
      <c r="C22" s="611" t="s">
        <v>1629</v>
      </c>
      <c r="D22" s="611" t="s">
        <v>429</v>
      </c>
      <c r="E22" s="611" t="s">
        <v>222</v>
      </c>
      <c r="F22" s="612" t="s">
        <v>1621</v>
      </c>
      <c r="G22" s="611" t="s">
        <v>199</v>
      </c>
      <c r="H22" s="611"/>
      <c r="I22" s="625" t="s">
        <v>1622</v>
      </c>
      <c r="J22" s="613">
        <f>IF(D22="NLS type 1/2/3",IF(E22="VDSL bonding",'Parameters ULL'!$E$29,'Parameters ULL'!$E$28),INDEX('Inkoop tarief elementen'!$D$11:$F$11,MATCH(E22,'Inkoop tarief elementen'!$D$9:$F$9,0)))/'Parameters ULL'!$E$10</f>
        <v>0.84194444444444438</v>
      </c>
      <c r="K22" s="224">
        <f>INDEX('Inkoop tarief elementen'!$E$21:$E$23,MATCH(E22,'Inkoop tarief elementen'!$D$21:$D$23,0))/'Parameters ULL'!$E$10</f>
        <v>0.42944444444444446</v>
      </c>
      <c r="L22" s="626">
        <f t="shared" si="0"/>
        <v>1.2713888888888889</v>
      </c>
      <c r="M22" s="613">
        <f>INDEX('Inkoop tarief elementen'!$E$26:$E$28,MATCH($E22,'Inkoop tarief elementen'!$D$26:$D$28,0))</f>
        <v>8.3800000000000008</v>
      </c>
      <c r="N22" s="224">
        <f>IF(G22="7x24 repairtime 8h",'Inkoop tarief elementen'!$E$38,0)</f>
        <v>2.39</v>
      </c>
      <c r="O22" s="224">
        <f>'Inkoop tarief elementen'!$E$33/'Parameters ULL'!$E$10</f>
        <v>5.5833333333333325E-2</v>
      </c>
      <c r="P22" s="224">
        <f>IF(E22="VDSL bonding",collocatie!$J$97,collocatie!$J$67)</f>
        <v>1.5228616055555559</v>
      </c>
      <c r="Q22" s="224">
        <f>IF(E22="VDSL bonding",'EDC minus lijst ULL'!$D$9+'EDC minus lijst ULL'!$E$9,'EDC minus lijst ULL'!$D$3+'EDC minus lijst ULL'!$E$3)</f>
        <v>0.2</v>
      </c>
      <c r="R22" s="224">
        <f>IF(E22="VDSL bonding",'EDC minus lijst ULL'!$K$9+'EDC minus lijst ULL'!$L$9,'EDC minus lijst ULL'!$K$3+'EDC minus lijst ULL'!$L$3)</f>
        <v>0.2</v>
      </c>
      <c r="S22" s="626">
        <f t="shared" si="7"/>
        <v>12.748694938888891</v>
      </c>
      <c r="T22" s="627">
        <f t="shared" si="8"/>
        <v>14.02008382777778</v>
      </c>
      <c r="V22" s="481" t="str">
        <f t="shared" si="3"/>
        <v/>
      </c>
      <c r="W22" s="830">
        <f t="shared" si="4"/>
        <v>10.35869493888889</v>
      </c>
      <c r="X22" s="830">
        <f>L22*'Parameters ULL'!$E$10</f>
        <v>45.77</v>
      </c>
      <c r="Y22" s="481" t="str">
        <f t="shared" si="5"/>
        <v>7x24 repairtime 8h</v>
      </c>
      <c r="Z22" s="616">
        <f t="shared" si="6"/>
        <v>2.39</v>
      </c>
    </row>
    <row r="23" spans="3:26">
      <c r="W23" s="827"/>
      <c r="X23" s="827"/>
    </row>
    <row r="24" spans="3:26"/>
    <row r="25" spans="3:26"/>
    <row r="26" spans="3:26"/>
    <row r="27" spans="3:26"/>
    <row r="28" spans="3:26"/>
    <row r="29" spans="3:26"/>
    <row r="30" spans="3:26"/>
    <row r="31" spans="3:26"/>
    <row r="32" spans="3:26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</sheetData>
  <autoFilter ref="C10:T22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CC00"/>
  </sheetPr>
  <dimension ref="A1:V6756"/>
  <sheetViews>
    <sheetView topLeftCell="J1" workbookViewId="0">
      <selection activeCell="R10" sqref="R10"/>
    </sheetView>
  </sheetViews>
  <sheetFormatPr defaultColWidth="10.28515625" defaultRowHeight="12.75" zeroHeight="1"/>
  <cols>
    <col min="1" max="1" width="3.7109375" style="631" customWidth="1"/>
    <col min="2" max="2" width="3.5703125" style="631" customWidth="1"/>
    <col min="3" max="3" width="22.42578125" style="631" customWidth="1"/>
    <col min="4" max="4" width="16.140625" style="631" customWidth="1"/>
    <col min="5" max="5" width="12.5703125" style="631" bestFit="1" customWidth="1"/>
    <col min="6" max="6" width="15.5703125" style="631" bestFit="1" customWidth="1"/>
    <col min="7" max="8" width="15.5703125" style="631" customWidth="1"/>
    <col min="9" max="10" width="15.5703125" style="631" bestFit="1" customWidth="1"/>
    <col min="11" max="13" width="15.5703125" style="631" customWidth="1"/>
    <col min="14" max="16" width="15.5703125" style="631" bestFit="1" customWidth="1"/>
    <col min="17" max="17" width="10.28515625" style="631"/>
    <col min="18" max="18" width="21.42578125" style="631" bestFit="1" customWidth="1"/>
    <col min="19" max="20" width="10.28515625" style="631"/>
    <col min="21" max="21" width="13.85546875" style="631" customWidth="1"/>
    <col min="22" max="16384" width="10.28515625" style="631"/>
  </cols>
  <sheetData>
    <row r="1" spans="1:22" s="628" customFormat="1"/>
    <row r="2" spans="1:22" s="628" customFormat="1">
      <c r="C2" s="629" t="str">
        <f ca="1">UPPER(MID(CELL("filename",A1),FIND("[",CELL("filename",A1))+1,FIND("]",CELL("filename",A1))-FIND("[",CELL("filename",A1))-5))</f>
        <v>LPM MB15 - EPACITY DSL 20170201 OPENBAAR.</v>
      </c>
      <c r="D2" s="629"/>
      <c r="E2" s="629"/>
    </row>
    <row r="3" spans="1:22" s="628" customFormat="1">
      <c r="C3" s="628" t="str">
        <f ca="1">UPPER(MID(CELL("filename",A2),FIND("]",CELL("filename",A2))+1,LEN(CELL("filename",A2))))</f>
        <v>INKOOP ODF FTTH</v>
      </c>
    </row>
    <row r="4" spans="1:22" s="630" customFormat="1"/>
    <row r="5" spans="1:22" s="633" customFormat="1">
      <c r="A5" s="631"/>
      <c r="B5" s="631"/>
      <c r="C5" s="632"/>
      <c r="D5" s="632"/>
      <c r="E5" s="632"/>
    </row>
    <row r="6" spans="1:22" s="633" customFormat="1" ht="13.5" thickBot="1">
      <c r="A6" s="631"/>
      <c r="B6" s="631"/>
      <c r="C6" s="632"/>
      <c r="D6" s="632"/>
      <c r="E6" s="632"/>
    </row>
    <row r="7" spans="1:22" s="633" customFormat="1">
      <c r="A7" s="631"/>
      <c r="B7" s="631"/>
      <c r="C7" s="634"/>
      <c r="D7" s="632" t="s">
        <v>1597</v>
      </c>
      <c r="E7" s="635">
        <f>COUNTA($C$13:$C$8900)</f>
        <v>4</v>
      </c>
      <c r="F7" s="636"/>
      <c r="G7" s="637"/>
      <c r="H7" s="638"/>
      <c r="I7" s="637"/>
      <c r="J7" s="637"/>
      <c r="K7" s="637"/>
      <c r="L7" s="637"/>
      <c r="M7" s="637"/>
      <c r="N7" s="637"/>
      <c r="O7" s="637"/>
      <c r="P7" s="639"/>
    </row>
    <row r="8" spans="1:22" s="633" customFormat="1">
      <c r="A8" s="631"/>
      <c r="B8" s="631"/>
      <c r="C8" s="632"/>
      <c r="D8" s="632"/>
      <c r="E8" s="632"/>
      <c r="F8" s="640"/>
      <c r="G8" s="641"/>
      <c r="H8" s="642"/>
      <c r="I8" s="641"/>
      <c r="J8" s="641"/>
      <c r="K8" s="641"/>
      <c r="L8" s="641"/>
      <c r="M8" s="641"/>
      <c r="N8" s="641"/>
      <c r="O8" s="641"/>
      <c r="P8" s="643"/>
    </row>
    <row r="9" spans="1:22" s="633" customFormat="1" ht="27" customHeight="1">
      <c r="A9" s="631"/>
      <c r="B9" s="644"/>
      <c r="C9" s="645"/>
      <c r="D9" s="645"/>
      <c r="E9" s="645"/>
      <c r="F9" s="646" t="s">
        <v>1598</v>
      </c>
      <c r="G9" s="644" t="s">
        <v>1598</v>
      </c>
      <c r="H9" s="647" t="s">
        <v>1598</v>
      </c>
      <c r="I9" s="644" t="s">
        <v>1599</v>
      </c>
      <c r="J9" s="648" t="s">
        <v>1599</v>
      </c>
      <c r="K9" s="648" t="s">
        <v>1599</v>
      </c>
      <c r="L9" s="591" t="s">
        <v>1599</v>
      </c>
      <c r="M9" s="644" t="s">
        <v>1599</v>
      </c>
      <c r="N9" s="644" t="s">
        <v>1599</v>
      </c>
      <c r="O9" s="644" t="s">
        <v>1599</v>
      </c>
      <c r="P9" s="649" t="s">
        <v>1600</v>
      </c>
    </row>
    <row r="10" spans="1:22" s="633" customFormat="1" ht="38.25">
      <c r="A10" s="631"/>
      <c r="B10" s="644"/>
      <c r="C10" s="650" t="s">
        <v>422</v>
      </c>
      <c r="D10" s="596" t="s">
        <v>423</v>
      </c>
      <c r="E10" s="651" t="s">
        <v>1190</v>
      </c>
      <c r="F10" s="652" t="s">
        <v>163</v>
      </c>
      <c r="G10" s="653" t="s">
        <v>164</v>
      </c>
      <c r="H10" s="654" t="s">
        <v>1606</v>
      </c>
      <c r="I10" s="655" t="s">
        <v>426</v>
      </c>
      <c r="J10" s="655" t="s">
        <v>497</v>
      </c>
      <c r="K10" s="655" t="s">
        <v>1190</v>
      </c>
      <c r="L10" s="598" t="s">
        <v>496</v>
      </c>
      <c r="M10" s="653" t="s">
        <v>1630</v>
      </c>
      <c r="N10" s="653" t="s">
        <v>1631</v>
      </c>
      <c r="O10" s="656" t="s">
        <v>1612</v>
      </c>
      <c r="P10" s="657" t="s">
        <v>1613</v>
      </c>
      <c r="R10" s="581" t="s">
        <v>501</v>
      </c>
      <c r="S10" s="828" t="s">
        <v>1626</v>
      </c>
      <c r="T10" s="828" t="s">
        <v>1626</v>
      </c>
      <c r="U10" s="604" t="s">
        <v>1617</v>
      </c>
      <c r="V10" s="604" t="s">
        <v>1627</v>
      </c>
    </row>
    <row r="11" spans="1:22" s="633" customFormat="1">
      <c r="A11" s="631"/>
      <c r="B11" s="631"/>
      <c r="C11" s="631"/>
      <c r="D11" s="481"/>
      <c r="E11" s="631"/>
      <c r="F11" s="658"/>
      <c r="G11" s="222"/>
      <c r="H11" s="223"/>
      <c r="I11" s="259"/>
      <c r="J11" s="259"/>
      <c r="K11" s="259"/>
      <c r="L11" s="222"/>
      <c r="M11" s="222"/>
      <c r="N11" s="222"/>
      <c r="O11" s="222"/>
      <c r="P11" s="624"/>
      <c r="R11" s="581"/>
      <c r="S11" s="829" t="s">
        <v>145</v>
      </c>
      <c r="T11" s="829"/>
      <c r="U11" s="581"/>
      <c r="V11" s="581"/>
    </row>
    <row r="12" spans="1:22" s="633" customFormat="1" ht="15.75">
      <c r="A12" s="631"/>
      <c r="B12" s="631"/>
      <c r="C12" s="659" t="s">
        <v>1632</v>
      </c>
      <c r="D12" s="610"/>
      <c r="E12" s="659"/>
      <c r="F12" s="613"/>
      <c r="G12" s="224"/>
      <c r="H12" s="660"/>
      <c r="I12" s="226"/>
      <c r="J12" s="226"/>
      <c r="K12" s="226"/>
      <c r="L12" s="222"/>
      <c r="M12" s="224"/>
      <c r="N12" s="224"/>
      <c r="O12" s="227"/>
      <c r="P12" s="627"/>
      <c r="R12" s="581"/>
      <c r="S12" s="831"/>
      <c r="T12" s="831"/>
      <c r="U12" s="581"/>
      <c r="V12" s="581"/>
    </row>
    <row r="13" spans="1:22">
      <c r="C13" s="661" t="s">
        <v>1632</v>
      </c>
      <c r="D13" s="611" t="s">
        <v>428</v>
      </c>
      <c r="E13" s="662" t="s">
        <v>498</v>
      </c>
      <c r="F13" s="613">
        <f>IF(D13="new line",'Inkoop tarief elementen'!$E$46,'Inkoop tarief elementen'!$E$47)/'Parameters ULL'!$E$10</f>
        <v>2.8144444444444443</v>
      </c>
      <c r="G13" s="224">
        <f>'Inkoop tarief elementen'!$E$48/'Parameters ULL'!$E$10</f>
        <v>0.36888888888888888</v>
      </c>
      <c r="H13" s="626">
        <f>SUM(F13:G13)</f>
        <v>3.1833333333333331</v>
      </c>
      <c r="I13" s="226">
        <f>'Inkoop tarief elementen'!$E$51</f>
        <v>18.920000000000002</v>
      </c>
      <c r="J13" s="226">
        <f>-'Inkoop tarief elementen'!$E$54*'Inkoop tarief elementen'!$E$51</f>
        <v>-1.857944</v>
      </c>
      <c r="K13" s="226">
        <f>IF(E13="Premium",'Inkoop tarief elementen'!$E$57,0)</f>
        <v>0</v>
      </c>
      <c r="L13" s="224">
        <f>'Inkoop tarief elementen'!$E$79</f>
        <v>0.81116283950000001</v>
      </c>
      <c r="M13" s="224">
        <f>'EDC minus lijst ULL'!$D$4+'EDC minus lijst ULL'!$E$4</f>
        <v>0.2</v>
      </c>
      <c r="N13" s="224">
        <f>'EDC minus lijst ULL'!$K$4+'EDC minus lijst ULL'!$L$4</f>
        <v>0.2</v>
      </c>
      <c r="O13" s="227">
        <f>SUM(I13:N13)</f>
        <v>18.2732188395</v>
      </c>
      <c r="P13" s="627">
        <f>H13+O13</f>
        <v>21.456552172833334</v>
      </c>
      <c r="R13" s="631" t="str">
        <f>IF(D13="telco-telco","","FTTHnon-sharednieuw")</f>
        <v>FTTHnon-sharednieuw</v>
      </c>
      <c r="S13" s="830">
        <f>O13-V13</f>
        <v>18.2732188395</v>
      </c>
      <c r="T13" s="830">
        <f>H13*'Parameters ULL'!$E$10</f>
        <v>114.6</v>
      </c>
      <c r="U13" s="481" t="str">
        <f>E13</f>
        <v>Standard</v>
      </c>
      <c r="V13" s="616">
        <f>K13</f>
        <v>0</v>
      </c>
    </row>
    <row r="14" spans="1:22">
      <c r="C14" s="661" t="s">
        <v>1632</v>
      </c>
      <c r="D14" s="611" t="s">
        <v>429</v>
      </c>
      <c r="E14" s="662" t="s">
        <v>498</v>
      </c>
      <c r="F14" s="613">
        <f>IF(D14="new line",'Inkoop tarief elementen'!$E$46,'Inkoop tarief elementen'!$E$47)/'Parameters ULL'!$E$10</f>
        <v>0.81666666666666665</v>
      </c>
      <c r="G14" s="224">
        <f>'Inkoop tarief elementen'!$E$48/'Parameters ULL'!$E$10</f>
        <v>0.36888888888888888</v>
      </c>
      <c r="H14" s="626">
        <f t="shared" ref="H14:H16" si="0">SUM(F14:G14)</f>
        <v>1.1855555555555555</v>
      </c>
      <c r="I14" s="226">
        <f>'Inkoop tarief elementen'!$E$51</f>
        <v>18.920000000000002</v>
      </c>
      <c r="J14" s="226">
        <f>-'Inkoop tarief elementen'!$E$54*'Inkoop tarief elementen'!$E$51</f>
        <v>-1.857944</v>
      </c>
      <c r="K14" s="226">
        <f>IF(E14="Premium",'Inkoop tarief elementen'!$E$57,0)</f>
        <v>0</v>
      </c>
      <c r="L14" s="224">
        <f>'Inkoop tarief elementen'!$E$79</f>
        <v>0.81116283950000001</v>
      </c>
      <c r="M14" s="224">
        <f>'EDC minus lijst ULL'!$D$4+'EDC minus lijst ULL'!$E$4</f>
        <v>0.2</v>
      </c>
      <c r="N14" s="224">
        <f>'EDC minus lijst ULL'!$K$4+'EDC minus lijst ULL'!$L$4</f>
        <v>0.2</v>
      </c>
      <c r="O14" s="227">
        <f t="shared" ref="O14:O16" si="1">SUM(I14:N14)</f>
        <v>18.2732188395</v>
      </c>
      <c r="P14" s="627">
        <f t="shared" ref="P14:P16" si="2">H14+O14</f>
        <v>19.458774395055556</v>
      </c>
      <c r="R14" s="631" t="str">
        <f t="shared" ref="R14:R16" si="3">IF(D14="telco-telco","","FTTHnon-sharednieuw")</f>
        <v/>
      </c>
      <c r="S14" s="830">
        <f t="shared" ref="S14:S16" si="4">O14-V14</f>
        <v>18.2732188395</v>
      </c>
      <c r="T14" s="830">
        <f>H14*'Parameters ULL'!$E$10</f>
        <v>42.68</v>
      </c>
      <c r="U14" s="481" t="str">
        <f t="shared" ref="U14:U16" si="5">E14</f>
        <v>Standard</v>
      </c>
      <c r="V14" s="616">
        <f t="shared" ref="V14:V16" si="6">K14</f>
        <v>0</v>
      </c>
    </row>
    <row r="15" spans="1:22">
      <c r="C15" s="661" t="s">
        <v>1632</v>
      </c>
      <c r="D15" s="611" t="s">
        <v>428</v>
      </c>
      <c r="E15" s="662" t="s">
        <v>70</v>
      </c>
      <c r="F15" s="613">
        <f>IF(D15="new line",'Inkoop tarief elementen'!$E$46,'Inkoop tarief elementen'!$E$47)/'Parameters ULL'!$E$10</f>
        <v>2.8144444444444443</v>
      </c>
      <c r="G15" s="224">
        <f>'Inkoop tarief elementen'!$E$48/'Parameters ULL'!$E$10</f>
        <v>0.36888888888888888</v>
      </c>
      <c r="H15" s="626">
        <f t="shared" si="0"/>
        <v>3.1833333333333331</v>
      </c>
      <c r="I15" s="226">
        <f>'Inkoop tarief elementen'!$E$51</f>
        <v>18.920000000000002</v>
      </c>
      <c r="J15" s="226">
        <f>-'Inkoop tarief elementen'!$E$54*'Inkoop tarief elementen'!$E$51</f>
        <v>-1.857944</v>
      </c>
      <c r="K15" s="226">
        <f>IF(E15="Premium",'Inkoop tarief elementen'!$E$57,0)</f>
        <v>13.05</v>
      </c>
      <c r="L15" s="224">
        <f>'Inkoop tarief elementen'!$E$79</f>
        <v>0.81116283950000001</v>
      </c>
      <c r="M15" s="224">
        <f>'EDC minus lijst ULL'!$D$4+'EDC minus lijst ULL'!$E$4</f>
        <v>0.2</v>
      </c>
      <c r="N15" s="224">
        <f>'EDC minus lijst ULL'!$K$4+'EDC minus lijst ULL'!$L$4</f>
        <v>0.2</v>
      </c>
      <c r="O15" s="227">
        <f t="shared" si="1"/>
        <v>31.323218839500001</v>
      </c>
      <c r="P15" s="627">
        <f t="shared" si="2"/>
        <v>34.506552172833331</v>
      </c>
      <c r="R15" s="631" t="str">
        <f t="shared" si="3"/>
        <v>FTTHnon-sharednieuw</v>
      </c>
      <c r="S15" s="830">
        <f t="shared" si="4"/>
        <v>18.2732188395</v>
      </c>
      <c r="T15" s="830">
        <f>H15*'Parameters ULL'!$E$10</f>
        <v>114.6</v>
      </c>
      <c r="U15" s="481" t="str">
        <f t="shared" si="5"/>
        <v>Premium</v>
      </c>
      <c r="V15" s="616">
        <f t="shared" si="6"/>
        <v>13.05</v>
      </c>
    </row>
    <row r="16" spans="1:22">
      <c r="C16" s="661" t="s">
        <v>1632</v>
      </c>
      <c r="D16" s="611" t="s">
        <v>429</v>
      </c>
      <c r="E16" s="662" t="s">
        <v>70</v>
      </c>
      <c r="F16" s="613">
        <f>IF(D16="new line",'Inkoop tarief elementen'!$E$46,'Inkoop tarief elementen'!$E$47)/'Parameters ULL'!$E$10</f>
        <v>0.81666666666666665</v>
      </c>
      <c r="G16" s="224">
        <f>'Inkoop tarief elementen'!$E$48/'Parameters ULL'!$E$10</f>
        <v>0.36888888888888888</v>
      </c>
      <c r="H16" s="626">
        <f t="shared" si="0"/>
        <v>1.1855555555555555</v>
      </c>
      <c r="I16" s="226">
        <f>'Inkoop tarief elementen'!$E$51</f>
        <v>18.920000000000002</v>
      </c>
      <c r="J16" s="226">
        <f>-'Inkoop tarief elementen'!$E$54*'Inkoop tarief elementen'!$E$51</f>
        <v>-1.857944</v>
      </c>
      <c r="K16" s="226">
        <f>IF(E16="Premium",'Inkoop tarief elementen'!$E$57,0)</f>
        <v>13.05</v>
      </c>
      <c r="L16" s="224">
        <f>'Inkoop tarief elementen'!$E$79</f>
        <v>0.81116283950000001</v>
      </c>
      <c r="M16" s="224">
        <f>'EDC minus lijst ULL'!$D$4+'EDC minus lijst ULL'!$E$4</f>
        <v>0.2</v>
      </c>
      <c r="N16" s="224">
        <f>'EDC minus lijst ULL'!$K$4+'EDC minus lijst ULL'!$L$4</f>
        <v>0.2</v>
      </c>
      <c r="O16" s="227">
        <f t="shared" si="1"/>
        <v>31.323218839500001</v>
      </c>
      <c r="P16" s="627">
        <f t="shared" si="2"/>
        <v>32.508774395055553</v>
      </c>
      <c r="R16" s="631" t="str">
        <f t="shared" si="3"/>
        <v/>
      </c>
      <c r="S16" s="830">
        <f t="shared" si="4"/>
        <v>18.2732188395</v>
      </c>
      <c r="T16" s="830">
        <f>H16*'Parameters ULL'!$E$10</f>
        <v>42.68</v>
      </c>
      <c r="U16" s="481" t="str">
        <f t="shared" si="5"/>
        <v>Premium</v>
      </c>
      <c r="V16" s="616">
        <f t="shared" si="6"/>
        <v>13.05</v>
      </c>
    </row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</sheetData>
  <autoFilter ref="C10:P14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L56"/>
  <sheetViews>
    <sheetView topLeftCell="B1" workbookViewId="0">
      <selection activeCell="D36" sqref="D36"/>
    </sheetView>
  </sheetViews>
  <sheetFormatPr defaultRowHeight="15"/>
  <cols>
    <col min="2" max="2" width="23.28515625" customWidth="1"/>
    <col min="3" max="3" width="17.7109375" bestFit="1" customWidth="1"/>
    <col min="4" max="4" width="18.7109375" customWidth="1"/>
    <col min="5" max="5" width="18.28515625" bestFit="1" customWidth="1"/>
    <col min="6" max="6" width="21.28515625" customWidth="1"/>
    <col min="7" max="7" width="42.140625" customWidth="1"/>
    <col min="8" max="8" width="26.85546875" customWidth="1"/>
    <col min="9" max="9" width="18.140625" bestFit="1" customWidth="1"/>
    <col min="10" max="10" width="12.5703125" bestFit="1" customWidth="1"/>
    <col min="11" max="11" width="14.5703125" bestFit="1" customWidth="1"/>
  </cols>
  <sheetData>
    <row r="2" spans="1:12" ht="15.75">
      <c r="A2" s="464" t="s">
        <v>1347</v>
      </c>
    </row>
    <row r="3" spans="1:12" ht="15.75">
      <c r="B3" s="464" t="s">
        <v>376</v>
      </c>
      <c r="C3" s="464" t="s">
        <v>148</v>
      </c>
      <c r="D3" s="464" t="s">
        <v>149</v>
      </c>
      <c r="E3" s="464" t="s">
        <v>1348</v>
      </c>
      <c r="F3" s="464" t="s">
        <v>1349</v>
      </c>
      <c r="G3" s="464" t="s">
        <v>1350</v>
      </c>
      <c r="H3" s="464" t="s">
        <v>1351</v>
      </c>
      <c r="I3" s="674" t="s">
        <v>1713</v>
      </c>
      <c r="J3" s="674" t="s">
        <v>1714</v>
      </c>
      <c r="K3" s="674" t="s">
        <v>1715</v>
      </c>
    </row>
    <row r="4" spans="1:12">
      <c r="B4" s="832" t="s">
        <v>42</v>
      </c>
      <c r="C4" s="832" t="s">
        <v>126</v>
      </c>
      <c r="D4" s="832" t="s">
        <v>128</v>
      </c>
      <c r="E4" s="832" t="s">
        <v>1352</v>
      </c>
      <c r="F4" s="832"/>
      <c r="G4" s="832" t="s">
        <v>1346</v>
      </c>
      <c r="H4" s="832" t="s">
        <v>1353</v>
      </c>
      <c r="I4" s="833">
        <f>INDEX('inkoop VULA'!AA:AA,MATCH($G4,'inkoop VULA'!$Z:$Z,0))</f>
        <v>12.501783475119046</v>
      </c>
      <c r="J4" s="833">
        <f>INDEX('inkoop VULA'!AB:AB,MATCH($G4,'inkoop VULA'!$Z:$Z,0))</f>
        <v>75</v>
      </c>
      <c r="K4" s="832"/>
      <c r="L4" s="832"/>
    </row>
    <row r="5" spans="1:12">
      <c r="B5" s="832" t="s">
        <v>77</v>
      </c>
      <c r="C5" s="832" t="s">
        <v>126</v>
      </c>
      <c r="D5" s="832" t="s">
        <v>128</v>
      </c>
      <c r="E5" s="832" t="s">
        <v>1352</v>
      </c>
      <c r="F5" s="832"/>
      <c r="G5" s="832" t="s">
        <v>1346</v>
      </c>
      <c r="H5" s="832" t="s">
        <v>1354</v>
      </c>
      <c r="I5" s="833">
        <f>INDEX('inkoop VULA'!AA:AA,MATCH($G5,'inkoop VULA'!$Z:$Z,0))</f>
        <v>12.501783475119046</v>
      </c>
      <c r="J5" s="833">
        <f>INDEX('inkoop VULA'!AB:AB,MATCH($G5,'inkoop VULA'!$Z:$Z,0))</f>
        <v>75</v>
      </c>
      <c r="K5" s="832"/>
      <c r="L5" s="832"/>
    </row>
    <row r="6" spans="1:12">
      <c r="B6" s="832" t="s">
        <v>77</v>
      </c>
      <c r="C6" s="832" t="s">
        <v>115</v>
      </c>
      <c r="D6" s="832" t="s">
        <v>128</v>
      </c>
      <c r="E6" s="832" t="s">
        <v>1352</v>
      </c>
      <c r="F6" s="832"/>
      <c r="G6" s="832" t="s">
        <v>1355</v>
      </c>
      <c r="H6" s="832" t="s">
        <v>1356</v>
      </c>
      <c r="I6" s="833">
        <f>INDEX('inkoop VULA'!AA:AA,MATCH($G6,'inkoop VULA'!$Z:$Z,0))</f>
        <v>12.501783475119046</v>
      </c>
      <c r="J6" s="833">
        <f>INDEX('inkoop VULA'!AB:AB,MATCH($G6,'inkoop VULA'!$Z:$Z,0))</f>
        <v>35</v>
      </c>
      <c r="K6" s="832"/>
      <c r="L6" s="832"/>
    </row>
    <row r="7" spans="1:12">
      <c r="B7" s="832" t="s">
        <v>42</v>
      </c>
      <c r="C7" s="832" t="s">
        <v>115</v>
      </c>
      <c r="D7" s="832" t="s">
        <v>128</v>
      </c>
      <c r="E7" s="832" t="s">
        <v>1352</v>
      </c>
      <c r="F7" s="832"/>
      <c r="G7" s="832" t="s">
        <v>1355</v>
      </c>
      <c r="H7" s="832" t="s">
        <v>1357</v>
      </c>
      <c r="I7" s="833">
        <f>INDEX('inkoop VULA'!AA:AA,MATCH($G7,'inkoop VULA'!$Z:$Z,0))</f>
        <v>12.501783475119046</v>
      </c>
      <c r="J7" s="833">
        <f>INDEX('inkoop VULA'!AB:AB,MATCH($G7,'inkoop VULA'!$Z:$Z,0))</f>
        <v>35</v>
      </c>
      <c r="K7" s="832"/>
      <c r="L7" s="832"/>
    </row>
    <row r="8" spans="1:12">
      <c r="B8" s="832" t="s">
        <v>77</v>
      </c>
      <c r="C8" s="832" t="s">
        <v>115</v>
      </c>
      <c r="D8" s="832" t="s">
        <v>127</v>
      </c>
      <c r="E8" s="832" t="s">
        <v>1352</v>
      </c>
      <c r="F8" s="832"/>
      <c r="G8" s="832" t="s">
        <v>1358</v>
      </c>
      <c r="H8" s="832" t="s">
        <v>1359</v>
      </c>
      <c r="I8" s="833">
        <f>INDEX('inkoop VULA'!AA:AA,MATCH($G8,'inkoop VULA'!$Z:$Z,0))</f>
        <v>6.031783475119048</v>
      </c>
      <c r="J8" s="833">
        <f>INDEX('inkoop VULA'!AB:AB,MATCH($G8,'inkoop VULA'!$Z:$Z,0))</f>
        <v>35</v>
      </c>
      <c r="K8" s="832"/>
      <c r="L8" s="832"/>
    </row>
    <row r="9" spans="1:12">
      <c r="B9" s="832" t="s">
        <v>42</v>
      </c>
      <c r="C9" s="832" t="s">
        <v>115</v>
      </c>
      <c r="D9" s="832" t="s">
        <v>127</v>
      </c>
      <c r="E9" s="832" t="s">
        <v>1352</v>
      </c>
      <c r="F9" s="832"/>
      <c r="G9" s="832" t="s">
        <v>1358</v>
      </c>
      <c r="H9" s="832" t="s">
        <v>1360</v>
      </c>
      <c r="I9" s="833">
        <f>INDEX('inkoop VULA'!AA:AA,MATCH($G9,'inkoop VULA'!$Z:$Z,0))</f>
        <v>6.031783475119048</v>
      </c>
      <c r="J9" s="833">
        <f>INDEX('inkoop VULA'!AB:AB,MATCH($G9,'inkoop VULA'!$Z:$Z,0))</f>
        <v>35</v>
      </c>
      <c r="K9" s="832"/>
      <c r="L9" s="832"/>
    </row>
    <row r="10" spans="1:12">
      <c r="B10" s="832"/>
      <c r="C10" s="832"/>
      <c r="D10" s="832"/>
      <c r="E10" s="832"/>
      <c r="F10" s="832"/>
      <c r="G10" s="832"/>
      <c r="H10" s="832"/>
      <c r="I10" s="833"/>
      <c r="J10" s="832"/>
      <c r="K10" s="832"/>
      <c r="L10" s="832"/>
    </row>
    <row r="11" spans="1:12">
      <c r="B11" s="834" t="s">
        <v>170</v>
      </c>
      <c r="C11" s="834" t="s">
        <v>126</v>
      </c>
      <c r="D11" s="834" t="s">
        <v>128</v>
      </c>
      <c r="E11" s="834" t="s">
        <v>1352</v>
      </c>
      <c r="F11" s="834"/>
      <c r="G11" s="834" t="s">
        <v>1362</v>
      </c>
      <c r="H11" s="834"/>
      <c r="I11" s="835">
        <f>INDEX('inkoop VULA'!AA:AA,MATCH($G11,'inkoop VULA'!$Z:$Z,0))</f>
        <v>16.787259665595236</v>
      </c>
      <c r="J11" s="835">
        <f>INDEX('inkoop VULA'!AB:AB,MATCH($G11,'inkoop VULA'!$Z:$Z,0))</f>
        <v>35</v>
      </c>
      <c r="K11" s="835">
        <f>I11+J11/'Parameters ULL'!$E$10</f>
        <v>17.759481887817458</v>
      </c>
      <c r="L11" s="834" t="s">
        <v>1716</v>
      </c>
    </row>
    <row r="12" spans="1:12">
      <c r="B12" s="834" t="s">
        <v>170</v>
      </c>
      <c r="C12" s="834" t="s">
        <v>126</v>
      </c>
      <c r="D12" s="834" t="s">
        <v>128</v>
      </c>
      <c r="E12" s="834"/>
      <c r="F12" s="834" t="s">
        <v>1361</v>
      </c>
      <c r="G12" s="834" t="s">
        <v>1362</v>
      </c>
      <c r="H12" s="834"/>
      <c r="I12" s="835">
        <f>INDEX('inkoop MDF VDSL'!W:W,MATCH($G12,'inkoop MDF VDSL'!$V:$V,0))</f>
        <v>10.35869493888889</v>
      </c>
      <c r="J12" s="835">
        <f>+INDEX('inkoop MDF VDSL'!X:X,MATCH($G12,'inkoop MDF VDSL'!$V:$V,0))</f>
        <v>182.33999999999997</v>
      </c>
      <c r="K12" s="835">
        <f>I12+J12/'Parameters ULL'!$E$10</f>
        <v>15.42369493888889</v>
      </c>
      <c r="L12" s="834" t="s">
        <v>1717</v>
      </c>
    </row>
    <row r="13" spans="1:12">
      <c r="B13" s="832" t="s">
        <v>170</v>
      </c>
      <c r="C13" s="832" t="s">
        <v>126</v>
      </c>
      <c r="D13" s="832" t="s">
        <v>128</v>
      </c>
      <c r="E13" s="832" t="s">
        <v>1352</v>
      </c>
      <c r="F13" s="832" t="s">
        <v>1361</v>
      </c>
      <c r="G13" s="832" t="s">
        <v>1362</v>
      </c>
      <c r="H13" s="832" t="s">
        <v>1363</v>
      </c>
      <c r="I13" s="836">
        <f>IF($K$11&gt;$K$12,I11,I12)</f>
        <v>16.787259665595236</v>
      </c>
      <c r="J13" s="836">
        <f>IF($K$11&gt;$K$12,J11,J12)</f>
        <v>35</v>
      </c>
      <c r="K13" s="832"/>
      <c r="L13" s="832"/>
    </row>
    <row r="14" spans="1:12">
      <c r="B14" s="832"/>
      <c r="C14" s="832"/>
      <c r="D14" s="832"/>
      <c r="E14" s="832"/>
      <c r="F14" s="832"/>
      <c r="G14" s="832"/>
      <c r="H14" s="832"/>
      <c r="I14" s="832"/>
      <c r="J14" s="833"/>
      <c r="K14" s="832"/>
      <c r="L14" s="832"/>
    </row>
    <row r="15" spans="1:12">
      <c r="B15" s="832" t="s">
        <v>64</v>
      </c>
      <c r="C15" s="832" t="s">
        <v>126</v>
      </c>
      <c r="D15" s="832" t="s">
        <v>128</v>
      </c>
      <c r="E15" s="832" t="s">
        <v>1364</v>
      </c>
      <c r="F15" s="832"/>
      <c r="G15" s="832" t="s">
        <v>1365</v>
      </c>
      <c r="H15" s="832" t="s">
        <v>1366</v>
      </c>
      <c r="I15" s="833">
        <f>INDEX('inkoop MDF SDSL'!W:W,MATCH($G15,'inkoop MDF SDSL'!$V:$V,0))</f>
        <v>9.3855844444444436</v>
      </c>
      <c r="J15" s="833">
        <f>INDEX('inkoop MDF SDSL'!X:X,MATCH($G15,'inkoop MDF SDSL'!$V:$V,0))</f>
        <v>76.960000000000008</v>
      </c>
      <c r="K15" s="832"/>
      <c r="L15" s="832"/>
    </row>
    <row r="16" spans="1:12">
      <c r="B16" s="832" t="s">
        <v>64</v>
      </c>
      <c r="C16" s="832" t="s">
        <v>115</v>
      </c>
      <c r="D16" s="832" t="s">
        <v>128</v>
      </c>
      <c r="E16" s="832" t="s">
        <v>1364</v>
      </c>
      <c r="F16" s="832"/>
      <c r="G16" s="832" t="s">
        <v>1367</v>
      </c>
      <c r="H16" s="832" t="s">
        <v>1368</v>
      </c>
      <c r="I16" s="833">
        <f>INDEX('inkoop MDF SDSL'!W:W,MATCH($G16,'inkoop MDF SDSL'!$V:$V,0))</f>
        <v>9.3855844444444436</v>
      </c>
      <c r="J16" s="833">
        <f>INDEX('inkoop MDF SDSL'!X:X,MATCH($G16,'inkoop MDF SDSL'!$V:$V,0))</f>
        <v>19.3</v>
      </c>
      <c r="K16" s="832"/>
      <c r="L16" s="832"/>
    </row>
    <row r="17" spans="1:12">
      <c r="B17" s="832"/>
      <c r="C17" s="832"/>
      <c r="D17" s="832"/>
      <c r="E17" s="832"/>
      <c r="F17" s="832"/>
      <c r="G17" s="832"/>
      <c r="H17" s="832"/>
      <c r="I17" s="832"/>
      <c r="J17" s="832"/>
      <c r="K17" s="832"/>
      <c r="L17" s="832"/>
    </row>
    <row r="18" spans="1:12">
      <c r="B18" s="832" t="s">
        <v>119</v>
      </c>
      <c r="C18" s="832" t="s">
        <v>126</v>
      </c>
      <c r="D18" s="832" t="s">
        <v>128</v>
      </c>
      <c r="E18" s="832" t="s">
        <v>1369</v>
      </c>
      <c r="F18" s="832"/>
      <c r="G18" s="832" t="s">
        <v>1370</v>
      </c>
      <c r="H18" s="832" t="s">
        <v>1371</v>
      </c>
      <c r="I18" s="835">
        <f>INDEX('inkoop ODF FTTH'!S:S,MATCH($G18,'inkoop ODF FTTH'!$R:$R,0))</f>
        <v>18.2732188395</v>
      </c>
      <c r="J18" s="835">
        <f>INDEX('inkoop ODF FTTH'!T:T,MATCH($G18,'inkoop ODF FTTH'!$R:$R,0))</f>
        <v>114.6</v>
      </c>
      <c r="K18" s="832"/>
      <c r="L18" s="832"/>
    </row>
    <row r="19" spans="1:12">
      <c r="B19" s="832"/>
      <c r="C19" s="832"/>
      <c r="D19" s="832"/>
      <c r="E19" s="832"/>
      <c r="F19" s="832"/>
      <c r="G19" s="832"/>
      <c r="H19" s="832"/>
      <c r="I19" s="832"/>
      <c r="J19" s="832"/>
      <c r="K19" s="832"/>
      <c r="L19" s="832"/>
    </row>
    <row r="20" spans="1:12">
      <c r="B20" s="832"/>
      <c r="C20" s="832"/>
      <c r="D20" s="832"/>
      <c r="E20" s="832"/>
      <c r="F20" s="832"/>
      <c r="G20" s="832"/>
      <c r="H20" s="832"/>
      <c r="I20" s="832"/>
      <c r="J20" s="832"/>
      <c r="K20" s="832"/>
      <c r="L20" s="832"/>
    </row>
    <row r="21" spans="1:12" ht="15.75">
      <c r="A21" s="464" t="s">
        <v>1377</v>
      </c>
      <c r="B21" s="832"/>
      <c r="C21" s="832"/>
      <c r="D21" s="832"/>
      <c r="E21" s="832"/>
      <c r="F21" s="832"/>
      <c r="G21" s="832"/>
      <c r="H21" s="832"/>
      <c r="I21" s="832"/>
      <c r="J21" s="832"/>
      <c r="K21" s="832"/>
      <c r="L21" s="832"/>
    </row>
    <row r="22" spans="1:12" ht="15.75">
      <c r="B22" s="837" t="s">
        <v>376</v>
      </c>
      <c r="C22" s="837" t="s">
        <v>1372</v>
      </c>
      <c r="D22" s="837" t="s">
        <v>38</v>
      </c>
      <c r="E22" s="832"/>
      <c r="F22" s="837" t="s">
        <v>1373</v>
      </c>
      <c r="G22" s="837" t="s">
        <v>1350</v>
      </c>
      <c r="H22" s="837" t="s">
        <v>1351</v>
      </c>
      <c r="I22" s="838" t="s">
        <v>1713</v>
      </c>
      <c r="J22" s="834" t="s">
        <v>1718</v>
      </c>
      <c r="K22" s="832"/>
      <c r="L22" s="832"/>
    </row>
    <row r="23" spans="1:12">
      <c r="B23" s="832" t="s">
        <v>42</v>
      </c>
      <c r="C23" s="832" t="s">
        <v>1374</v>
      </c>
      <c r="D23" s="832" t="s">
        <v>1375</v>
      </c>
      <c r="E23" s="832"/>
      <c r="F23" s="832" t="s">
        <v>1352</v>
      </c>
      <c r="G23" s="832" t="s">
        <v>1378</v>
      </c>
      <c r="H23" s="832" t="s">
        <v>115</v>
      </c>
      <c r="I23" s="833">
        <f>INDEX('inkoop VULA'!AD:AD,MATCH(G23,'inkoop VULA'!AC:AC,0))</f>
        <v>0</v>
      </c>
      <c r="J23" s="832"/>
      <c r="K23" s="832"/>
      <c r="L23" s="832"/>
    </row>
    <row r="24" spans="1:12">
      <c r="B24" s="832" t="s">
        <v>42</v>
      </c>
      <c r="C24" s="832" t="s">
        <v>1374</v>
      </c>
      <c r="D24" s="832" t="s">
        <v>1376</v>
      </c>
      <c r="E24" s="832"/>
      <c r="F24" s="832" t="s">
        <v>1352</v>
      </c>
      <c r="G24" s="832" t="s">
        <v>1379</v>
      </c>
      <c r="H24" s="832" t="s">
        <v>115</v>
      </c>
      <c r="I24" s="833">
        <f>INDEX('inkoop VULA'!AD:AD,MATCH(G24,'inkoop VULA'!AC:AC,0))</f>
        <v>0</v>
      </c>
      <c r="J24" s="832"/>
      <c r="K24" s="832"/>
      <c r="L24" s="832"/>
    </row>
    <row r="25" spans="1:12">
      <c r="B25" s="832" t="s">
        <v>77</v>
      </c>
      <c r="C25" s="832" t="s">
        <v>1374</v>
      </c>
      <c r="D25" s="832" t="s">
        <v>1375</v>
      </c>
      <c r="E25" s="832"/>
      <c r="F25" s="832" t="s">
        <v>1352</v>
      </c>
      <c r="G25" s="832" t="s">
        <v>1378</v>
      </c>
      <c r="H25" s="832" t="s">
        <v>115</v>
      </c>
      <c r="I25" s="833">
        <f>INDEX('inkoop VULA'!AD:AD,MATCH(G25,'inkoop VULA'!AC:AC,0))</f>
        <v>0</v>
      </c>
      <c r="J25" s="832"/>
      <c r="K25" s="832"/>
      <c r="L25" s="832"/>
    </row>
    <row r="26" spans="1:12">
      <c r="B26" s="832" t="s">
        <v>77</v>
      </c>
      <c r="C26" s="832" t="s">
        <v>1374</v>
      </c>
      <c r="D26" s="832" t="s">
        <v>1376</v>
      </c>
      <c r="E26" s="832"/>
      <c r="F26" s="832" t="s">
        <v>1352</v>
      </c>
      <c r="G26" s="832" t="s">
        <v>1379</v>
      </c>
      <c r="H26" s="832" t="s">
        <v>115</v>
      </c>
      <c r="I26" s="833">
        <f>INDEX('inkoop VULA'!AD:AD,MATCH(G26,'inkoop VULA'!AC:AC,0))</f>
        <v>0</v>
      </c>
      <c r="J26" s="832"/>
      <c r="K26" s="832"/>
      <c r="L26" s="832"/>
    </row>
    <row r="27" spans="1:12">
      <c r="B27" s="832" t="s">
        <v>170</v>
      </c>
      <c r="C27" s="832" t="s">
        <v>1374</v>
      </c>
      <c r="D27" s="832" t="s">
        <v>1375</v>
      </c>
      <c r="E27" s="832"/>
      <c r="F27" s="832" t="s">
        <v>1352</v>
      </c>
      <c r="G27" s="832" t="s">
        <v>1378</v>
      </c>
      <c r="H27" s="832" t="s">
        <v>115</v>
      </c>
      <c r="I27" s="833">
        <f>INDEX('inkoop VULA'!AD:AD,MATCH(G27,'inkoop VULA'!AC:AC,0))</f>
        <v>0</v>
      </c>
      <c r="J27" s="832"/>
      <c r="K27" s="832"/>
      <c r="L27" s="832"/>
    </row>
    <row r="28" spans="1:12">
      <c r="B28" s="832" t="s">
        <v>170</v>
      </c>
      <c r="C28" s="832" t="s">
        <v>1374</v>
      </c>
      <c r="D28" s="832" t="s">
        <v>1376</v>
      </c>
      <c r="E28" s="832"/>
      <c r="F28" s="832" t="s">
        <v>1352</v>
      </c>
      <c r="G28" s="832" t="s">
        <v>1379</v>
      </c>
      <c r="H28" s="832" t="s">
        <v>115</v>
      </c>
      <c r="I28" s="833">
        <f>INDEX('inkoop VULA'!AD:AD,MATCH(G28,'inkoop VULA'!AC:AC,0))</f>
        <v>0</v>
      </c>
      <c r="J28" s="832"/>
      <c r="K28" s="832"/>
      <c r="L28" s="832"/>
    </row>
    <row r="29" spans="1:12">
      <c r="B29" s="832" t="s">
        <v>42</v>
      </c>
      <c r="C29" s="832" t="s">
        <v>70</v>
      </c>
      <c r="D29" s="832" t="s">
        <v>1375</v>
      </c>
      <c r="E29" s="832"/>
      <c r="F29" s="832" t="s">
        <v>1352</v>
      </c>
      <c r="G29" s="832" t="s">
        <v>1380</v>
      </c>
      <c r="H29" s="832" t="s">
        <v>1384</v>
      </c>
      <c r="I29" s="833">
        <f>INDEX('inkoop VULA'!AD:AD,MATCH(G29,'inkoop VULA'!AC:AC,0))</f>
        <v>16.02</v>
      </c>
      <c r="J29" s="832"/>
      <c r="K29" s="832"/>
      <c r="L29" s="832"/>
    </row>
    <row r="30" spans="1:12">
      <c r="B30" s="832" t="s">
        <v>42</v>
      </c>
      <c r="C30" s="832" t="s">
        <v>70</v>
      </c>
      <c r="D30" s="832" t="s">
        <v>1376</v>
      </c>
      <c r="E30" s="832"/>
      <c r="F30" s="832" t="s">
        <v>1352</v>
      </c>
      <c r="G30" s="832" t="s">
        <v>1381</v>
      </c>
      <c r="H30" s="832" t="s">
        <v>115</v>
      </c>
      <c r="I30" s="833">
        <f>INDEX('inkoop VULA'!AD:AD,MATCH(G30,'inkoop VULA'!AC:AC,0))</f>
        <v>0</v>
      </c>
      <c r="J30" s="832"/>
      <c r="K30" s="832"/>
      <c r="L30" s="832"/>
    </row>
    <row r="31" spans="1:12">
      <c r="B31" s="832" t="s">
        <v>77</v>
      </c>
      <c r="C31" s="832" t="s">
        <v>70</v>
      </c>
      <c r="D31" s="832" t="s">
        <v>1375</v>
      </c>
      <c r="E31" s="832"/>
      <c r="F31" s="832" t="s">
        <v>1352</v>
      </c>
      <c r="G31" s="832" t="s">
        <v>1380</v>
      </c>
      <c r="H31" s="832" t="s">
        <v>1384</v>
      </c>
      <c r="I31" s="833">
        <f>INDEX('inkoop VULA'!AD:AD,MATCH(G31,'inkoop VULA'!AC:AC,0))</f>
        <v>16.02</v>
      </c>
      <c r="J31" s="832"/>
      <c r="K31" s="832"/>
      <c r="L31" s="832"/>
    </row>
    <row r="32" spans="1:12">
      <c r="B32" s="832" t="s">
        <v>77</v>
      </c>
      <c r="C32" s="832" t="s">
        <v>70</v>
      </c>
      <c r="D32" s="832" t="s">
        <v>1376</v>
      </c>
      <c r="E32" s="832"/>
      <c r="F32" s="832" t="s">
        <v>1352</v>
      </c>
      <c r="G32" s="832" t="s">
        <v>1381</v>
      </c>
      <c r="H32" s="832" t="s">
        <v>115</v>
      </c>
      <c r="I32" s="833">
        <f>INDEX('inkoop VULA'!AD:AD,MATCH(G32,'inkoop VULA'!AC:AC,0))</f>
        <v>0</v>
      </c>
      <c r="J32" s="832"/>
      <c r="K32" s="832"/>
      <c r="L32" s="832"/>
    </row>
    <row r="33" spans="1:12">
      <c r="B33" s="832" t="s">
        <v>170</v>
      </c>
      <c r="C33" s="832" t="s">
        <v>70</v>
      </c>
      <c r="D33" s="832" t="s">
        <v>1375</v>
      </c>
      <c r="E33" s="832"/>
      <c r="F33" s="832" t="s">
        <v>1352</v>
      </c>
      <c r="G33" s="832" t="s">
        <v>1380</v>
      </c>
      <c r="H33" s="832" t="s">
        <v>1384</v>
      </c>
      <c r="I33" s="833">
        <f>INDEX('inkoop VULA'!AD:AD,MATCH(G33,'inkoop VULA'!AC:AC,0))</f>
        <v>16.02</v>
      </c>
      <c r="J33" s="832"/>
      <c r="K33" s="832"/>
      <c r="L33" s="832"/>
    </row>
    <row r="34" spans="1:12">
      <c r="B34" s="832" t="s">
        <v>170</v>
      </c>
      <c r="C34" s="832" t="s">
        <v>70</v>
      </c>
      <c r="D34" s="832" t="s">
        <v>1376</v>
      </c>
      <c r="E34" s="832"/>
      <c r="F34" s="832" t="s">
        <v>1352</v>
      </c>
      <c r="G34" s="832" t="s">
        <v>1381</v>
      </c>
      <c r="H34" s="832" t="s">
        <v>115</v>
      </c>
      <c r="I34" s="833">
        <f>INDEX('inkoop VULA'!AD:AD,MATCH(G34,'inkoop VULA'!AC:AC,0))</f>
        <v>0</v>
      </c>
      <c r="J34" s="832"/>
      <c r="K34" s="832"/>
      <c r="L34" s="832"/>
    </row>
    <row r="35" spans="1:12">
      <c r="B35" s="832"/>
      <c r="C35" s="832"/>
      <c r="D35" s="832"/>
      <c r="E35" s="832"/>
      <c r="F35" s="832"/>
      <c r="G35" s="832"/>
      <c r="H35" s="832"/>
      <c r="I35" s="832"/>
      <c r="J35" s="832"/>
      <c r="K35" s="832"/>
      <c r="L35" s="832"/>
    </row>
    <row r="36" spans="1:12">
      <c r="B36" s="832" t="s">
        <v>64</v>
      </c>
      <c r="C36" s="832" t="s">
        <v>115</v>
      </c>
      <c r="D36" s="832"/>
      <c r="E36" s="832"/>
      <c r="F36" s="832" t="s">
        <v>1364</v>
      </c>
      <c r="G36" s="832" t="s">
        <v>115</v>
      </c>
      <c r="H36" s="832" t="s">
        <v>115</v>
      </c>
      <c r="I36" s="833">
        <v>0</v>
      </c>
      <c r="J36" s="832"/>
      <c r="K36" s="832"/>
      <c r="L36" s="832"/>
    </row>
    <row r="37" spans="1:12">
      <c r="B37" s="832" t="s">
        <v>64</v>
      </c>
      <c r="C37" s="832" t="s">
        <v>115</v>
      </c>
      <c r="D37" s="832"/>
      <c r="E37" s="832"/>
      <c r="F37" s="832" t="s">
        <v>1364</v>
      </c>
      <c r="G37" s="832" t="s">
        <v>115</v>
      </c>
      <c r="H37" s="832" t="s">
        <v>115</v>
      </c>
      <c r="I37" s="833">
        <v>0</v>
      </c>
      <c r="J37" s="832"/>
      <c r="K37" s="832"/>
      <c r="L37" s="832"/>
    </row>
    <row r="38" spans="1:12">
      <c r="B38" s="832"/>
      <c r="C38" s="832"/>
      <c r="D38" s="832"/>
      <c r="E38" s="832"/>
      <c r="F38" s="832"/>
      <c r="G38" s="832"/>
      <c r="H38" s="832"/>
      <c r="I38" s="832"/>
      <c r="J38" s="832"/>
      <c r="K38" s="832"/>
      <c r="L38" s="832"/>
    </row>
    <row r="39" spans="1:12">
      <c r="B39" s="832" t="s">
        <v>119</v>
      </c>
      <c r="C39" s="832" t="s">
        <v>115</v>
      </c>
      <c r="D39" s="832"/>
      <c r="E39" s="832"/>
      <c r="F39" s="832" t="s">
        <v>1369</v>
      </c>
      <c r="G39" s="832" t="s">
        <v>115</v>
      </c>
      <c r="H39" s="832" t="s">
        <v>115</v>
      </c>
      <c r="I39" s="833">
        <v>0</v>
      </c>
      <c r="J39" s="832"/>
      <c r="K39" s="832"/>
      <c r="L39" s="832"/>
    </row>
    <row r="40" spans="1:12">
      <c r="B40" s="832" t="s">
        <v>119</v>
      </c>
      <c r="C40" s="832" t="s">
        <v>115</v>
      </c>
      <c r="D40" s="832"/>
      <c r="E40" s="832"/>
      <c r="F40" s="832" t="s">
        <v>1369</v>
      </c>
      <c r="G40" s="832" t="s">
        <v>115</v>
      </c>
      <c r="H40" s="832" t="s">
        <v>115</v>
      </c>
      <c r="I40" s="833">
        <v>0</v>
      </c>
      <c r="J40" s="832"/>
      <c r="K40" s="832"/>
      <c r="L40" s="832"/>
    </row>
    <row r="41" spans="1:12">
      <c r="B41" s="832"/>
      <c r="C41" s="832"/>
      <c r="D41" s="832"/>
      <c r="E41" s="832"/>
      <c r="F41" s="832"/>
      <c r="G41" s="832"/>
      <c r="H41" s="832"/>
      <c r="I41" s="832"/>
      <c r="J41" s="832"/>
      <c r="K41" s="832"/>
      <c r="L41" s="832"/>
    </row>
    <row r="42" spans="1:12">
      <c r="B42" s="832"/>
      <c r="C42" s="832"/>
      <c r="D42" s="832"/>
      <c r="E42" s="832"/>
      <c r="F42" s="832"/>
      <c r="G42" s="832"/>
      <c r="H42" s="832"/>
      <c r="I42" s="832"/>
      <c r="J42" s="832"/>
      <c r="K42" s="832"/>
      <c r="L42" s="832"/>
    </row>
    <row r="43" spans="1:12" ht="15.75">
      <c r="A43" s="464" t="s">
        <v>1382</v>
      </c>
      <c r="B43" s="832"/>
      <c r="C43" s="832"/>
      <c r="D43" s="832"/>
      <c r="E43" s="832"/>
      <c r="F43" s="832"/>
      <c r="G43" s="832"/>
      <c r="H43" s="832"/>
      <c r="I43" s="832"/>
      <c r="J43" s="832"/>
      <c r="K43" s="832"/>
      <c r="L43" s="832"/>
    </row>
    <row r="44" spans="1:12" ht="15.75">
      <c r="B44" s="837" t="s">
        <v>376</v>
      </c>
      <c r="C44" s="837" t="s">
        <v>1190</v>
      </c>
      <c r="D44" s="837"/>
      <c r="E44" s="837"/>
      <c r="F44" s="837" t="s">
        <v>1373</v>
      </c>
      <c r="G44" s="837" t="s">
        <v>1350</v>
      </c>
      <c r="H44" s="837" t="s">
        <v>1351</v>
      </c>
      <c r="I44" s="838" t="s">
        <v>1713</v>
      </c>
      <c r="J44" s="834" t="s">
        <v>1718</v>
      </c>
      <c r="K44" s="832"/>
      <c r="L44" s="832"/>
    </row>
    <row r="45" spans="1:12">
      <c r="B45" s="832" t="s">
        <v>42</v>
      </c>
      <c r="C45" s="832" t="s">
        <v>498</v>
      </c>
      <c r="D45" s="832"/>
      <c r="E45" s="832"/>
      <c r="F45" s="832" t="s">
        <v>1352</v>
      </c>
      <c r="G45" s="832" t="s">
        <v>498</v>
      </c>
      <c r="H45" s="832" t="str">
        <f>B45&amp;IF(C45="Standard","Standard","7x24")</f>
        <v>ADSLStandard</v>
      </c>
      <c r="I45" s="833">
        <f>INDEX('inkoop VULA'!AF:AF,MATCH(G45,'inkoop VULA'!AE:AE,0))</f>
        <v>0</v>
      </c>
      <c r="J45" s="832"/>
      <c r="K45" s="832"/>
      <c r="L45" s="832"/>
    </row>
    <row r="46" spans="1:12">
      <c r="B46" s="832" t="s">
        <v>42</v>
      </c>
      <c r="C46" s="832" t="s">
        <v>199</v>
      </c>
      <c r="D46" s="832"/>
      <c r="E46" s="832"/>
      <c r="F46" s="832" t="s">
        <v>1352</v>
      </c>
      <c r="G46" s="832" t="s">
        <v>199</v>
      </c>
      <c r="H46" s="832" t="str">
        <f t="shared" ref="H46:H50" si="0">B46&amp;IF(C46="Standard","Standard","7x24")</f>
        <v>ADSL7x24</v>
      </c>
      <c r="I46" s="833">
        <f>INDEX('inkoop VULA'!AF:AF,MATCH(G46,'inkoop VULA'!AE:AE,0))</f>
        <v>8.1300000000000008</v>
      </c>
      <c r="J46" s="832"/>
      <c r="K46" s="832"/>
      <c r="L46" s="832"/>
    </row>
    <row r="47" spans="1:12">
      <c r="B47" s="832" t="s">
        <v>77</v>
      </c>
      <c r="C47" s="832" t="s">
        <v>498</v>
      </c>
      <c r="D47" s="832"/>
      <c r="E47" s="832"/>
      <c r="F47" s="832" t="s">
        <v>1352</v>
      </c>
      <c r="G47" s="832" t="s">
        <v>498</v>
      </c>
      <c r="H47" s="832" t="str">
        <f t="shared" si="0"/>
        <v>VDSLStandard</v>
      </c>
      <c r="I47" s="833">
        <f>INDEX('inkoop VULA'!AF:AF,MATCH(G47,'inkoop VULA'!AE:AE,0))</f>
        <v>0</v>
      </c>
      <c r="J47" s="832"/>
      <c r="K47" s="832"/>
      <c r="L47" s="832"/>
    </row>
    <row r="48" spans="1:12">
      <c r="B48" s="832" t="s">
        <v>77</v>
      </c>
      <c r="C48" s="832" t="s">
        <v>199</v>
      </c>
      <c r="D48" s="832"/>
      <c r="E48" s="832"/>
      <c r="F48" s="832" t="s">
        <v>1352</v>
      </c>
      <c r="G48" s="832" t="s">
        <v>199</v>
      </c>
      <c r="H48" s="832" t="str">
        <f t="shared" si="0"/>
        <v>VDSL7x24</v>
      </c>
      <c r="I48" s="833">
        <f>INDEX('inkoop VULA'!AF:AF,MATCH(G48,'inkoop VULA'!AE:AE,0))</f>
        <v>8.1300000000000008</v>
      </c>
      <c r="J48" s="832"/>
      <c r="K48" s="832"/>
      <c r="L48" s="832"/>
    </row>
    <row r="49" spans="2:12">
      <c r="B49" s="832" t="s">
        <v>170</v>
      </c>
      <c r="C49" s="832" t="s">
        <v>498</v>
      </c>
      <c r="D49" s="832"/>
      <c r="E49" s="832"/>
      <c r="F49" s="832" t="s">
        <v>1352</v>
      </c>
      <c r="G49" s="832" t="s">
        <v>498</v>
      </c>
      <c r="H49" s="832" t="str">
        <f t="shared" si="0"/>
        <v>VDSL BondingStandard</v>
      </c>
      <c r="I49" s="833">
        <f>INDEX('inkoop VULA'!AF:AF,MATCH(G49,'inkoop VULA'!AE:AE,0))</f>
        <v>0</v>
      </c>
      <c r="J49" s="832"/>
      <c r="K49" s="832"/>
      <c r="L49" s="832"/>
    </row>
    <row r="50" spans="2:12">
      <c r="B50" s="832" t="s">
        <v>170</v>
      </c>
      <c r="C50" s="832" t="s">
        <v>199</v>
      </c>
      <c r="D50" s="832"/>
      <c r="E50" s="832"/>
      <c r="F50" s="832" t="s">
        <v>1352</v>
      </c>
      <c r="G50" s="832" t="s">
        <v>199</v>
      </c>
      <c r="H50" s="832" t="str">
        <f t="shared" si="0"/>
        <v>VDSL Bonding7x24</v>
      </c>
      <c r="I50" s="833">
        <f>INDEX('inkoop VULA'!AF:AF,MATCH(G50,'inkoop VULA'!AE:AE,0))</f>
        <v>8.1300000000000008</v>
      </c>
      <c r="J50" s="832"/>
      <c r="K50" s="832"/>
      <c r="L50" s="832"/>
    </row>
    <row r="51" spans="2:12">
      <c r="B51" s="832"/>
      <c r="C51" s="832"/>
      <c r="D51" s="832"/>
      <c r="E51" s="832"/>
      <c r="F51" s="832"/>
      <c r="G51" s="832"/>
      <c r="H51" s="832"/>
      <c r="I51" s="832"/>
      <c r="J51" s="832"/>
      <c r="K51" s="832"/>
      <c r="L51" s="832"/>
    </row>
    <row r="52" spans="2:12">
      <c r="B52" s="832" t="s">
        <v>64</v>
      </c>
      <c r="C52" s="832" t="s">
        <v>498</v>
      </c>
      <c r="D52" s="832"/>
      <c r="E52" s="832"/>
      <c r="F52" s="832" t="s">
        <v>1364</v>
      </c>
      <c r="G52" s="832" t="s">
        <v>498</v>
      </c>
      <c r="H52" s="832" t="str">
        <f t="shared" ref="H52:H53" si="1">B52&amp;IF(C52="Standard","Standard","7x24")</f>
        <v>SDSLStandard</v>
      </c>
      <c r="I52" s="833">
        <f>INDEX('inkoop MDF SDSL'!Z:Z,MATCH(G52,'inkoop MDF SDSL'!Y:Y,0))</f>
        <v>0</v>
      </c>
      <c r="J52" s="832"/>
      <c r="K52" s="832"/>
      <c r="L52" s="832"/>
    </row>
    <row r="53" spans="2:12">
      <c r="B53" s="832" t="s">
        <v>64</v>
      </c>
      <c r="C53" s="832" t="s">
        <v>199</v>
      </c>
      <c r="D53" s="832"/>
      <c r="E53" s="832"/>
      <c r="F53" s="832" t="s">
        <v>1364</v>
      </c>
      <c r="G53" s="832" t="s">
        <v>199</v>
      </c>
      <c r="H53" s="832" t="str">
        <f t="shared" si="1"/>
        <v>SDSL7x24</v>
      </c>
      <c r="I53" s="833">
        <f>INDEX('inkoop MDF SDSL'!Z:Z,MATCH(G53,'inkoop MDF SDSL'!Y:Y,0))</f>
        <v>2.39</v>
      </c>
      <c r="J53" s="832"/>
      <c r="K53" s="832"/>
      <c r="L53" s="832"/>
    </row>
    <row r="54" spans="2:12">
      <c r="B54" s="832"/>
      <c r="C54" s="832"/>
      <c r="D54" s="832"/>
      <c r="E54" s="832"/>
      <c r="F54" s="832"/>
      <c r="G54" s="832"/>
      <c r="H54" s="832"/>
      <c r="I54" s="832"/>
      <c r="J54" s="832"/>
      <c r="K54" s="832"/>
      <c r="L54" s="832"/>
    </row>
    <row r="55" spans="2:12">
      <c r="B55" s="832" t="s">
        <v>119</v>
      </c>
      <c r="C55" s="832" t="s">
        <v>498</v>
      </c>
      <c r="D55" s="832"/>
      <c r="E55" s="832"/>
      <c r="F55" s="832" t="s">
        <v>1369</v>
      </c>
      <c r="G55" s="832" t="s">
        <v>498</v>
      </c>
      <c r="H55" s="832" t="str">
        <f t="shared" ref="H55:H56" si="2">B55&amp;IF(C55="Standard","Standard","7x24")</f>
        <v>FttHStandard</v>
      </c>
      <c r="I55" s="833">
        <f>INDEX('inkoop ODF FTTH'!V:V,MATCH(G55,'inkoop ODF FTTH'!U:U,0))</f>
        <v>0</v>
      </c>
      <c r="J55" s="832"/>
      <c r="K55" s="832"/>
      <c r="L55" s="832"/>
    </row>
    <row r="56" spans="2:12">
      <c r="B56" s="832" t="s">
        <v>119</v>
      </c>
      <c r="C56" s="832" t="s">
        <v>199</v>
      </c>
      <c r="D56" s="832"/>
      <c r="E56" s="832"/>
      <c r="F56" s="832" t="s">
        <v>1369</v>
      </c>
      <c r="G56" s="832" t="s">
        <v>70</v>
      </c>
      <c r="H56" s="832" t="str">
        <f t="shared" si="2"/>
        <v>FttH7x24</v>
      </c>
      <c r="I56" s="833">
        <f>INDEX('inkoop ODF FTTH'!V:V,MATCH(G56,'inkoop ODF FTTH'!U:U,0))</f>
        <v>13.05</v>
      </c>
      <c r="J56" s="832"/>
      <c r="K56" s="832"/>
      <c r="L56" s="83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>
    <tabColor rgb="FF0000FF"/>
  </sheetPr>
  <dimension ref="A1:L169"/>
  <sheetViews>
    <sheetView topLeftCell="A46" workbookViewId="0">
      <selection activeCell="A53" sqref="A53"/>
    </sheetView>
  </sheetViews>
  <sheetFormatPr defaultRowHeight="15"/>
  <cols>
    <col min="1" max="1" width="42.85546875" customWidth="1"/>
    <col min="2" max="2" width="18.42578125" customWidth="1"/>
    <col min="3" max="3" width="26" customWidth="1"/>
    <col min="12" max="12" width="12.5703125" bestFit="1" customWidth="1"/>
    <col min="14" max="14" width="18.140625" customWidth="1"/>
  </cols>
  <sheetData>
    <row r="1" spans="1:4">
      <c r="A1" s="107" t="s">
        <v>0</v>
      </c>
      <c r="B1" s="107" t="s">
        <v>1</v>
      </c>
    </row>
    <row r="2" spans="1:4">
      <c r="A2" s="108" t="s">
        <v>1638</v>
      </c>
      <c r="B2" s="215">
        <v>0.01</v>
      </c>
    </row>
    <row r="3" spans="1:4">
      <c r="A3" s="108" t="s">
        <v>1639</v>
      </c>
      <c r="B3" s="215">
        <v>0.01</v>
      </c>
    </row>
    <row r="4" spans="1:4">
      <c r="A4" s="108" t="s">
        <v>2</v>
      </c>
      <c r="B4" s="215">
        <v>0.01</v>
      </c>
    </row>
    <row r="6" spans="1:4">
      <c r="A6" s="108" t="s">
        <v>3</v>
      </c>
      <c r="B6" s="216">
        <f>MAX(B2:B4)</f>
        <v>0.01</v>
      </c>
      <c r="C6" t="s">
        <v>4</v>
      </c>
    </row>
    <row r="7" spans="1:4">
      <c r="A7" s="108"/>
      <c r="B7" s="216"/>
    </row>
    <row r="8" spans="1:4">
      <c r="A8" s="108" t="s">
        <v>1637</v>
      </c>
      <c r="B8" s="839">
        <v>0.1</v>
      </c>
      <c r="D8" s="663"/>
    </row>
    <row r="9" spans="1:4">
      <c r="A9" s="108" t="s">
        <v>1636</v>
      </c>
      <c r="B9" s="839">
        <v>0.1</v>
      </c>
    </row>
    <row r="10" spans="1:4">
      <c r="A10" s="108" t="s">
        <v>1633</v>
      </c>
      <c r="B10" s="839">
        <v>0.1</v>
      </c>
    </row>
    <row r="11" spans="1:4">
      <c r="A11" s="108"/>
      <c r="B11" s="216"/>
    </row>
    <row r="12" spans="1:4">
      <c r="A12" s="108" t="s">
        <v>1634</v>
      </c>
      <c r="B12" s="840">
        <f>B8</f>
        <v>0.1</v>
      </c>
      <c r="C12" t="s">
        <v>1635</v>
      </c>
      <c r="D12" s="663"/>
    </row>
    <row r="13" spans="1:4">
      <c r="A13" s="108"/>
      <c r="B13" s="216"/>
    </row>
    <row r="15" spans="1:4">
      <c r="A15" s="108"/>
      <c r="B15" s="196"/>
    </row>
    <row r="16" spans="1:4">
      <c r="A16" s="108" t="s">
        <v>5</v>
      </c>
      <c r="B16" s="197">
        <v>36</v>
      </c>
    </row>
    <row r="17" spans="1:2">
      <c r="A17" s="108" t="s">
        <v>6</v>
      </c>
      <c r="B17" s="197">
        <v>36</v>
      </c>
    </row>
    <row r="18" spans="1:2">
      <c r="A18" s="108" t="s">
        <v>7</v>
      </c>
      <c r="B18" s="197">
        <v>36</v>
      </c>
    </row>
    <row r="19" spans="1:2">
      <c r="A19" s="108" t="s">
        <v>8</v>
      </c>
      <c r="B19" s="197">
        <v>48</v>
      </c>
    </row>
    <row r="20" spans="1:2">
      <c r="A20" s="108" t="s">
        <v>9</v>
      </c>
      <c r="B20" s="197">
        <v>60</v>
      </c>
    </row>
    <row r="21" spans="1:2">
      <c r="A21" s="109"/>
      <c r="B21" s="109"/>
    </row>
    <row r="22" spans="1:2">
      <c r="A22" s="107" t="s">
        <v>10</v>
      </c>
      <c r="B22" s="107"/>
    </row>
    <row r="23" spans="1:2">
      <c r="A23" s="110" t="s">
        <v>11</v>
      </c>
      <c r="B23" s="918">
        <v>0</v>
      </c>
    </row>
    <row r="24" spans="1:2">
      <c r="A24" s="110" t="s">
        <v>12</v>
      </c>
      <c r="B24" s="918">
        <v>0</v>
      </c>
    </row>
    <row r="25" spans="1:2">
      <c r="A25" s="110" t="s">
        <v>13</v>
      </c>
      <c r="B25" s="918">
        <v>0</v>
      </c>
    </row>
    <row r="26" spans="1:2">
      <c r="A26" s="110" t="s">
        <v>14</v>
      </c>
      <c r="B26" s="918">
        <v>0</v>
      </c>
    </row>
    <row r="27" spans="1:2">
      <c r="A27" s="110" t="s">
        <v>15</v>
      </c>
      <c r="B27" s="918">
        <v>0</v>
      </c>
    </row>
    <row r="28" spans="1:2">
      <c r="A28" s="110" t="s">
        <v>16</v>
      </c>
      <c r="B28" s="918">
        <v>0</v>
      </c>
    </row>
    <row r="29" spans="1:2">
      <c r="A29" s="110" t="s">
        <v>17</v>
      </c>
      <c r="B29" s="918">
        <v>0</v>
      </c>
    </row>
    <row r="30" spans="1:2">
      <c r="A30" s="110" t="s">
        <v>18</v>
      </c>
      <c r="B30" s="918">
        <v>0</v>
      </c>
    </row>
    <row r="31" spans="1:2">
      <c r="A31" s="109"/>
      <c r="B31" s="109"/>
    </row>
    <row r="32" spans="1:2">
      <c r="A32" s="107" t="s">
        <v>19</v>
      </c>
      <c r="B32" s="107" t="s">
        <v>1</v>
      </c>
    </row>
    <row r="33" spans="1:12">
      <c r="A33" s="108" t="s">
        <v>20</v>
      </c>
      <c r="B33" s="918">
        <v>0</v>
      </c>
    </row>
    <row r="34" spans="1:12">
      <c r="A34" s="108" t="s">
        <v>21</v>
      </c>
      <c r="B34" s="918">
        <v>0</v>
      </c>
    </row>
    <row r="35" spans="1:12">
      <c r="A35" s="109"/>
      <c r="B35" s="109"/>
    </row>
    <row r="36" spans="1:12">
      <c r="A36" s="107" t="s">
        <v>22</v>
      </c>
      <c r="B36" s="107"/>
    </row>
    <row r="37" spans="1:12">
      <c r="A37" s="108" t="s">
        <v>23</v>
      </c>
      <c r="B37" s="196">
        <v>0</v>
      </c>
      <c r="L37" s="148"/>
    </row>
    <row r="38" spans="1:12">
      <c r="A38" s="108" t="s">
        <v>24</v>
      </c>
      <c r="B38" s="196">
        <v>0</v>
      </c>
      <c r="L38" s="148"/>
    </row>
    <row r="39" spans="1:12">
      <c r="A39" s="109"/>
      <c r="B39" s="437"/>
      <c r="L39" s="148"/>
    </row>
    <row r="40" spans="1:12">
      <c r="A40" s="272" t="s">
        <v>511</v>
      </c>
      <c r="B40" s="196">
        <v>0</v>
      </c>
      <c r="L40" s="148"/>
    </row>
    <row r="41" spans="1:12">
      <c r="A41" s="272" t="s">
        <v>512</v>
      </c>
      <c r="B41" s="196">
        <v>0.1</v>
      </c>
      <c r="L41" s="148"/>
    </row>
    <row r="42" spans="1:12">
      <c r="A42" s="272" t="s">
        <v>513</v>
      </c>
      <c r="B42" s="196">
        <v>0</v>
      </c>
      <c r="L42" s="148"/>
    </row>
    <row r="43" spans="1:12">
      <c r="A43" s="272" t="s">
        <v>514</v>
      </c>
      <c r="B43" s="196">
        <v>0.1</v>
      </c>
      <c r="L43" s="148"/>
    </row>
    <row r="44" spans="1:12">
      <c r="A44" s="272" t="s">
        <v>515</v>
      </c>
      <c r="B44" s="196">
        <v>0</v>
      </c>
      <c r="L44" s="148"/>
    </row>
    <row r="45" spans="1:12">
      <c r="A45" s="272" t="s">
        <v>516</v>
      </c>
      <c r="B45" s="196">
        <v>0.1</v>
      </c>
      <c r="L45" s="148"/>
    </row>
    <row r="46" spans="1:12">
      <c r="A46" s="272" t="s">
        <v>517</v>
      </c>
      <c r="B46" s="196">
        <v>0</v>
      </c>
      <c r="L46" s="148"/>
    </row>
    <row r="47" spans="1:12">
      <c r="A47" s="272" t="s">
        <v>518</v>
      </c>
      <c r="B47" s="196">
        <v>0</v>
      </c>
      <c r="L47" s="148"/>
    </row>
    <row r="48" spans="1:12">
      <c r="A48" s="272" t="s">
        <v>519</v>
      </c>
      <c r="B48" s="196">
        <v>0</v>
      </c>
      <c r="L48" s="148"/>
    </row>
    <row r="49" spans="1:12">
      <c r="A49" s="272" t="s">
        <v>520</v>
      </c>
      <c r="B49" s="196">
        <v>0.1</v>
      </c>
      <c r="L49" s="148"/>
    </row>
    <row r="50" spans="1:12">
      <c r="A50" s="109"/>
      <c r="B50" s="109"/>
      <c r="L50" s="148"/>
    </row>
    <row r="51" spans="1:12">
      <c r="A51" s="109"/>
      <c r="B51" s="671" t="s">
        <v>1681</v>
      </c>
      <c r="L51" s="148"/>
    </row>
    <row r="52" spans="1:12">
      <c r="A52" s="169" t="s">
        <v>25</v>
      </c>
      <c r="B52" s="169" t="s">
        <v>26</v>
      </c>
      <c r="C52" s="169" t="s">
        <v>27</v>
      </c>
      <c r="D52" s="169" t="s">
        <v>28</v>
      </c>
    </row>
    <row r="53" spans="1:12">
      <c r="A53" s="170" t="s">
        <v>1684</v>
      </c>
      <c r="B53" s="841">
        <f>'EDC Minus'!$H$284</f>
        <v>1</v>
      </c>
      <c r="C53" s="841">
        <v>1</v>
      </c>
      <c r="D53" s="842">
        <f>B53+C53</f>
        <v>2</v>
      </c>
    </row>
    <row r="54" spans="1:12">
      <c r="A54" s="170" t="s">
        <v>1685</v>
      </c>
      <c r="B54" s="841">
        <f>'EDC Minus'!$H$285</f>
        <v>1</v>
      </c>
      <c r="C54" s="841">
        <v>1</v>
      </c>
      <c r="D54" s="842">
        <f>B54+C54</f>
        <v>2</v>
      </c>
      <c r="E54" t="s">
        <v>30</v>
      </c>
    </row>
    <row r="55" spans="1:12">
      <c r="A55" s="668"/>
      <c r="B55" s="669"/>
      <c r="C55" s="670"/>
      <c r="D55" s="670"/>
    </row>
    <row r="56" spans="1:12">
      <c r="A56" s="109"/>
      <c r="B56" s="671" t="s">
        <v>505</v>
      </c>
    </row>
    <row r="57" spans="1:12">
      <c r="A57" s="169" t="s">
        <v>25</v>
      </c>
      <c r="B57" s="169" t="s">
        <v>26</v>
      </c>
      <c r="C57" s="169" t="s">
        <v>27</v>
      </c>
      <c r="D57" s="169" t="s">
        <v>28</v>
      </c>
    </row>
    <row r="58" spans="1:12">
      <c r="A58" s="170" t="s">
        <v>1683</v>
      </c>
      <c r="B58" s="841">
        <f>'EDC minus lijst ULL'!$L$92</f>
        <v>1</v>
      </c>
      <c r="C58" s="842"/>
      <c r="D58" s="842">
        <f>B58+C58</f>
        <v>1</v>
      </c>
    </row>
    <row r="59" spans="1:12">
      <c r="A59" s="170" t="s">
        <v>1682</v>
      </c>
      <c r="B59" s="841">
        <f>'EDC minus lijst ULL'!$L$92</f>
        <v>1</v>
      </c>
      <c r="C59" s="842"/>
      <c r="D59" s="842">
        <f>B59+C59</f>
        <v>1</v>
      </c>
      <c r="E59" t="s">
        <v>30</v>
      </c>
    </row>
    <row r="61" spans="1:12">
      <c r="A61" s="186" t="s">
        <v>31</v>
      </c>
      <c r="B61" s="186"/>
    </row>
    <row r="62" spans="1:12">
      <c r="A62" s="170" t="s">
        <v>32</v>
      </c>
      <c r="B62" s="843">
        <v>1</v>
      </c>
    </row>
    <row r="63" spans="1:12">
      <c r="A63" s="170" t="s">
        <v>33</v>
      </c>
      <c r="B63" s="843">
        <v>1</v>
      </c>
    </row>
    <row r="64" spans="1:12">
      <c r="A64" s="170" t="s">
        <v>34</v>
      </c>
      <c r="B64" s="843">
        <v>1</v>
      </c>
    </row>
    <row r="66" spans="1:5">
      <c r="A66" s="287" t="s">
        <v>533</v>
      </c>
      <c r="B66" s="287"/>
    </row>
    <row r="67" spans="1:5">
      <c r="A67" s="203" t="s">
        <v>534</v>
      </c>
      <c r="B67" s="844">
        <v>100</v>
      </c>
      <c r="C67" s="289" t="s">
        <v>535</v>
      </c>
      <c r="E67" s="203"/>
    </row>
    <row r="68" spans="1:5">
      <c r="A68" s="203" t="s">
        <v>536</v>
      </c>
      <c r="B68" s="844">
        <v>100</v>
      </c>
      <c r="C68" s="289" t="s">
        <v>535</v>
      </c>
      <c r="E68" s="203"/>
    </row>
    <row r="69" spans="1:5">
      <c r="A69" s="203"/>
      <c r="B69" s="288"/>
      <c r="C69" s="203"/>
      <c r="D69" s="203"/>
      <c r="E69" s="203"/>
    </row>
    <row r="70" spans="1:5">
      <c r="A70" s="203" t="s">
        <v>537</v>
      </c>
      <c r="B70" s="288">
        <v>1024000</v>
      </c>
      <c r="C70" s="203"/>
      <c r="D70" s="203"/>
      <c r="E70" s="203"/>
    </row>
    <row r="72" spans="1:5">
      <c r="A72" s="287" t="s">
        <v>1306</v>
      </c>
      <c r="B72" s="287"/>
    </row>
    <row r="74" spans="1:5">
      <c r="A74" t="s">
        <v>1294</v>
      </c>
      <c r="B74" s="845">
        <f>2290-40</f>
        <v>2250</v>
      </c>
    </row>
    <row r="76" spans="1:5">
      <c r="B76" t="s">
        <v>1293</v>
      </c>
      <c r="C76" t="s">
        <v>1295</v>
      </c>
      <c r="D76" t="s">
        <v>1302</v>
      </c>
    </row>
    <row r="77" spans="1:5">
      <c r="A77" t="s">
        <v>1289</v>
      </c>
      <c r="B77" s="846">
        <v>1</v>
      </c>
      <c r="C77" s="192">
        <f>INDEX('Tarieven W&amp;O'!H:H,MATCH(D77,'Tarieven W&amp;O'!B:B,0))</f>
        <v>40</v>
      </c>
      <c r="D77" t="s">
        <v>1303</v>
      </c>
    </row>
    <row r="78" spans="1:5">
      <c r="A78" t="s">
        <v>438</v>
      </c>
      <c r="B78" s="846">
        <v>0</v>
      </c>
      <c r="C78" s="192">
        <f>INDEX('Tarieven W&amp;O'!H:H,MATCH(D78,'Tarieven W&amp;O'!B:B,0))</f>
        <v>308</v>
      </c>
      <c r="D78" t="s">
        <v>1304</v>
      </c>
    </row>
    <row r="79" spans="1:5">
      <c r="A79" t="s">
        <v>1290</v>
      </c>
      <c r="B79" s="846">
        <v>0</v>
      </c>
      <c r="C79" s="192">
        <f>INDEX('Tarieven W&amp;O'!H:H,MATCH(D79,'Tarieven W&amp;O'!B:B,0))</f>
        <v>506.4</v>
      </c>
      <c r="D79" t="s">
        <v>1305</v>
      </c>
    </row>
    <row r="80" spans="1:5">
      <c r="A80" t="s">
        <v>1291</v>
      </c>
      <c r="B80" s="846">
        <v>0</v>
      </c>
      <c r="C80" s="450">
        <f>B74+C77</f>
        <v>2290</v>
      </c>
    </row>
    <row r="81" spans="1:4">
      <c r="A81" t="s">
        <v>1292</v>
      </c>
      <c r="B81" s="846">
        <v>0</v>
      </c>
    </row>
    <row r="83" spans="1:4">
      <c r="A83" t="s">
        <v>1307</v>
      </c>
      <c r="C83" s="192">
        <f>SUMPRODUCT(B77:B81,C77:C81)</f>
        <v>40</v>
      </c>
      <c r="D83" s="192">
        <f>C83/36</f>
        <v>1.1111111111111112</v>
      </c>
    </row>
    <row r="84" spans="1:4">
      <c r="A84" t="s">
        <v>1308</v>
      </c>
      <c r="C84" s="192">
        <f>C83</f>
        <v>40</v>
      </c>
      <c r="D84" s="192">
        <f>C84/36</f>
        <v>1.1111111111111112</v>
      </c>
    </row>
    <row r="85" spans="1:4">
      <c r="A85" t="s">
        <v>1332</v>
      </c>
      <c r="C85" s="192">
        <f>C83</f>
        <v>40</v>
      </c>
      <c r="D85" s="192">
        <f>C85/36</f>
        <v>1.1111111111111112</v>
      </c>
    </row>
    <row r="87" spans="1:4">
      <c r="A87" s="287" t="s">
        <v>1309</v>
      </c>
      <c r="B87" s="287"/>
    </row>
    <row r="89" spans="1:4">
      <c r="A89" t="s">
        <v>1294</v>
      </c>
      <c r="B89" s="845">
        <f>2290-40</f>
        <v>2250</v>
      </c>
    </row>
    <row r="91" spans="1:4">
      <c r="B91" t="s">
        <v>1293</v>
      </c>
      <c r="C91" t="s">
        <v>1295</v>
      </c>
      <c r="D91" t="s">
        <v>1302</v>
      </c>
    </row>
    <row r="92" spans="1:4">
      <c r="A92" t="s">
        <v>1289</v>
      </c>
      <c r="B92" s="846">
        <v>1</v>
      </c>
      <c r="C92" s="192">
        <f>INDEX('Tarieven W&amp;O'!H:H,MATCH(D92,'Tarieven W&amp;O'!B:B,0))</f>
        <v>149.44999999999999</v>
      </c>
      <c r="D92" t="s">
        <v>1310</v>
      </c>
    </row>
    <row r="93" spans="1:4">
      <c r="A93" t="s">
        <v>1311</v>
      </c>
      <c r="B93" s="846">
        <v>0</v>
      </c>
      <c r="C93" s="192">
        <f>INDEX('Tarieven W&amp;O'!H:H,MATCH(D93,'Tarieven W&amp;O'!B:B,0))</f>
        <v>620.59</v>
      </c>
      <c r="D93" t="s">
        <v>1312</v>
      </c>
    </row>
    <row r="94" spans="1:4">
      <c r="A94" t="s">
        <v>1291</v>
      </c>
      <c r="B94" s="846">
        <v>0</v>
      </c>
      <c r="C94" s="450">
        <f>B89+C92</f>
        <v>2399.4499999999998</v>
      </c>
    </row>
    <row r="95" spans="1:4">
      <c r="A95" t="s">
        <v>1292</v>
      </c>
      <c r="B95" s="846">
        <v>0</v>
      </c>
    </row>
    <row r="97" spans="1:4">
      <c r="A97" t="s">
        <v>1313</v>
      </c>
      <c r="C97" s="192">
        <f>SUMPRODUCT(B92:B95,C92:C95)</f>
        <v>149.44999999999999</v>
      </c>
      <c r="D97" s="192">
        <f>C97/36</f>
        <v>4.1513888888888886</v>
      </c>
    </row>
    <row r="99" spans="1:4">
      <c r="A99" s="287" t="s">
        <v>1314</v>
      </c>
      <c r="B99" s="287"/>
    </row>
    <row r="101" spans="1:4">
      <c r="A101" t="s">
        <v>1294</v>
      </c>
      <c r="B101" s="845">
        <f>2290-40</f>
        <v>2250</v>
      </c>
    </row>
    <row r="105" spans="1:4">
      <c r="A105" t="s">
        <v>1315</v>
      </c>
      <c r="C105" s="266">
        <v>0</v>
      </c>
      <c r="D105" s="266">
        <f>C105/36</f>
        <v>0</v>
      </c>
    </row>
    <row r="107" spans="1:4">
      <c r="A107" s="287" t="s">
        <v>1316</v>
      </c>
      <c r="B107" s="287"/>
    </row>
    <row r="109" spans="1:4">
      <c r="A109" t="s">
        <v>1294</v>
      </c>
      <c r="B109" s="845">
        <f>2290-40</f>
        <v>2250</v>
      </c>
    </row>
    <row r="111" spans="1:4">
      <c r="B111" t="s">
        <v>1293</v>
      </c>
      <c r="C111" t="s">
        <v>1295</v>
      </c>
      <c r="D111" t="s">
        <v>1302</v>
      </c>
    </row>
    <row r="112" spans="1:4">
      <c r="A112" t="s">
        <v>1289</v>
      </c>
      <c r="B112" s="846">
        <v>1</v>
      </c>
      <c r="C112" s="192">
        <f>INDEX('Tarieven W&amp;O'!H:H,MATCH(D112,'Tarieven W&amp;O'!B:B,0))</f>
        <v>40</v>
      </c>
      <c r="D112" t="s">
        <v>1299</v>
      </c>
    </row>
    <row r="113" spans="1:4">
      <c r="A113" t="s">
        <v>438</v>
      </c>
      <c r="B113" s="846">
        <v>0</v>
      </c>
      <c r="C113" s="192">
        <f>INDEX('Tarieven W&amp;O'!H:H,MATCH(D113,'Tarieven W&amp;O'!B:B,0))</f>
        <v>343.6</v>
      </c>
      <c r="D113" t="s">
        <v>1300</v>
      </c>
    </row>
    <row r="114" spans="1:4">
      <c r="A114" t="s">
        <v>1290</v>
      </c>
      <c r="B114" s="846">
        <v>0</v>
      </c>
      <c r="C114" s="192">
        <f>INDEX('Tarieven W&amp;O'!H:H,MATCH(D114,'Tarieven W&amp;O'!B:B,0))</f>
        <v>506.4</v>
      </c>
      <c r="D114" t="s">
        <v>1301</v>
      </c>
    </row>
    <row r="115" spans="1:4">
      <c r="A115" t="s">
        <v>1291</v>
      </c>
      <c r="B115" s="846">
        <v>0</v>
      </c>
      <c r="C115" s="450">
        <f>B109+C112</f>
        <v>2290</v>
      </c>
    </row>
    <row r="116" spans="1:4">
      <c r="A116" t="s">
        <v>1292</v>
      </c>
      <c r="B116" s="846">
        <v>0</v>
      </c>
    </row>
    <row r="117" spans="1:4">
      <c r="B117" s="449"/>
    </row>
    <row r="118" spans="1:4">
      <c r="A118" t="s">
        <v>1317</v>
      </c>
      <c r="C118" s="192">
        <f>SUMPRODUCT(B112:B116,C112:C116)</f>
        <v>40</v>
      </c>
      <c r="D118" s="192">
        <f>C118/36</f>
        <v>1.1111111111111112</v>
      </c>
    </row>
    <row r="119" spans="1:4">
      <c r="A119" t="s">
        <v>1318</v>
      </c>
      <c r="C119" s="192">
        <f>C118</f>
        <v>40</v>
      </c>
      <c r="D119" s="192">
        <f>C119/36</f>
        <v>1.1111111111111112</v>
      </c>
    </row>
    <row r="120" spans="1:4">
      <c r="A120" t="s">
        <v>1333</v>
      </c>
      <c r="C120" s="192">
        <f>C118</f>
        <v>40</v>
      </c>
      <c r="D120" s="192">
        <f>C120/36</f>
        <v>1.1111111111111112</v>
      </c>
    </row>
    <row r="122" spans="1:4">
      <c r="A122" s="287" t="s">
        <v>1319</v>
      </c>
      <c r="B122" s="287"/>
    </row>
    <row r="124" spans="1:4">
      <c r="A124" t="s">
        <v>1294</v>
      </c>
      <c r="B124" s="845">
        <f>2290-40</f>
        <v>2250</v>
      </c>
    </row>
    <row r="126" spans="1:4">
      <c r="B126" t="s">
        <v>1293</v>
      </c>
      <c r="C126" t="s">
        <v>1295</v>
      </c>
      <c r="D126" t="s">
        <v>1302</v>
      </c>
    </row>
    <row r="127" spans="1:4">
      <c r="A127" t="s">
        <v>1289</v>
      </c>
      <c r="B127" s="846">
        <v>1</v>
      </c>
      <c r="C127" s="192">
        <f>INDEX('Tarieven W&amp;O'!H:H,MATCH(D127,'Tarieven W&amp;O'!B:B,0))</f>
        <v>149.44999999999999</v>
      </c>
      <c r="D127" t="s">
        <v>1320</v>
      </c>
    </row>
    <row r="128" spans="1:4">
      <c r="A128" t="s">
        <v>1311</v>
      </c>
      <c r="B128" s="846">
        <v>0</v>
      </c>
      <c r="C128" s="192">
        <f>INDEX('Tarieven W&amp;O'!H:H,MATCH(D128,'Tarieven W&amp;O'!B:B,0))</f>
        <v>620.59</v>
      </c>
      <c r="D128" t="s">
        <v>1321</v>
      </c>
    </row>
    <row r="129" spans="1:4">
      <c r="A129" t="s">
        <v>1291</v>
      </c>
      <c r="B129" s="846">
        <v>0</v>
      </c>
      <c r="C129" s="450">
        <f>B124+C127</f>
        <v>2399.4499999999998</v>
      </c>
    </row>
    <row r="130" spans="1:4">
      <c r="A130" t="s">
        <v>1292</v>
      </c>
      <c r="B130" s="846">
        <v>0</v>
      </c>
    </row>
    <row r="132" spans="1:4">
      <c r="A132" t="s">
        <v>1322</v>
      </c>
      <c r="C132" s="192">
        <f>SUMPRODUCT(B127:B130,C127:C130)</f>
        <v>149.44999999999999</v>
      </c>
      <c r="D132" s="192">
        <f>C132/36</f>
        <v>4.1513888888888886</v>
      </c>
    </row>
    <row r="134" spans="1:4">
      <c r="A134" s="287" t="s">
        <v>1323</v>
      </c>
      <c r="B134" s="287"/>
    </row>
    <row r="138" spans="1:4">
      <c r="A138" t="s">
        <v>1324</v>
      </c>
      <c r="C138" s="192">
        <v>0</v>
      </c>
      <c r="D138" s="192">
        <f>C138/36</f>
        <v>0</v>
      </c>
    </row>
    <row r="140" spans="1:4">
      <c r="A140" s="287" t="s">
        <v>1325</v>
      </c>
      <c r="B140" s="287"/>
    </row>
    <row r="142" spans="1:4">
      <c r="A142" t="s">
        <v>1294</v>
      </c>
      <c r="B142" s="845">
        <f>2320.3-70.3</f>
        <v>2250</v>
      </c>
    </row>
    <row r="144" spans="1:4">
      <c r="B144" t="s">
        <v>1293</v>
      </c>
      <c r="C144" t="s">
        <v>1295</v>
      </c>
    </row>
    <row r="145" spans="1:4">
      <c r="A145" t="s">
        <v>1289</v>
      </c>
      <c r="B145" s="846">
        <v>1</v>
      </c>
      <c r="C145" s="263">
        <f>'Inkoop tarief elementen'!E13</f>
        <v>70.790000000000006</v>
      </c>
    </row>
    <row r="146" spans="1:4">
      <c r="A146" t="s">
        <v>438</v>
      </c>
      <c r="B146" s="846">
        <v>0</v>
      </c>
      <c r="C146" s="263">
        <f>'Inkoop tarief elementen'!E15</f>
        <v>310.64999999999998</v>
      </c>
    </row>
    <row r="147" spans="1:4">
      <c r="A147" t="s">
        <v>1290</v>
      </c>
      <c r="B147" s="846">
        <v>0</v>
      </c>
      <c r="C147" s="919">
        <f>'Inkoop tarief elementen'!E16</f>
        <v>541.12</v>
      </c>
    </row>
    <row r="148" spans="1:4">
      <c r="A148" t="s">
        <v>1291</v>
      </c>
      <c r="B148" s="846">
        <v>0</v>
      </c>
      <c r="C148" s="672">
        <f>B142+C145</f>
        <v>2320.79</v>
      </c>
    </row>
    <row r="149" spans="1:4">
      <c r="A149" t="s">
        <v>1292</v>
      </c>
      <c r="B149" s="846">
        <v>0</v>
      </c>
    </row>
    <row r="150" spans="1:4">
      <c r="B150" s="449"/>
    </row>
    <row r="151" spans="1:4">
      <c r="A151" t="s">
        <v>1326</v>
      </c>
      <c r="C151" s="192">
        <f>SUMPRODUCT(B145:B149,C145:C149)</f>
        <v>70.790000000000006</v>
      </c>
      <c r="D151" s="192">
        <f>C151/36</f>
        <v>1.966388888888889</v>
      </c>
    </row>
    <row r="152" spans="1:4">
      <c r="A152" t="s">
        <v>1327</v>
      </c>
      <c r="C152" s="192">
        <f>C151</f>
        <v>70.790000000000006</v>
      </c>
      <c r="D152" s="192">
        <f>C152/36</f>
        <v>1.966388888888889</v>
      </c>
    </row>
    <row r="153" spans="1:4">
      <c r="A153" t="s">
        <v>1334</v>
      </c>
      <c r="C153" s="192">
        <f>C151</f>
        <v>70.790000000000006</v>
      </c>
      <c r="D153" s="192">
        <f>C153/36</f>
        <v>1.966388888888889</v>
      </c>
    </row>
    <row r="155" spans="1:4">
      <c r="A155" s="287" t="s">
        <v>1328</v>
      </c>
      <c r="B155" s="287"/>
    </row>
    <row r="157" spans="1:4">
      <c r="A157" t="s">
        <v>1294</v>
      </c>
      <c r="B157" s="845">
        <f>2320.3-70.3</f>
        <v>2250</v>
      </c>
    </row>
    <row r="159" spans="1:4">
      <c r="B159" t="s">
        <v>1293</v>
      </c>
      <c r="C159" t="s">
        <v>1295</v>
      </c>
    </row>
    <row r="160" spans="1:4">
      <c r="A160" t="s">
        <v>1289</v>
      </c>
      <c r="B160" s="846">
        <v>1</v>
      </c>
      <c r="C160" s="192">
        <f>'Inkoop tarief elementen'!F13</f>
        <v>166.88</v>
      </c>
    </row>
    <row r="161" spans="1:4">
      <c r="A161" t="s">
        <v>1311</v>
      </c>
      <c r="B161" s="846">
        <v>0</v>
      </c>
      <c r="C161" s="192">
        <f>'Inkoop tarief elementen'!F17</f>
        <v>754.48</v>
      </c>
    </row>
    <row r="162" spans="1:4">
      <c r="A162" t="s">
        <v>1291</v>
      </c>
      <c r="B162" s="846">
        <v>0</v>
      </c>
      <c r="C162" s="266">
        <f>B157+C160</f>
        <v>2416.88</v>
      </c>
    </row>
    <row r="163" spans="1:4">
      <c r="A163" t="s">
        <v>1292</v>
      </c>
      <c r="B163" s="846">
        <v>0</v>
      </c>
    </row>
    <row r="164" spans="1:4">
      <c r="B164" s="449"/>
    </row>
    <row r="165" spans="1:4">
      <c r="A165" t="s">
        <v>1329</v>
      </c>
      <c r="C165" s="192">
        <f>SUMPRODUCT(B160:B163,C160:C163)</f>
        <v>166.88</v>
      </c>
      <c r="D165" s="192">
        <f>C165/36</f>
        <v>4.6355555555555554</v>
      </c>
    </row>
    <row r="167" spans="1:4">
      <c r="A167" s="287" t="s">
        <v>1330</v>
      </c>
      <c r="B167" s="287"/>
    </row>
    <row r="169" spans="1:4">
      <c r="A169" t="s">
        <v>1331</v>
      </c>
      <c r="C169" s="192">
        <v>0</v>
      </c>
      <c r="D169" s="192">
        <f>C169/36</f>
        <v>0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B1:X34"/>
  <sheetViews>
    <sheetView workbookViewId="0">
      <selection activeCell="C12" sqref="C12"/>
    </sheetView>
  </sheetViews>
  <sheetFormatPr defaultRowHeight="15"/>
  <cols>
    <col min="2" max="2" width="11" customWidth="1"/>
    <col min="3" max="3" width="15" customWidth="1"/>
    <col min="4" max="13" width="9.85546875" customWidth="1"/>
    <col min="16" max="24" width="11.28515625" customWidth="1"/>
  </cols>
  <sheetData>
    <row r="1" spans="2:24" ht="15.75" thickBot="1"/>
    <row r="2" spans="2:24" ht="15.75" thickBot="1">
      <c r="B2" s="956" t="s">
        <v>1640</v>
      </c>
      <c r="C2" s="957"/>
      <c r="D2" s="961"/>
      <c r="E2" s="962"/>
      <c r="F2" s="963"/>
      <c r="G2" s="961"/>
      <c r="H2" s="962"/>
      <c r="I2" s="963"/>
      <c r="J2" s="961"/>
      <c r="K2" s="962"/>
      <c r="L2" s="963"/>
      <c r="M2" s="961"/>
      <c r="N2" s="962"/>
      <c r="O2" s="963"/>
      <c r="P2" s="961"/>
      <c r="Q2" s="962"/>
      <c r="R2" s="963"/>
      <c r="S2" s="953"/>
      <c r="T2" s="954"/>
      <c r="U2" s="955"/>
      <c r="V2" s="953"/>
      <c r="W2" s="954"/>
      <c r="X2" s="955"/>
    </row>
    <row r="3" spans="2:24" ht="15.75" thickBot="1">
      <c r="B3" s="956" t="s">
        <v>1641</v>
      </c>
      <c r="C3" s="957"/>
      <c r="D3" s="958"/>
      <c r="E3" s="958"/>
      <c r="F3" s="959"/>
      <c r="G3" s="960"/>
      <c r="H3" s="958"/>
      <c r="I3" s="959"/>
      <c r="J3" s="960"/>
      <c r="K3" s="958"/>
      <c r="L3" s="959"/>
      <c r="M3" s="960"/>
      <c r="N3" s="958"/>
      <c r="O3" s="959"/>
      <c r="P3" s="960"/>
      <c r="Q3" s="958"/>
      <c r="R3" s="959"/>
      <c r="S3" s="960"/>
      <c r="T3" s="958"/>
      <c r="U3" s="959"/>
      <c r="V3" s="960"/>
      <c r="W3" s="958"/>
      <c r="X3" s="959"/>
    </row>
    <row r="4" spans="2:24" ht="15.75" thickBot="1">
      <c r="B4" s="951" t="s">
        <v>1642</v>
      </c>
      <c r="C4" s="952"/>
      <c r="D4" s="949"/>
      <c r="E4" s="949"/>
      <c r="F4" s="950"/>
      <c r="G4" s="948"/>
      <c r="H4" s="949"/>
      <c r="I4" s="950"/>
      <c r="J4" s="948"/>
      <c r="K4" s="949"/>
      <c r="L4" s="950"/>
      <c r="M4" s="948"/>
      <c r="N4" s="949"/>
      <c r="O4" s="950"/>
      <c r="P4" s="948"/>
      <c r="Q4" s="949"/>
      <c r="R4" s="950"/>
      <c r="S4" s="948"/>
      <c r="T4" s="949"/>
      <c r="U4" s="950"/>
      <c r="V4" s="948"/>
      <c r="W4" s="949"/>
      <c r="X4" s="950"/>
    </row>
    <row r="5" spans="2:24" ht="15.75" thickBot="1">
      <c r="B5" s="664" t="s">
        <v>1643</v>
      </c>
      <c r="C5" s="664" t="s">
        <v>1644</v>
      </c>
      <c r="D5" s="920"/>
      <c r="E5" s="921"/>
      <c r="F5" s="921"/>
      <c r="G5" s="920"/>
      <c r="H5" s="921"/>
      <c r="I5" s="921"/>
      <c r="J5" s="920"/>
      <c r="K5" s="921"/>
      <c r="L5" s="921"/>
      <c r="M5" s="920"/>
      <c r="N5" s="921"/>
      <c r="O5" s="921"/>
      <c r="P5" s="920"/>
      <c r="Q5" s="921"/>
      <c r="R5" s="921"/>
      <c r="S5" s="920"/>
      <c r="T5" s="921"/>
      <c r="U5" s="921"/>
      <c r="V5" s="920"/>
      <c r="W5" s="921"/>
      <c r="X5" s="921"/>
    </row>
    <row r="6" spans="2:24" ht="15.75" thickBot="1">
      <c r="B6" s="922"/>
      <c r="C6" s="923"/>
      <c r="D6" s="847"/>
      <c r="E6" s="848"/>
      <c r="F6" s="849"/>
      <c r="G6" s="850"/>
      <c r="H6" s="851"/>
      <c r="I6" s="849"/>
      <c r="J6" s="850"/>
      <c r="K6" s="851"/>
      <c r="L6" s="852"/>
      <c r="M6" s="850"/>
      <c r="N6" s="850"/>
      <c r="O6" s="849"/>
      <c r="P6" s="853"/>
      <c r="Q6" s="853"/>
      <c r="R6" s="854"/>
      <c r="S6" s="853"/>
      <c r="T6" s="853"/>
      <c r="U6" s="854"/>
      <c r="V6" s="853"/>
      <c r="W6" s="853"/>
      <c r="X6" s="854"/>
    </row>
    <row r="7" spans="2:24" ht="15.75" thickBot="1">
      <c r="B7" s="924"/>
      <c r="C7" s="924"/>
      <c r="D7" s="850"/>
      <c r="E7" s="850"/>
      <c r="F7" s="855"/>
      <c r="G7" s="850"/>
      <c r="H7" s="851"/>
      <c r="I7" s="855"/>
      <c r="J7" s="850"/>
      <c r="K7" s="851"/>
      <c r="L7" s="855"/>
      <c r="M7" s="850"/>
      <c r="N7" s="851"/>
      <c r="O7" s="855"/>
      <c r="P7" s="853"/>
      <c r="Q7" s="856"/>
      <c r="R7" s="857"/>
      <c r="S7" s="853"/>
      <c r="T7" s="856"/>
      <c r="U7" s="857"/>
      <c r="V7" s="853"/>
      <c r="W7" s="856"/>
      <c r="X7" s="857"/>
    </row>
    <row r="8" spans="2:24" ht="15.75" thickBot="1">
      <c r="B8" s="924"/>
      <c r="C8" s="922"/>
      <c r="D8" s="850"/>
      <c r="E8" s="850"/>
      <c r="F8" s="855"/>
      <c r="G8" s="850"/>
      <c r="H8" s="851"/>
      <c r="I8" s="855"/>
      <c r="J8" s="850"/>
      <c r="K8" s="851"/>
      <c r="L8" s="858"/>
      <c r="M8" s="850"/>
      <c r="N8" s="851"/>
      <c r="O8" s="855"/>
      <c r="P8" s="853"/>
      <c r="Q8" s="856"/>
      <c r="R8" s="857"/>
      <c r="S8" s="853"/>
      <c r="T8" s="856"/>
      <c r="U8" s="857"/>
      <c r="V8" s="853"/>
      <c r="W8" s="856"/>
      <c r="X8" s="857"/>
    </row>
    <row r="9" spans="2:24" ht="15.75" thickBot="1">
      <c r="B9" s="924"/>
      <c r="C9" s="924"/>
      <c r="D9" s="850"/>
      <c r="E9" s="850"/>
      <c r="F9" s="855"/>
      <c r="G9" s="850"/>
      <c r="H9" s="851"/>
      <c r="I9" s="855"/>
      <c r="J9" s="850"/>
      <c r="K9" s="851"/>
      <c r="L9" s="858"/>
      <c r="M9" s="850"/>
      <c r="N9" s="851"/>
      <c r="O9" s="855"/>
      <c r="P9" s="853"/>
      <c r="Q9" s="856"/>
      <c r="R9" s="857"/>
      <c r="S9" s="853"/>
      <c r="T9" s="856"/>
      <c r="U9" s="857"/>
      <c r="V9" s="853"/>
      <c r="W9" s="856"/>
      <c r="X9" s="857"/>
    </row>
    <row r="10" spans="2:24" ht="15.75" thickBot="1">
      <c r="B10" s="924"/>
      <c r="C10" s="924"/>
      <c r="D10" s="850"/>
      <c r="E10" s="850"/>
      <c r="F10" s="855"/>
      <c r="G10" s="850"/>
      <c r="H10" s="851"/>
      <c r="I10" s="855"/>
      <c r="J10" s="850"/>
      <c r="K10" s="851"/>
      <c r="L10" s="858"/>
      <c r="M10" s="850"/>
      <c r="N10" s="851"/>
      <c r="O10" s="855"/>
      <c r="P10" s="853"/>
      <c r="Q10" s="856"/>
      <c r="R10" s="857"/>
      <c r="S10" s="853"/>
      <c r="T10" s="856"/>
      <c r="U10" s="857"/>
      <c r="V10" s="853"/>
      <c r="W10" s="856"/>
      <c r="X10" s="857"/>
    </row>
    <row r="11" spans="2:24" s="665" customFormat="1" ht="15.75" thickBot="1">
      <c r="B11" s="924"/>
      <c r="C11" s="924"/>
      <c r="D11" s="859"/>
      <c r="E11" s="859"/>
      <c r="F11" s="860"/>
      <c r="G11" s="859"/>
      <c r="H11" s="861"/>
      <c r="I11" s="860"/>
      <c r="J11" s="859"/>
      <c r="K11" s="861"/>
      <c r="L11" s="862"/>
      <c r="M11" s="859"/>
      <c r="N11" s="861"/>
      <c r="O11" s="860"/>
      <c r="P11" s="863"/>
      <c r="Q11" s="864"/>
      <c r="R11" s="865"/>
      <c r="S11" s="863"/>
      <c r="T11" s="864"/>
      <c r="U11" s="865"/>
      <c r="V11" s="863"/>
      <c r="W11" s="864"/>
      <c r="X11" s="865"/>
    </row>
    <row r="12" spans="2:24" ht="15.75" thickBot="1">
      <c r="B12" s="924" t="s">
        <v>1645</v>
      </c>
      <c r="C12" s="922" t="s">
        <v>1646</v>
      </c>
      <c r="D12" s="850"/>
      <c r="E12" s="850"/>
      <c r="F12" s="855">
        <v>0</v>
      </c>
      <c r="G12" s="850"/>
      <c r="H12" s="851"/>
      <c r="I12" s="855">
        <v>0.01</v>
      </c>
      <c r="J12" s="850"/>
      <c r="K12" s="851"/>
      <c r="L12" s="858">
        <v>0</v>
      </c>
      <c r="M12" s="850"/>
      <c r="N12" s="851"/>
      <c r="O12" s="855">
        <v>0.1</v>
      </c>
      <c r="P12" s="853"/>
      <c r="Q12" s="856"/>
      <c r="R12" s="857">
        <v>0</v>
      </c>
      <c r="S12" s="853"/>
      <c r="T12" s="856"/>
      <c r="U12" s="857">
        <v>0</v>
      </c>
      <c r="V12" s="853"/>
      <c r="W12" s="856"/>
      <c r="X12" s="857">
        <v>0</v>
      </c>
    </row>
    <row r="13" spans="2:24" ht="15.75" thickBot="1">
      <c r="B13" s="924"/>
      <c r="C13" s="924"/>
      <c r="D13" s="866"/>
      <c r="E13" s="867"/>
      <c r="F13" s="868"/>
      <c r="G13" s="867"/>
      <c r="H13" s="869"/>
      <c r="I13" s="868"/>
      <c r="J13" s="866"/>
      <c r="K13" s="869"/>
      <c r="L13" s="868"/>
      <c r="M13" s="867"/>
      <c r="N13" s="869"/>
      <c r="O13" s="868"/>
      <c r="P13" s="870"/>
      <c r="Q13" s="871"/>
      <c r="R13" s="872"/>
      <c r="S13" s="853"/>
      <c r="T13" s="856"/>
      <c r="U13" s="857"/>
      <c r="V13" s="853"/>
      <c r="W13" s="856"/>
      <c r="X13" s="857"/>
    </row>
    <row r="14" spans="2:24" ht="15.75" thickBot="1">
      <c r="B14" s="924"/>
      <c r="C14" s="924"/>
      <c r="D14" s="873"/>
      <c r="E14" s="874"/>
      <c r="F14" s="875"/>
      <c r="G14" s="874"/>
      <c r="H14" s="876"/>
      <c r="I14" s="875"/>
      <c r="J14" s="873"/>
      <c r="K14" s="876"/>
      <c r="L14" s="875"/>
      <c r="M14" s="874"/>
      <c r="N14" s="876"/>
      <c r="O14" s="875"/>
      <c r="P14" s="877"/>
      <c r="Q14" s="878"/>
      <c r="R14" s="879"/>
      <c r="S14" s="880"/>
      <c r="T14" s="878"/>
      <c r="U14" s="879"/>
      <c r="V14" s="877"/>
      <c r="W14" s="878"/>
      <c r="X14" s="879"/>
    </row>
    <row r="17" ht="15" customHeight="1"/>
    <row r="22" ht="15" customHeight="1"/>
    <row r="34" spans="10:10">
      <c r="J34" s="666"/>
    </row>
  </sheetData>
  <mergeCells count="24">
    <mergeCell ref="S2:U2"/>
    <mergeCell ref="V2:X2"/>
    <mergeCell ref="B3:C3"/>
    <mergeCell ref="D3:F3"/>
    <mergeCell ref="G3:I3"/>
    <mergeCell ref="J3:L3"/>
    <mergeCell ref="M3:O3"/>
    <mergeCell ref="P3:R3"/>
    <mergeCell ref="S3:U3"/>
    <mergeCell ref="V3:X3"/>
    <mergeCell ref="B2:C2"/>
    <mergeCell ref="D2:F2"/>
    <mergeCell ref="G2:I2"/>
    <mergeCell ref="J2:L2"/>
    <mergeCell ref="M2:O2"/>
    <mergeCell ref="P2:R2"/>
    <mergeCell ref="S4:U4"/>
    <mergeCell ref="V4:X4"/>
    <mergeCell ref="B4:C4"/>
    <mergeCell ref="D4:F4"/>
    <mergeCell ref="G4:I4"/>
    <mergeCell ref="J4:L4"/>
    <mergeCell ref="M4:O4"/>
    <mergeCell ref="P4:R4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>
    <tabColor rgb="FF0000FF"/>
  </sheetPr>
  <dimension ref="A3:Q251"/>
  <sheetViews>
    <sheetView topLeftCell="A151" workbookViewId="0">
      <selection activeCell="B240" sqref="B240"/>
    </sheetView>
  </sheetViews>
  <sheetFormatPr defaultRowHeight="15"/>
  <cols>
    <col min="1" max="1" width="14.42578125" customWidth="1"/>
    <col min="2" max="2" width="35.42578125" customWidth="1"/>
    <col min="3" max="3" width="18.7109375" customWidth="1"/>
    <col min="4" max="4" width="26.5703125" customWidth="1"/>
    <col min="5" max="5" width="21.5703125" customWidth="1"/>
    <col min="6" max="6" width="14.140625" customWidth="1"/>
    <col min="7" max="7" width="4.28515625" customWidth="1"/>
    <col min="8" max="8" width="38.28515625" customWidth="1"/>
    <col min="9" max="9" width="28.5703125" customWidth="1"/>
    <col min="10" max="11" width="24.42578125" customWidth="1"/>
    <col min="12" max="12" width="21.5703125" customWidth="1"/>
    <col min="13" max="13" width="25" customWidth="1"/>
    <col min="14" max="14" width="24.28515625" customWidth="1"/>
    <col min="15" max="15" width="27.7109375" customWidth="1"/>
  </cols>
  <sheetData>
    <row r="3" spans="2:17" ht="18">
      <c r="B3" s="66" t="s">
        <v>35</v>
      </c>
    </row>
    <row r="5" spans="2:17">
      <c r="B5" s="73" t="s">
        <v>36</v>
      </c>
      <c r="C5" s="73" t="s">
        <v>37</v>
      </c>
      <c r="D5" s="73" t="s">
        <v>38</v>
      </c>
      <c r="E5" s="73" t="s">
        <v>39</v>
      </c>
      <c r="F5" s="73"/>
      <c r="H5" s="73" t="s">
        <v>40</v>
      </c>
      <c r="I5" s="99" t="s">
        <v>38</v>
      </c>
      <c r="J5" s="73" t="s">
        <v>41</v>
      </c>
      <c r="K5" s="99"/>
      <c r="L5" s="99"/>
      <c r="M5" s="270" t="s">
        <v>1383</v>
      </c>
    </row>
    <row r="6" spans="2:17">
      <c r="B6" s="112" t="str">
        <f t="shared" ref="B6:B69" si="0">C6&amp;D6&amp;E6&amp;F6</f>
        <v>ADSL128/128Basic</v>
      </c>
      <c r="C6" s="77" t="s">
        <v>42</v>
      </c>
      <c r="D6" s="75" t="s">
        <v>43</v>
      </c>
      <c r="E6" s="77" t="s">
        <v>44</v>
      </c>
      <c r="F6" s="75"/>
      <c r="H6" s="112" t="str">
        <f t="shared" ref="H6:H69" si="1">I6&amp;J6&amp;K6&amp;L6</f>
        <v>&lt;= 512 kbps/&lt;= 256 kbpsentry</v>
      </c>
      <c r="I6" s="75" t="s">
        <v>45</v>
      </c>
      <c r="J6" s="75" t="s">
        <v>46</v>
      </c>
      <c r="K6" s="445"/>
      <c r="L6" s="75"/>
      <c r="M6" s="290" t="s">
        <v>115</v>
      </c>
      <c r="N6" s="76"/>
      <c r="O6" s="76"/>
      <c r="P6" s="76"/>
      <c r="Q6" s="76"/>
    </row>
    <row r="7" spans="2:17">
      <c r="B7" s="112" t="str">
        <f t="shared" si="0"/>
        <v>ADSL384/128Basic</v>
      </c>
      <c r="C7" s="77" t="s">
        <v>42</v>
      </c>
      <c r="D7" s="75" t="s">
        <v>47</v>
      </c>
      <c r="E7" s="77" t="s">
        <v>44</v>
      </c>
      <c r="F7" s="75"/>
      <c r="H7" s="112" t="str">
        <f t="shared" si="1"/>
        <v>&lt;= 512 kbps/&lt;= 256 kbpsentry</v>
      </c>
      <c r="I7" s="75" t="s">
        <v>45</v>
      </c>
      <c r="J7" s="75" t="s">
        <v>46</v>
      </c>
      <c r="K7" s="445"/>
      <c r="L7" s="75"/>
      <c r="M7" s="290" t="s">
        <v>115</v>
      </c>
      <c r="N7" s="76"/>
      <c r="O7" s="76"/>
      <c r="P7" s="76"/>
      <c r="Q7" s="76"/>
    </row>
    <row r="8" spans="2:17">
      <c r="B8" s="112" t="str">
        <f t="shared" si="0"/>
        <v>ADSL256/256Basic</v>
      </c>
      <c r="C8" s="77" t="s">
        <v>42</v>
      </c>
      <c r="D8" s="75" t="s">
        <v>48</v>
      </c>
      <c r="E8" s="77" t="s">
        <v>44</v>
      </c>
      <c r="F8" s="75"/>
      <c r="H8" s="112" t="str">
        <f t="shared" si="1"/>
        <v>&lt;= 512 kbps/&lt;= 256 kbpsentry</v>
      </c>
      <c r="I8" s="75" t="s">
        <v>45</v>
      </c>
      <c r="J8" s="75" t="s">
        <v>46</v>
      </c>
      <c r="K8" s="445"/>
      <c r="L8" s="75"/>
      <c r="M8" s="290" t="s">
        <v>115</v>
      </c>
      <c r="N8" s="76"/>
      <c r="O8" s="76"/>
      <c r="P8" s="76"/>
      <c r="Q8" s="76"/>
    </row>
    <row r="9" spans="2:17">
      <c r="B9" s="112" t="str">
        <f t="shared" si="0"/>
        <v>ADSL512/256Basic</v>
      </c>
      <c r="C9" s="77" t="s">
        <v>42</v>
      </c>
      <c r="D9" s="75" t="s">
        <v>49</v>
      </c>
      <c r="E9" s="77" t="s">
        <v>44</v>
      </c>
      <c r="F9" s="75"/>
      <c r="H9" s="112" t="str">
        <f t="shared" si="1"/>
        <v>&lt;= 512 kbps/&lt;= 256 kbpsentry</v>
      </c>
      <c r="I9" s="75" t="s">
        <v>45</v>
      </c>
      <c r="J9" s="75" t="s">
        <v>46</v>
      </c>
      <c r="K9" s="445"/>
      <c r="L9" s="75"/>
      <c r="M9" s="290" t="s">
        <v>115</v>
      </c>
      <c r="N9" s="76"/>
      <c r="O9" s="76"/>
      <c r="P9" s="76"/>
      <c r="Q9" s="76"/>
    </row>
    <row r="10" spans="2:17">
      <c r="B10" s="112" t="str">
        <f t="shared" si="0"/>
        <v>ADSL512/512Basic</v>
      </c>
      <c r="C10" s="77" t="s">
        <v>42</v>
      </c>
      <c r="D10" s="75" t="s">
        <v>50</v>
      </c>
      <c r="E10" s="77" t="s">
        <v>44</v>
      </c>
      <c r="F10" s="75"/>
      <c r="H10" s="112" t="str">
        <f t="shared" si="1"/>
        <v>&lt;= 2 Mbps/&lt;= 512 kbpsentry</v>
      </c>
      <c r="I10" s="75" t="s">
        <v>51</v>
      </c>
      <c r="J10" s="75" t="s">
        <v>46</v>
      </c>
      <c r="K10" s="445"/>
      <c r="L10" s="75"/>
      <c r="M10" s="290" t="s">
        <v>115</v>
      </c>
      <c r="N10" s="76"/>
      <c r="O10" s="76"/>
      <c r="P10" s="76"/>
      <c r="Q10" s="76"/>
    </row>
    <row r="11" spans="2:17">
      <c r="B11" s="112" t="str">
        <f t="shared" si="0"/>
        <v>ADSL1024/256Basic</v>
      </c>
      <c r="C11" s="77" t="s">
        <v>42</v>
      </c>
      <c r="D11" s="75" t="s">
        <v>52</v>
      </c>
      <c r="E11" s="77" t="s">
        <v>44</v>
      </c>
      <c r="F11" s="75"/>
      <c r="H11" s="112" t="str">
        <f t="shared" si="1"/>
        <v>&lt;= 2 Mbps/&lt;= 512 kbpsentry</v>
      </c>
      <c r="I11" s="75" t="s">
        <v>51</v>
      </c>
      <c r="J11" s="75" t="s">
        <v>46</v>
      </c>
      <c r="K11" s="445"/>
      <c r="L11" s="75"/>
      <c r="M11" s="290" t="s">
        <v>115</v>
      </c>
      <c r="N11" s="76"/>
      <c r="O11" s="76"/>
      <c r="P11" s="76"/>
      <c r="Q11" s="76"/>
    </row>
    <row r="12" spans="2:17">
      <c r="B12" s="112" t="str">
        <f t="shared" si="0"/>
        <v>ADSL1024/512Basic</v>
      </c>
      <c r="C12" s="77" t="s">
        <v>42</v>
      </c>
      <c r="D12" s="75" t="s">
        <v>53</v>
      </c>
      <c r="E12" s="77" t="s">
        <v>44</v>
      </c>
      <c r="F12" s="75"/>
      <c r="H12" s="112" t="str">
        <f t="shared" si="1"/>
        <v>&lt;= 2 Mbps/&lt;= 512 kbpsentry</v>
      </c>
      <c r="I12" s="75" t="s">
        <v>51</v>
      </c>
      <c r="J12" s="75" t="s">
        <v>46</v>
      </c>
      <c r="K12" s="445"/>
      <c r="L12" s="75"/>
      <c r="M12" s="290" t="s">
        <v>115</v>
      </c>
      <c r="N12" s="76"/>
      <c r="O12" s="76"/>
      <c r="P12" s="76"/>
      <c r="Q12" s="76"/>
    </row>
    <row r="13" spans="2:17">
      <c r="B13" s="112" t="str">
        <f t="shared" si="0"/>
        <v>ADSL2048/512Basic</v>
      </c>
      <c r="C13" s="77" t="s">
        <v>42</v>
      </c>
      <c r="D13" s="75" t="s">
        <v>54</v>
      </c>
      <c r="E13" s="77" t="s">
        <v>44</v>
      </c>
      <c r="F13" s="75"/>
      <c r="H13" s="112" t="str">
        <f t="shared" si="1"/>
        <v>&lt;= 2 Mbps/&lt;= 512 kbpsentry</v>
      </c>
      <c r="I13" s="75" t="s">
        <v>51</v>
      </c>
      <c r="J13" s="75" t="s">
        <v>46</v>
      </c>
      <c r="K13" s="445"/>
      <c r="L13" s="75"/>
      <c r="M13" s="290" t="s">
        <v>115</v>
      </c>
      <c r="N13" s="76"/>
      <c r="O13" s="76"/>
      <c r="P13" s="76"/>
      <c r="Q13" s="76"/>
    </row>
    <row r="14" spans="2:17">
      <c r="B14" s="112" t="str">
        <f t="shared" si="0"/>
        <v>ADSL3072/512Basic</v>
      </c>
      <c r="C14" s="77" t="s">
        <v>42</v>
      </c>
      <c r="D14" s="75" t="s">
        <v>55</v>
      </c>
      <c r="E14" s="77" t="s">
        <v>44</v>
      </c>
      <c r="F14" s="75"/>
      <c r="H14" s="112" t="str">
        <f t="shared" si="1"/>
        <v>&lt;= 4 Mbps/&lt;= 1 Mbpsentry</v>
      </c>
      <c r="I14" s="75" t="s">
        <v>56</v>
      </c>
      <c r="J14" s="75" t="s">
        <v>46</v>
      </c>
      <c r="K14" s="445"/>
      <c r="L14" s="75"/>
      <c r="M14" s="290" t="s">
        <v>115</v>
      </c>
      <c r="N14" s="76"/>
      <c r="O14" s="76"/>
      <c r="P14" s="76"/>
      <c r="Q14" s="76"/>
    </row>
    <row r="15" spans="2:17">
      <c r="B15" s="112" t="str">
        <f t="shared" si="0"/>
        <v>ADSL4096/1024Basic</v>
      </c>
      <c r="C15" s="77" t="s">
        <v>42</v>
      </c>
      <c r="D15" s="75" t="s">
        <v>57</v>
      </c>
      <c r="E15" s="77" t="s">
        <v>44</v>
      </c>
      <c r="F15" s="75"/>
      <c r="H15" s="112" t="str">
        <f t="shared" si="1"/>
        <v>&lt;= 4 Mbps/&lt;= 1 Mbpsentry</v>
      </c>
      <c r="I15" s="75" t="s">
        <v>56</v>
      </c>
      <c r="J15" s="75" t="s">
        <v>46</v>
      </c>
      <c r="K15" s="445"/>
      <c r="L15" s="75"/>
      <c r="M15" s="290" t="s">
        <v>115</v>
      </c>
      <c r="N15" s="76"/>
      <c r="O15" s="76"/>
      <c r="P15" s="76"/>
      <c r="Q15" s="76"/>
    </row>
    <row r="16" spans="2:17">
      <c r="B16" s="112" t="str">
        <f t="shared" si="0"/>
        <v>ADSL6144/1024Basic</v>
      </c>
      <c r="C16" s="77" t="s">
        <v>42</v>
      </c>
      <c r="D16" s="75" t="s">
        <v>58</v>
      </c>
      <c r="E16" s="77" t="s">
        <v>44</v>
      </c>
      <c r="F16" s="75"/>
      <c r="H16" s="112" t="str">
        <f t="shared" si="1"/>
        <v>&lt;= 8 Mbps/&lt;= 1 Mbpsentry</v>
      </c>
      <c r="I16" s="75" t="s">
        <v>59</v>
      </c>
      <c r="J16" s="75" t="s">
        <v>46</v>
      </c>
      <c r="K16" s="445"/>
      <c r="L16" s="75"/>
      <c r="M16" s="290" t="s">
        <v>115</v>
      </c>
      <c r="N16" s="76"/>
      <c r="O16" s="76"/>
      <c r="P16" s="76"/>
      <c r="Q16" s="76"/>
    </row>
    <row r="17" spans="2:17">
      <c r="B17" s="112" t="str">
        <f t="shared" si="0"/>
        <v>ADSL8000/1024Basic</v>
      </c>
      <c r="C17" s="77" t="s">
        <v>42</v>
      </c>
      <c r="D17" s="75" t="s">
        <v>60</v>
      </c>
      <c r="E17" s="77" t="s">
        <v>44</v>
      </c>
      <c r="F17" s="75"/>
      <c r="H17" s="112" t="str">
        <f t="shared" si="1"/>
        <v>&lt;= 8 Mbps/&lt;= 1 Mbpsentry</v>
      </c>
      <c r="I17" s="75" t="s">
        <v>59</v>
      </c>
      <c r="J17" s="75" t="s">
        <v>46</v>
      </c>
      <c r="K17" s="445"/>
      <c r="L17" s="75"/>
      <c r="M17" s="290" t="s">
        <v>115</v>
      </c>
      <c r="N17" s="76"/>
      <c r="O17" s="76"/>
      <c r="P17" s="76"/>
      <c r="Q17" s="76"/>
    </row>
    <row r="18" spans="2:17">
      <c r="B18" s="112" t="str">
        <f t="shared" si="0"/>
        <v>ADSL12000/1024Basic</v>
      </c>
      <c r="C18" s="77" t="s">
        <v>42</v>
      </c>
      <c r="D18" s="75" t="s">
        <v>61</v>
      </c>
      <c r="E18" s="77" t="s">
        <v>44</v>
      </c>
      <c r="F18" s="75"/>
      <c r="H18" s="112" t="str">
        <f t="shared" si="1"/>
        <v>&lt;= 20 Mbps/&lt;= 1 Mbpsentry</v>
      </c>
      <c r="I18" s="75" t="s">
        <v>62</v>
      </c>
      <c r="J18" s="75" t="s">
        <v>46</v>
      </c>
      <c r="K18" s="445"/>
      <c r="L18" s="75"/>
      <c r="M18" s="290" t="s">
        <v>115</v>
      </c>
      <c r="N18" s="76"/>
      <c r="O18" s="76"/>
      <c r="P18" s="76"/>
      <c r="Q18" s="76"/>
    </row>
    <row r="19" spans="2:17">
      <c r="B19" s="112" t="str">
        <f t="shared" si="0"/>
        <v>ADSL20000/1024Basic</v>
      </c>
      <c r="C19" s="77" t="s">
        <v>42</v>
      </c>
      <c r="D19" s="75" t="s">
        <v>63</v>
      </c>
      <c r="E19" s="77" t="s">
        <v>44</v>
      </c>
      <c r="F19" s="75"/>
      <c r="H19" s="112" t="str">
        <f t="shared" si="1"/>
        <v>&lt;= 20 Mbps/&lt;= 1 Mbpsentry</v>
      </c>
      <c r="I19" s="75" t="s">
        <v>62</v>
      </c>
      <c r="J19" s="75" t="s">
        <v>46</v>
      </c>
      <c r="K19" s="445"/>
      <c r="L19" s="75"/>
      <c r="M19" s="290" t="s">
        <v>115</v>
      </c>
      <c r="N19" s="76"/>
      <c r="O19" s="76"/>
      <c r="P19" s="76"/>
      <c r="Q19" s="76"/>
    </row>
    <row r="20" spans="2:17">
      <c r="B20" s="112" t="str">
        <f t="shared" si="0"/>
        <v>SDSL256/256Basic</v>
      </c>
      <c r="C20" s="77" t="s">
        <v>64</v>
      </c>
      <c r="D20" s="75" t="s">
        <v>48</v>
      </c>
      <c r="E20" s="77" t="s">
        <v>44</v>
      </c>
      <c r="F20" s="75"/>
      <c r="H20" s="112" t="str">
        <f t="shared" si="1"/>
        <v>≤ 2,3 Mbps/≤ 2,3 Mbpsentry</v>
      </c>
      <c r="I20" s="75" t="s">
        <v>65</v>
      </c>
      <c r="J20" s="75" t="s">
        <v>46</v>
      </c>
      <c r="K20" s="445"/>
      <c r="L20" s="75"/>
      <c r="M20" s="290" t="s">
        <v>115</v>
      </c>
      <c r="N20" s="76"/>
      <c r="O20" s="76"/>
      <c r="P20" s="76"/>
      <c r="Q20" s="76"/>
    </row>
    <row r="21" spans="2:17">
      <c r="B21" s="112" t="str">
        <f t="shared" si="0"/>
        <v>SDSL512/512Basic</v>
      </c>
      <c r="C21" s="77" t="s">
        <v>64</v>
      </c>
      <c r="D21" s="75" t="s">
        <v>50</v>
      </c>
      <c r="E21" s="77" t="s">
        <v>44</v>
      </c>
      <c r="F21" s="75"/>
      <c r="H21" s="112" t="str">
        <f t="shared" si="1"/>
        <v>≤ 2,3 Mbps/≤ 2,3 Mbpsentry</v>
      </c>
      <c r="I21" s="75" t="s">
        <v>65</v>
      </c>
      <c r="J21" s="75" t="s">
        <v>46</v>
      </c>
      <c r="K21" s="445"/>
      <c r="L21" s="75"/>
      <c r="M21" s="290" t="s">
        <v>115</v>
      </c>
      <c r="N21" s="76"/>
      <c r="O21" s="76"/>
      <c r="P21" s="76"/>
      <c r="Q21" s="76"/>
    </row>
    <row r="22" spans="2:17">
      <c r="B22" s="112" t="str">
        <f t="shared" si="0"/>
        <v>SDSL1024/1024Basic</v>
      </c>
      <c r="C22" s="77" t="s">
        <v>64</v>
      </c>
      <c r="D22" s="75" t="s">
        <v>66</v>
      </c>
      <c r="E22" s="77" t="s">
        <v>44</v>
      </c>
      <c r="F22" s="75"/>
      <c r="H22" s="112" t="str">
        <f t="shared" si="1"/>
        <v>≤ 2,3 Mbps/≤ 2,3 Mbpsentry</v>
      </c>
      <c r="I22" s="75" t="s">
        <v>65</v>
      </c>
      <c r="J22" s="75" t="s">
        <v>46</v>
      </c>
      <c r="K22" s="445"/>
      <c r="L22" s="75"/>
      <c r="M22" s="290" t="s">
        <v>115</v>
      </c>
      <c r="N22" s="76"/>
      <c r="O22" s="76"/>
      <c r="P22" s="76"/>
      <c r="Q22" s="76"/>
    </row>
    <row r="23" spans="2:17">
      <c r="B23" s="112" t="str">
        <f t="shared" si="0"/>
        <v>SDSL1536/1536Basic</v>
      </c>
      <c r="C23" s="77" t="s">
        <v>64</v>
      </c>
      <c r="D23" s="75" t="s">
        <v>67</v>
      </c>
      <c r="E23" s="77" t="s">
        <v>44</v>
      </c>
      <c r="F23" s="75"/>
      <c r="H23" s="112" t="str">
        <f t="shared" si="1"/>
        <v>≤ 2,3 Mbps/≤ 2,3 Mbpsentry</v>
      </c>
      <c r="I23" s="75" t="s">
        <v>65</v>
      </c>
      <c r="J23" s="75" t="s">
        <v>46</v>
      </c>
      <c r="K23" s="445"/>
      <c r="L23" s="75"/>
      <c r="M23" s="290" t="s">
        <v>115</v>
      </c>
      <c r="N23" s="76"/>
      <c r="O23" s="76"/>
      <c r="P23" s="76"/>
      <c r="Q23" s="76"/>
    </row>
    <row r="24" spans="2:17">
      <c r="B24" s="112" t="str">
        <f t="shared" si="0"/>
        <v>SDSL2048/2048Basic</v>
      </c>
      <c r="C24" s="77" t="s">
        <v>64</v>
      </c>
      <c r="D24" s="75" t="s">
        <v>68</v>
      </c>
      <c r="E24" s="77" t="s">
        <v>44</v>
      </c>
      <c r="F24" s="75"/>
      <c r="H24" s="112" t="str">
        <f t="shared" si="1"/>
        <v>≤ 2,3 Mbps/≤ 2,3 Mbpsentry</v>
      </c>
      <c r="I24" s="75" t="s">
        <v>65</v>
      </c>
      <c r="J24" s="75" t="s">
        <v>46</v>
      </c>
      <c r="K24" s="445"/>
      <c r="L24" s="75"/>
      <c r="M24" s="290" t="s">
        <v>115</v>
      </c>
      <c r="N24" s="76"/>
      <c r="O24" s="76"/>
      <c r="P24" s="76"/>
      <c r="Q24" s="76"/>
    </row>
    <row r="25" spans="2:17">
      <c r="B25" s="112" t="str">
        <f t="shared" si="0"/>
        <v>SDSL2300/2300Basic</v>
      </c>
      <c r="C25" s="77" t="s">
        <v>64</v>
      </c>
      <c r="D25" s="75" t="s">
        <v>69</v>
      </c>
      <c r="E25" s="77" t="s">
        <v>44</v>
      </c>
      <c r="F25" s="75"/>
      <c r="H25" s="112" t="str">
        <f t="shared" si="1"/>
        <v>≤ 2,3 Mbps/≤ 2,3 Mbpsentry</v>
      </c>
      <c r="I25" s="75" t="s">
        <v>65</v>
      </c>
      <c r="J25" s="75" t="s">
        <v>46</v>
      </c>
      <c r="K25" s="445"/>
      <c r="L25" s="75"/>
      <c r="M25" s="290" t="s">
        <v>115</v>
      </c>
      <c r="N25" s="76"/>
      <c r="O25" s="76"/>
      <c r="P25" s="76"/>
      <c r="Q25" s="76"/>
    </row>
    <row r="26" spans="2:17">
      <c r="B26" s="112" t="str">
        <f t="shared" si="0"/>
        <v>ADSL128/128Premium</v>
      </c>
      <c r="C26" s="77" t="s">
        <v>42</v>
      </c>
      <c r="D26" s="75" t="s">
        <v>43</v>
      </c>
      <c r="E26" s="77" t="s">
        <v>70</v>
      </c>
      <c r="F26" s="75"/>
      <c r="H26" s="112" t="str">
        <f t="shared" si="1"/>
        <v>&lt;=256 kbps/&lt;=256 kbpspremium</v>
      </c>
      <c r="I26" s="75" t="s">
        <v>104</v>
      </c>
      <c r="J26" s="75" t="s">
        <v>71</v>
      </c>
      <c r="K26" s="445"/>
      <c r="L26" s="75"/>
      <c r="M26" s="290" t="s">
        <v>115</v>
      </c>
      <c r="N26" s="76"/>
      <c r="O26" s="76"/>
      <c r="P26" s="76"/>
      <c r="Q26" s="76"/>
    </row>
    <row r="27" spans="2:17">
      <c r="B27" s="112" t="str">
        <f t="shared" si="0"/>
        <v>ADSL384/128Premium</v>
      </c>
      <c r="C27" s="77" t="s">
        <v>42</v>
      </c>
      <c r="D27" s="75" t="s">
        <v>47</v>
      </c>
      <c r="E27" s="77" t="s">
        <v>70</v>
      </c>
      <c r="F27" s="75"/>
      <c r="H27" s="112" t="str">
        <f t="shared" si="1"/>
        <v>1 Mbps/1 Mbpspremium</v>
      </c>
      <c r="I27" s="75" t="s">
        <v>75</v>
      </c>
      <c r="J27" s="75" t="s">
        <v>71</v>
      </c>
      <c r="K27" s="445"/>
      <c r="L27" s="75"/>
      <c r="M27" s="290" t="s">
        <v>115</v>
      </c>
      <c r="N27" s="76"/>
      <c r="O27" s="76"/>
      <c r="P27" s="76"/>
      <c r="Q27" s="76"/>
    </row>
    <row r="28" spans="2:17">
      <c r="B28" s="112" t="str">
        <f t="shared" si="0"/>
        <v>ADSL256/256Premium</v>
      </c>
      <c r="C28" s="77" t="s">
        <v>42</v>
      </c>
      <c r="D28" s="75" t="s">
        <v>48</v>
      </c>
      <c r="E28" s="77" t="s">
        <v>70</v>
      </c>
      <c r="F28" s="75"/>
      <c r="H28" s="112" t="str">
        <f t="shared" si="1"/>
        <v>1 Mbps/1 Mbpspremium</v>
      </c>
      <c r="I28" s="75" t="s">
        <v>75</v>
      </c>
      <c r="J28" s="75" t="s">
        <v>71</v>
      </c>
      <c r="K28" s="445"/>
      <c r="L28" s="75"/>
      <c r="M28" s="290" t="s">
        <v>115</v>
      </c>
      <c r="N28" s="76"/>
      <c r="O28" s="76"/>
      <c r="P28" s="76"/>
      <c r="Q28" s="76"/>
    </row>
    <row r="29" spans="2:17">
      <c r="B29" s="112" t="str">
        <f t="shared" si="0"/>
        <v>ADSL512/256Premium</v>
      </c>
      <c r="C29" s="77" t="s">
        <v>42</v>
      </c>
      <c r="D29" s="75" t="s">
        <v>49</v>
      </c>
      <c r="E29" s="77" t="s">
        <v>70</v>
      </c>
      <c r="F29" s="75"/>
      <c r="H29" s="112" t="str">
        <f t="shared" si="1"/>
        <v>1 Mbps/1 Mbpspremium</v>
      </c>
      <c r="I29" s="75" t="s">
        <v>75</v>
      </c>
      <c r="J29" s="75" t="s">
        <v>71</v>
      </c>
      <c r="K29" s="445"/>
      <c r="L29" s="75"/>
      <c r="M29" s="290" t="s">
        <v>115</v>
      </c>
      <c r="N29" s="76"/>
      <c r="O29" s="76"/>
      <c r="P29" s="76"/>
      <c r="Q29" s="76"/>
    </row>
    <row r="30" spans="2:17">
      <c r="B30" s="112" t="str">
        <f t="shared" si="0"/>
        <v>ADSL512/512Premium</v>
      </c>
      <c r="C30" s="77" t="s">
        <v>42</v>
      </c>
      <c r="D30" s="75" t="s">
        <v>50</v>
      </c>
      <c r="E30" s="77" t="s">
        <v>70</v>
      </c>
      <c r="F30" s="75"/>
      <c r="H30" s="112" t="str">
        <f t="shared" si="1"/>
        <v>1 Mbps/1 Mbpspremium</v>
      </c>
      <c r="I30" s="75" t="s">
        <v>75</v>
      </c>
      <c r="J30" s="75" t="s">
        <v>71</v>
      </c>
      <c r="K30" s="445"/>
      <c r="L30" s="75"/>
      <c r="M30" s="290" t="s">
        <v>115</v>
      </c>
      <c r="N30" s="76"/>
      <c r="O30" s="76"/>
      <c r="P30" s="76"/>
      <c r="Q30" s="76"/>
    </row>
    <row r="31" spans="2:17">
      <c r="B31" s="112" t="str">
        <f t="shared" si="0"/>
        <v>ADSL1024/256Premium</v>
      </c>
      <c r="C31" s="77" t="s">
        <v>42</v>
      </c>
      <c r="D31" s="75" t="s">
        <v>52</v>
      </c>
      <c r="E31" s="77" t="s">
        <v>70</v>
      </c>
      <c r="F31" s="75"/>
      <c r="H31" s="112" t="str">
        <f t="shared" si="1"/>
        <v>1 Mbps/1 Mbpspremium</v>
      </c>
      <c r="I31" s="75" t="s">
        <v>75</v>
      </c>
      <c r="J31" s="75" t="s">
        <v>71</v>
      </c>
      <c r="K31" s="445"/>
      <c r="L31" s="75"/>
      <c r="M31" s="290" t="s">
        <v>115</v>
      </c>
      <c r="N31" s="76"/>
      <c r="O31" s="76"/>
      <c r="P31" s="76"/>
      <c r="Q31" s="76"/>
    </row>
    <row r="32" spans="2:17">
      <c r="B32" s="112" t="str">
        <f t="shared" si="0"/>
        <v>ADSL1024/512Premium</v>
      </c>
      <c r="C32" s="77" t="s">
        <v>42</v>
      </c>
      <c r="D32" s="75" t="s">
        <v>53</v>
      </c>
      <c r="E32" s="77" t="s">
        <v>70</v>
      </c>
      <c r="F32" s="75"/>
      <c r="H32" s="112" t="str">
        <f t="shared" si="1"/>
        <v>1 Mbps/1 Mbpspremium</v>
      </c>
      <c r="I32" s="75" t="s">
        <v>75</v>
      </c>
      <c r="J32" s="75" t="s">
        <v>71</v>
      </c>
      <c r="K32" s="445"/>
      <c r="L32" s="75"/>
      <c r="M32" s="290" t="s">
        <v>115</v>
      </c>
      <c r="N32" s="76"/>
      <c r="O32" s="76"/>
      <c r="P32" s="76"/>
      <c r="Q32" s="76"/>
    </row>
    <row r="33" spans="2:17">
      <c r="B33" s="112" t="str">
        <f t="shared" si="0"/>
        <v>ADSL2048/512Premium</v>
      </c>
      <c r="C33" s="77" t="s">
        <v>42</v>
      </c>
      <c r="D33" s="75" t="s">
        <v>54</v>
      </c>
      <c r="E33" s="77" t="s">
        <v>70</v>
      </c>
      <c r="F33" s="75"/>
      <c r="H33" s="112" t="str">
        <f t="shared" si="1"/>
        <v>2 Mbps/1 Mbpspremium</v>
      </c>
      <c r="I33" s="75" t="s">
        <v>1243</v>
      </c>
      <c r="J33" s="75" t="s">
        <v>71</v>
      </c>
      <c r="K33" s="445"/>
      <c r="L33" s="75"/>
      <c r="M33" s="203" t="s">
        <v>115</v>
      </c>
      <c r="N33" s="76"/>
      <c r="O33" s="76"/>
      <c r="P33" s="76"/>
      <c r="Q33" s="76"/>
    </row>
    <row r="34" spans="2:17">
      <c r="B34" s="112" t="str">
        <f t="shared" si="0"/>
        <v>ADSL3072/512Premium</v>
      </c>
      <c r="C34" s="77" t="s">
        <v>42</v>
      </c>
      <c r="D34" s="75" t="s">
        <v>55</v>
      </c>
      <c r="E34" s="77" t="s">
        <v>70</v>
      </c>
      <c r="F34" s="75"/>
      <c r="H34" s="112" t="str">
        <f t="shared" si="1"/>
        <v>5 Mbps/1 Mbpspremium</v>
      </c>
      <c r="I34" s="75" t="s">
        <v>1244</v>
      </c>
      <c r="J34" s="75" t="s">
        <v>71</v>
      </c>
      <c r="K34" s="445"/>
      <c r="L34" s="75"/>
      <c r="M34" s="203" t="s">
        <v>1384</v>
      </c>
      <c r="N34" s="76"/>
      <c r="O34" s="76"/>
      <c r="P34" s="76"/>
      <c r="Q34" s="76"/>
    </row>
    <row r="35" spans="2:17">
      <c r="B35" s="112" t="str">
        <f t="shared" si="0"/>
        <v>ADSL4096/1024Premium</v>
      </c>
      <c r="C35" s="77" t="s">
        <v>42</v>
      </c>
      <c r="D35" s="75" t="s">
        <v>57</v>
      </c>
      <c r="E35" s="77" t="s">
        <v>70</v>
      </c>
      <c r="F35" s="75"/>
      <c r="H35" s="112" t="str">
        <f t="shared" si="1"/>
        <v>5 Mbps/1 Mbpspremium</v>
      </c>
      <c r="I35" s="75" t="s">
        <v>1244</v>
      </c>
      <c r="J35" s="75" t="s">
        <v>71</v>
      </c>
      <c r="K35" s="445"/>
      <c r="L35" s="75"/>
      <c r="M35" s="203" t="s">
        <v>1384</v>
      </c>
      <c r="N35" s="76"/>
      <c r="O35" s="76"/>
      <c r="P35" s="76"/>
      <c r="Q35" s="76"/>
    </row>
    <row r="36" spans="2:17">
      <c r="B36" s="112" t="str">
        <f t="shared" si="0"/>
        <v>ADSL6144/1024Premium</v>
      </c>
      <c r="C36" s="77" t="s">
        <v>42</v>
      </c>
      <c r="D36" s="75" t="s">
        <v>58</v>
      </c>
      <c r="E36" s="77" t="s">
        <v>70</v>
      </c>
      <c r="F36" s="75"/>
      <c r="H36" s="112" t="str">
        <f t="shared" si="1"/>
        <v>10 Mbps/5 Mbpspremium</v>
      </c>
      <c r="I36" s="75" t="s">
        <v>1245</v>
      </c>
      <c r="J36" s="75" t="s">
        <v>71</v>
      </c>
      <c r="K36" s="445"/>
      <c r="L36" s="75"/>
      <c r="M36" s="203" t="s">
        <v>1384</v>
      </c>
      <c r="N36" s="76"/>
      <c r="O36" s="76"/>
      <c r="P36" s="76"/>
      <c r="Q36" s="76"/>
    </row>
    <row r="37" spans="2:17">
      <c r="B37" s="112" t="str">
        <f t="shared" si="0"/>
        <v>ADSL8000/1024Premium</v>
      </c>
      <c r="C37" s="77" t="s">
        <v>42</v>
      </c>
      <c r="D37" s="75" t="s">
        <v>60</v>
      </c>
      <c r="E37" s="77" t="s">
        <v>70</v>
      </c>
      <c r="F37" s="75"/>
      <c r="H37" s="112" t="str">
        <f t="shared" si="1"/>
        <v>10 Mbps/5 Mbpspremium</v>
      </c>
      <c r="I37" s="75" t="s">
        <v>1245</v>
      </c>
      <c r="J37" s="75" t="s">
        <v>71</v>
      </c>
      <c r="K37" s="445"/>
      <c r="L37" s="75"/>
      <c r="M37" s="203" t="s">
        <v>1384</v>
      </c>
      <c r="N37" s="76"/>
      <c r="O37" s="76"/>
      <c r="P37" s="76"/>
      <c r="Q37" s="76"/>
    </row>
    <row r="38" spans="2:17">
      <c r="B38" s="112" t="str">
        <f t="shared" si="0"/>
        <v>ADSL12000/1024Premium</v>
      </c>
      <c r="C38" s="77" t="s">
        <v>42</v>
      </c>
      <c r="D38" s="75" t="s">
        <v>61</v>
      </c>
      <c r="E38" s="77" t="s">
        <v>70</v>
      </c>
      <c r="F38" s="75"/>
      <c r="H38" s="112" t="str">
        <f t="shared" si="1"/>
        <v>20 Mbps/10 Mbpspremium</v>
      </c>
      <c r="I38" s="75" t="s">
        <v>1246</v>
      </c>
      <c r="J38" s="75" t="s">
        <v>71</v>
      </c>
      <c r="K38" s="445"/>
      <c r="L38" s="75"/>
      <c r="M38" s="203" t="s">
        <v>1384</v>
      </c>
      <c r="N38" s="76"/>
      <c r="O38" s="76"/>
      <c r="P38" s="76"/>
      <c r="Q38" s="76"/>
    </row>
    <row r="39" spans="2:17">
      <c r="B39" s="112" t="str">
        <f t="shared" si="0"/>
        <v>ADSL20000/1024Premium</v>
      </c>
      <c r="C39" s="77" t="s">
        <v>42</v>
      </c>
      <c r="D39" s="75" t="s">
        <v>63</v>
      </c>
      <c r="E39" s="77" t="s">
        <v>70</v>
      </c>
      <c r="F39" s="75"/>
      <c r="H39" s="112" t="str">
        <f t="shared" si="1"/>
        <v>20 Mbps/10 Mbpspremium</v>
      </c>
      <c r="I39" s="75" t="s">
        <v>1246</v>
      </c>
      <c r="J39" s="75" t="s">
        <v>71</v>
      </c>
      <c r="K39" s="445"/>
      <c r="L39" s="75"/>
      <c r="M39" s="203" t="s">
        <v>1384</v>
      </c>
      <c r="N39" s="76"/>
      <c r="O39" s="76"/>
      <c r="P39" s="76"/>
      <c r="Q39" s="76"/>
    </row>
    <row r="40" spans="2:17">
      <c r="B40" s="112" t="str">
        <f t="shared" si="0"/>
        <v>SDSL256/256Premium</v>
      </c>
      <c r="C40" s="77" t="s">
        <v>64</v>
      </c>
      <c r="D40" s="75" t="s">
        <v>48</v>
      </c>
      <c r="E40" s="77" t="s">
        <v>70</v>
      </c>
      <c r="F40" s="75"/>
      <c r="H40" s="112" t="str">
        <f t="shared" si="1"/>
        <v>1 Mbps/1 Mbpspremium</v>
      </c>
      <c r="I40" s="75" t="s">
        <v>75</v>
      </c>
      <c r="J40" s="75" t="s">
        <v>71</v>
      </c>
      <c r="K40" s="445"/>
      <c r="L40" s="75"/>
      <c r="M40" s="290" t="s">
        <v>115</v>
      </c>
      <c r="N40" s="76"/>
      <c r="O40" s="76"/>
      <c r="P40" s="76"/>
      <c r="Q40" s="76"/>
    </row>
    <row r="41" spans="2:17">
      <c r="B41" s="112" t="str">
        <f t="shared" si="0"/>
        <v>SDSL512/512Premium</v>
      </c>
      <c r="C41" s="77" t="s">
        <v>64</v>
      </c>
      <c r="D41" s="75" t="s">
        <v>50</v>
      </c>
      <c r="E41" s="77" t="s">
        <v>70</v>
      </c>
      <c r="F41" s="75"/>
      <c r="H41" s="112" t="str">
        <f t="shared" si="1"/>
        <v>1 Mbps/1 Mbpspremium</v>
      </c>
      <c r="I41" s="75" t="s">
        <v>75</v>
      </c>
      <c r="J41" s="75" t="s">
        <v>71</v>
      </c>
      <c r="K41" s="445"/>
      <c r="L41" s="75"/>
      <c r="M41" s="290" t="s">
        <v>115</v>
      </c>
      <c r="N41" s="76"/>
      <c r="O41" s="76"/>
      <c r="P41" s="76"/>
      <c r="Q41" s="76"/>
    </row>
    <row r="42" spans="2:17">
      <c r="B42" s="112" t="str">
        <f t="shared" si="0"/>
        <v>SDSL1024/1024Premium</v>
      </c>
      <c r="C42" s="77" t="s">
        <v>64</v>
      </c>
      <c r="D42" s="75" t="s">
        <v>66</v>
      </c>
      <c r="E42" s="77" t="s">
        <v>70</v>
      </c>
      <c r="F42" s="75"/>
      <c r="H42" s="112" t="str">
        <f t="shared" si="1"/>
        <v>1 Mbps/1 Mbpspremium</v>
      </c>
      <c r="I42" s="75" t="s">
        <v>75</v>
      </c>
      <c r="J42" s="75" t="s">
        <v>71</v>
      </c>
      <c r="K42" s="445"/>
      <c r="L42" s="75"/>
      <c r="M42" s="290" t="s">
        <v>115</v>
      </c>
      <c r="N42" s="76"/>
      <c r="O42" s="76"/>
      <c r="P42" s="76"/>
      <c r="Q42" s="76"/>
    </row>
    <row r="43" spans="2:17">
      <c r="B43" s="112" t="str">
        <f t="shared" si="0"/>
        <v>SDSL1536/1536Premium</v>
      </c>
      <c r="C43" s="77" t="s">
        <v>64</v>
      </c>
      <c r="D43" s="75" t="s">
        <v>67</v>
      </c>
      <c r="E43" s="77" t="s">
        <v>70</v>
      </c>
      <c r="F43" s="75"/>
      <c r="H43" s="112" t="str">
        <f t="shared" si="1"/>
        <v>2 Mbps/2 Mbpspremium</v>
      </c>
      <c r="I43" s="75" t="s">
        <v>76</v>
      </c>
      <c r="J43" s="75" t="s">
        <v>71</v>
      </c>
      <c r="K43" s="445"/>
      <c r="L43" s="75"/>
      <c r="M43" s="290" t="s">
        <v>115</v>
      </c>
      <c r="N43" s="76"/>
      <c r="O43" s="76"/>
      <c r="P43" s="76"/>
      <c r="Q43" s="76"/>
    </row>
    <row r="44" spans="2:17">
      <c r="B44" s="112" t="str">
        <f t="shared" si="0"/>
        <v>SDSL2048/2048Premium</v>
      </c>
      <c r="C44" s="77" t="s">
        <v>64</v>
      </c>
      <c r="D44" s="75" t="s">
        <v>68</v>
      </c>
      <c r="E44" s="77" t="s">
        <v>70</v>
      </c>
      <c r="F44" s="75"/>
      <c r="H44" s="112" t="str">
        <f t="shared" si="1"/>
        <v>2 Mbps/2 Mbpspremium</v>
      </c>
      <c r="I44" s="75" t="s">
        <v>76</v>
      </c>
      <c r="J44" s="75" t="s">
        <v>71</v>
      </c>
      <c r="K44" s="445"/>
      <c r="L44" s="75"/>
      <c r="M44" s="290" t="s">
        <v>115</v>
      </c>
      <c r="N44" s="76"/>
      <c r="O44" s="76"/>
      <c r="P44" s="76"/>
      <c r="Q44" s="76"/>
    </row>
    <row r="45" spans="2:17">
      <c r="B45" s="112" t="str">
        <f t="shared" si="0"/>
        <v>SDSL2300/2300Premium</v>
      </c>
      <c r="C45" s="77" t="s">
        <v>64</v>
      </c>
      <c r="D45" s="75" t="s">
        <v>69</v>
      </c>
      <c r="E45" s="77" t="s">
        <v>70</v>
      </c>
      <c r="F45" s="75"/>
      <c r="H45" s="112" t="str">
        <f t="shared" si="1"/>
        <v>5 Mbps/5 Mbpspremium</v>
      </c>
      <c r="I45" s="75" t="s">
        <v>1242</v>
      </c>
      <c r="J45" s="75" t="s">
        <v>71</v>
      </c>
      <c r="K45" s="445"/>
      <c r="L45" s="75"/>
      <c r="M45" s="290" t="s">
        <v>115</v>
      </c>
      <c r="N45" s="76"/>
      <c r="O45" s="76"/>
      <c r="P45" s="76"/>
      <c r="Q45" s="76"/>
    </row>
    <row r="46" spans="2:17">
      <c r="B46" s="112" t="str">
        <f t="shared" si="0"/>
        <v>VDSL128/128Entry</v>
      </c>
      <c r="C46" s="77" t="s">
        <v>77</v>
      </c>
      <c r="D46" s="75" t="s">
        <v>43</v>
      </c>
      <c r="E46" s="77" t="s">
        <v>78</v>
      </c>
      <c r="F46" s="75"/>
      <c r="H46" s="112" t="str">
        <f t="shared" si="1"/>
        <v>&lt;= 512 kbps/&lt;= 256 kbpsentry</v>
      </c>
      <c r="I46" s="75" t="s">
        <v>45</v>
      </c>
      <c r="J46" s="75" t="s">
        <v>46</v>
      </c>
      <c r="K46" s="445"/>
      <c r="L46" s="75"/>
      <c r="M46" s="290" t="s">
        <v>115</v>
      </c>
      <c r="N46" s="76"/>
      <c r="O46" s="76"/>
      <c r="P46" s="76"/>
      <c r="Q46" s="76"/>
    </row>
    <row r="47" spans="2:17">
      <c r="B47" s="112" t="str">
        <f t="shared" si="0"/>
        <v>VDSL256/256Entry</v>
      </c>
      <c r="C47" s="77" t="s">
        <v>77</v>
      </c>
      <c r="D47" s="75" t="s">
        <v>48</v>
      </c>
      <c r="E47" s="77" t="s">
        <v>78</v>
      </c>
      <c r="F47" s="75"/>
      <c r="H47" s="112" t="str">
        <f t="shared" si="1"/>
        <v>&lt;= 512 kbps/&lt;= 256 kbpsentry</v>
      </c>
      <c r="I47" s="75" t="s">
        <v>45</v>
      </c>
      <c r="J47" s="75" t="s">
        <v>46</v>
      </c>
      <c r="K47" s="445"/>
      <c r="L47" s="75"/>
      <c r="M47" s="290" t="s">
        <v>115</v>
      </c>
      <c r="N47" s="76"/>
      <c r="O47" s="76"/>
      <c r="P47" s="76"/>
      <c r="Q47" s="76"/>
    </row>
    <row r="48" spans="2:17">
      <c r="B48" s="112" t="str">
        <f t="shared" si="0"/>
        <v>VDSL448/448Entry</v>
      </c>
      <c r="C48" s="77" t="s">
        <v>77</v>
      </c>
      <c r="D48" s="75" t="s">
        <v>79</v>
      </c>
      <c r="E48" s="77" t="s">
        <v>78</v>
      </c>
      <c r="F48" s="75"/>
      <c r="H48" s="112" t="str">
        <f t="shared" si="1"/>
        <v>&lt;= 2 Mbps/&lt;= 512 kbpsentry</v>
      </c>
      <c r="I48" s="75" t="s">
        <v>51</v>
      </c>
      <c r="J48" s="75" t="s">
        <v>46</v>
      </c>
      <c r="K48" s="445"/>
      <c r="L48" s="75"/>
      <c r="M48" s="290" t="s">
        <v>115</v>
      </c>
    </row>
    <row r="49" spans="2:13">
      <c r="B49" s="112" t="str">
        <f t="shared" si="0"/>
        <v>VDSL640/640Entry</v>
      </c>
      <c r="C49" s="77" t="s">
        <v>77</v>
      </c>
      <c r="D49" s="75" t="s">
        <v>80</v>
      </c>
      <c r="E49" s="77" t="s">
        <v>78</v>
      </c>
      <c r="F49" s="75"/>
      <c r="H49" s="112" t="str">
        <f t="shared" si="1"/>
        <v>&lt;= 4 Mbps/&lt;= 1 Mbpsentry</v>
      </c>
      <c r="I49" s="75" t="s">
        <v>56</v>
      </c>
      <c r="J49" s="75" t="s">
        <v>46</v>
      </c>
      <c r="K49" s="445"/>
      <c r="L49" s="75"/>
      <c r="M49" s="290" t="s">
        <v>115</v>
      </c>
    </row>
    <row r="50" spans="2:13">
      <c r="B50" s="112" t="str">
        <f t="shared" si="0"/>
        <v>VDSL1024/1024Entry</v>
      </c>
      <c r="C50" s="77" t="s">
        <v>77</v>
      </c>
      <c r="D50" s="75" t="s">
        <v>66</v>
      </c>
      <c r="E50" s="77" t="s">
        <v>78</v>
      </c>
      <c r="F50" s="75"/>
      <c r="H50" s="112" t="str">
        <f t="shared" si="1"/>
        <v>&lt;= 4 Mbps/&lt;= 1 Mbpsentry</v>
      </c>
      <c r="I50" s="75" t="s">
        <v>56</v>
      </c>
      <c r="J50" s="75" t="s">
        <v>46</v>
      </c>
      <c r="K50" s="445"/>
      <c r="L50" s="75"/>
      <c r="M50" s="290" t="s">
        <v>115</v>
      </c>
    </row>
    <row r="51" spans="2:13">
      <c r="B51" s="112" t="str">
        <f t="shared" si="0"/>
        <v>VDSL2048/2048Entry</v>
      </c>
      <c r="C51" s="77" t="s">
        <v>77</v>
      </c>
      <c r="D51" s="75" t="s">
        <v>68</v>
      </c>
      <c r="E51" s="77" t="s">
        <v>78</v>
      </c>
      <c r="F51" s="75"/>
      <c r="H51" s="112" t="str">
        <f t="shared" si="1"/>
        <v>&lt;= 30 Mbps/&lt;= 3 Mbpsentry</v>
      </c>
      <c r="I51" s="75" t="s">
        <v>81</v>
      </c>
      <c r="J51" s="75" t="s">
        <v>46</v>
      </c>
      <c r="K51" s="445"/>
      <c r="L51" s="75"/>
      <c r="M51" s="290" t="s">
        <v>115</v>
      </c>
    </row>
    <row r="52" spans="2:13">
      <c r="B52" s="112" t="str">
        <f t="shared" si="0"/>
        <v>VDSL3072/3072Entry</v>
      </c>
      <c r="C52" s="77" t="s">
        <v>77</v>
      </c>
      <c r="D52" s="75" t="s">
        <v>82</v>
      </c>
      <c r="E52" s="77" t="s">
        <v>78</v>
      </c>
      <c r="F52" s="75"/>
      <c r="H52" s="112" t="str">
        <f t="shared" si="1"/>
        <v>&lt;= 4 Mbps/&lt;= 1 Mbpsentry</v>
      </c>
      <c r="I52" s="75" t="s">
        <v>56</v>
      </c>
      <c r="J52" s="75" t="s">
        <v>46</v>
      </c>
      <c r="K52" s="445"/>
      <c r="L52" s="75"/>
      <c r="M52" s="290" t="s">
        <v>115</v>
      </c>
    </row>
    <row r="53" spans="2:13">
      <c r="B53" s="112" t="str">
        <f t="shared" si="0"/>
        <v>VDSL4096/1024Entry</v>
      </c>
      <c r="C53" s="77" t="s">
        <v>77</v>
      </c>
      <c r="D53" s="75" t="s">
        <v>57</v>
      </c>
      <c r="E53" s="77" t="s">
        <v>78</v>
      </c>
      <c r="F53" s="75"/>
      <c r="H53" s="112" t="str">
        <f t="shared" si="1"/>
        <v>&lt;= 4 Mbps/&lt;= 1 Mbpsentry</v>
      </c>
      <c r="I53" s="75" t="s">
        <v>56</v>
      </c>
      <c r="J53" s="75" t="s">
        <v>46</v>
      </c>
      <c r="K53" s="445"/>
      <c r="L53" s="75"/>
      <c r="M53" s="290" t="s">
        <v>115</v>
      </c>
    </row>
    <row r="54" spans="2:13">
      <c r="B54" s="112" t="str">
        <f t="shared" si="0"/>
        <v>VDSL4096/4096Entry</v>
      </c>
      <c r="C54" s="77" t="s">
        <v>77</v>
      </c>
      <c r="D54" s="75" t="s">
        <v>83</v>
      </c>
      <c r="E54" s="77" t="s">
        <v>78</v>
      </c>
      <c r="F54" s="75"/>
      <c r="H54" s="112" t="str">
        <f t="shared" si="1"/>
        <v>&lt;= 4 Mbps/&lt;= 1 Mbpsentry</v>
      </c>
      <c r="I54" s="75" t="s">
        <v>56</v>
      </c>
      <c r="J54" s="75" t="s">
        <v>46</v>
      </c>
      <c r="K54" s="445"/>
      <c r="L54" s="75"/>
      <c r="M54" s="290" t="s">
        <v>115</v>
      </c>
    </row>
    <row r="55" spans="2:13">
      <c r="B55" s="112" t="str">
        <f t="shared" si="0"/>
        <v>VDSL8192/1024Entry</v>
      </c>
      <c r="C55" s="77" t="s">
        <v>77</v>
      </c>
      <c r="D55" s="75" t="s">
        <v>84</v>
      </c>
      <c r="E55" s="77" t="s">
        <v>78</v>
      </c>
      <c r="F55" s="75"/>
      <c r="H55" s="112" t="str">
        <f t="shared" si="1"/>
        <v>&lt;= 8 Mbps/&lt;= 1 Mbpsentry</v>
      </c>
      <c r="I55" s="75" t="s">
        <v>59</v>
      </c>
      <c r="J55" s="75" t="s">
        <v>46</v>
      </c>
      <c r="K55" s="445"/>
      <c r="L55" s="75"/>
      <c r="M55" s="290" t="s">
        <v>115</v>
      </c>
    </row>
    <row r="56" spans="2:13">
      <c r="B56" s="112" t="str">
        <f t="shared" si="0"/>
        <v>VDSL10240/1024Entry</v>
      </c>
      <c r="C56" s="77" t="s">
        <v>77</v>
      </c>
      <c r="D56" s="75" t="s">
        <v>85</v>
      </c>
      <c r="E56" s="77" t="s">
        <v>78</v>
      </c>
      <c r="F56" s="75"/>
      <c r="H56" s="112" t="str">
        <f t="shared" si="1"/>
        <v>&lt;= 20 Mbps/&lt;= 1 Mbpsentry</v>
      </c>
      <c r="I56" s="75" t="s">
        <v>62</v>
      </c>
      <c r="J56" s="75" t="s">
        <v>46</v>
      </c>
      <c r="K56" s="445"/>
      <c r="L56" s="75"/>
      <c r="M56" s="290" t="s">
        <v>115</v>
      </c>
    </row>
    <row r="57" spans="2:13">
      <c r="B57" s="112" t="str">
        <f t="shared" si="0"/>
        <v>VDSL20480/2048Entry</v>
      </c>
      <c r="C57" s="77" t="s">
        <v>77</v>
      </c>
      <c r="D57" s="75" t="s">
        <v>86</v>
      </c>
      <c r="E57" s="77" t="s">
        <v>78</v>
      </c>
      <c r="F57" s="75"/>
      <c r="H57" s="112" t="str">
        <f t="shared" si="1"/>
        <v>&lt;= 20 Mbps/&lt;= 1 Mbpsentry</v>
      </c>
      <c r="I57" s="75" t="s">
        <v>62</v>
      </c>
      <c r="J57" s="75" t="s">
        <v>46</v>
      </c>
      <c r="K57" s="445"/>
      <c r="L57" s="75"/>
      <c r="M57" s="290" t="s">
        <v>115</v>
      </c>
    </row>
    <row r="58" spans="2:13">
      <c r="B58" s="112" t="str">
        <f t="shared" si="0"/>
        <v>VDSL30372/3072Entry</v>
      </c>
      <c r="C58" s="77" t="s">
        <v>77</v>
      </c>
      <c r="D58" s="75" t="s">
        <v>87</v>
      </c>
      <c r="E58" s="77" t="s">
        <v>78</v>
      </c>
      <c r="F58" s="75"/>
      <c r="H58" s="112" t="str">
        <f t="shared" si="1"/>
        <v>&lt;= 30 Mbps/&lt;= 3 Mbpsentry</v>
      </c>
      <c r="I58" s="75" t="s">
        <v>81</v>
      </c>
      <c r="J58" s="75" t="s">
        <v>46</v>
      </c>
      <c r="K58" s="445"/>
      <c r="L58" s="75"/>
      <c r="M58" s="290" t="s">
        <v>115</v>
      </c>
    </row>
    <row r="59" spans="2:13">
      <c r="B59" s="112" t="str">
        <f t="shared" si="0"/>
        <v>VDSL51200/5120Entry</v>
      </c>
      <c r="C59" s="77" t="s">
        <v>77</v>
      </c>
      <c r="D59" s="75" t="s">
        <v>88</v>
      </c>
      <c r="E59" s="77" t="s">
        <v>78</v>
      </c>
      <c r="F59" s="75"/>
      <c r="H59" s="112" t="str">
        <f t="shared" si="1"/>
        <v>&lt;= 50 Mbps/&lt;= 10 Mbpsentry</v>
      </c>
      <c r="I59" s="75" t="s">
        <v>1711</v>
      </c>
      <c r="J59" s="75" t="s">
        <v>46</v>
      </c>
      <c r="K59" s="445"/>
      <c r="L59" s="75"/>
      <c r="M59" s="290" t="s">
        <v>115</v>
      </c>
    </row>
    <row r="60" spans="2:13">
      <c r="B60" s="112" t="str">
        <f t="shared" si="0"/>
        <v>VDSL Bonding81920/8192Entry</v>
      </c>
      <c r="C60" s="77" t="s">
        <v>170</v>
      </c>
      <c r="D60" s="75" t="s">
        <v>89</v>
      </c>
      <c r="E60" s="77" t="s">
        <v>78</v>
      </c>
      <c r="F60" s="75"/>
      <c r="H60" s="112" t="str">
        <f t="shared" si="1"/>
        <v>&lt;= 100 Mbps/&lt;= 30 Mbpsentry</v>
      </c>
      <c r="I60" s="75" t="s">
        <v>1238</v>
      </c>
      <c r="J60" s="75" t="s">
        <v>46</v>
      </c>
      <c r="K60" s="445"/>
      <c r="L60" s="75"/>
      <c r="M60" s="290" t="s">
        <v>115</v>
      </c>
    </row>
    <row r="61" spans="2:13">
      <c r="B61" s="112" t="str">
        <f t="shared" si="0"/>
        <v>VDSL128/128Premium</v>
      </c>
      <c r="C61" s="77" t="s">
        <v>77</v>
      </c>
      <c r="D61" s="75" t="s">
        <v>43</v>
      </c>
      <c r="E61" s="77" t="s">
        <v>70</v>
      </c>
      <c r="F61" s="75"/>
      <c r="H61" s="112" t="str">
        <f t="shared" si="1"/>
        <v>&lt;=256 kbps/&lt;=256 kbpspremium</v>
      </c>
      <c r="I61" s="75" t="s">
        <v>104</v>
      </c>
      <c r="J61" s="75" t="s">
        <v>71</v>
      </c>
      <c r="K61" s="445"/>
      <c r="L61" s="75"/>
      <c r="M61" s="290" t="s">
        <v>115</v>
      </c>
    </row>
    <row r="62" spans="2:13">
      <c r="B62" s="112" t="str">
        <f t="shared" si="0"/>
        <v>VDSL256/256Premium</v>
      </c>
      <c r="C62" s="77" t="s">
        <v>77</v>
      </c>
      <c r="D62" s="75" t="s">
        <v>48</v>
      </c>
      <c r="E62" s="77" t="s">
        <v>70</v>
      </c>
      <c r="F62" s="75"/>
      <c r="H62" s="112" t="str">
        <f t="shared" si="1"/>
        <v>&lt;=256 kbps/&lt;=256 kbpspremium</v>
      </c>
      <c r="I62" s="75" t="s">
        <v>104</v>
      </c>
      <c r="J62" s="75" t="s">
        <v>71</v>
      </c>
      <c r="K62" s="445"/>
      <c r="L62" s="75"/>
      <c r="M62" s="290" t="s">
        <v>115</v>
      </c>
    </row>
    <row r="63" spans="2:13">
      <c r="B63" s="112" t="str">
        <f t="shared" si="0"/>
        <v>VDSL448/448Premium</v>
      </c>
      <c r="C63" s="77" t="s">
        <v>77</v>
      </c>
      <c r="D63" s="75" t="s">
        <v>79</v>
      </c>
      <c r="E63" s="77" t="s">
        <v>70</v>
      </c>
      <c r="F63" s="75"/>
      <c r="H63" s="112" t="str">
        <f t="shared" si="1"/>
        <v>1 Mbps/1 Mbpspremium</v>
      </c>
      <c r="I63" s="75" t="s">
        <v>75</v>
      </c>
      <c r="J63" s="75" t="s">
        <v>71</v>
      </c>
      <c r="K63" s="445"/>
      <c r="L63" s="75"/>
      <c r="M63" s="290" t="s">
        <v>115</v>
      </c>
    </row>
    <row r="64" spans="2:13">
      <c r="B64" s="112" t="str">
        <f t="shared" si="0"/>
        <v>VDSL640/640Premium</v>
      </c>
      <c r="C64" s="77" t="s">
        <v>77</v>
      </c>
      <c r="D64" s="75" t="s">
        <v>80</v>
      </c>
      <c r="E64" s="77" t="s">
        <v>70</v>
      </c>
      <c r="F64" s="75"/>
      <c r="H64" s="112" t="str">
        <f t="shared" si="1"/>
        <v>1 Mbps/1 Mbpspremium</v>
      </c>
      <c r="I64" s="75" t="s">
        <v>75</v>
      </c>
      <c r="J64" s="75" t="s">
        <v>71</v>
      </c>
      <c r="K64" s="445"/>
      <c r="L64" s="75"/>
      <c r="M64" s="290" t="s">
        <v>115</v>
      </c>
    </row>
    <row r="65" spans="2:13">
      <c r="B65" s="112" t="str">
        <f t="shared" si="0"/>
        <v>VDSL1024/1024Premium</v>
      </c>
      <c r="C65" s="77" t="s">
        <v>77</v>
      </c>
      <c r="D65" s="75" t="s">
        <v>66</v>
      </c>
      <c r="E65" s="77" t="s">
        <v>70</v>
      </c>
      <c r="F65" s="75"/>
      <c r="H65" s="112" t="str">
        <f t="shared" si="1"/>
        <v>1 Mbps/1 Mbpspremium</v>
      </c>
      <c r="I65" s="75" t="s">
        <v>75</v>
      </c>
      <c r="J65" s="75" t="s">
        <v>71</v>
      </c>
      <c r="K65" s="445"/>
      <c r="L65" s="75"/>
      <c r="M65" s="290" t="s">
        <v>115</v>
      </c>
    </row>
    <row r="66" spans="2:13">
      <c r="B66" s="112" t="str">
        <f t="shared" si="0"/>
        <v>VDSL2048/2048Premium</v>
      </c>
      <c r="C66" s="77" t="s">
        <v>77</v>
      </c>
      <c r="D66" s="75" t="s">
        <v>68</v>
      </c>
      <c r="E66" s="77" t="s">
        <v>70</v>
      </c>
      <c r="F66" s="75"/>
      <c r="H66" s="112" t="str">
        <f t="shared" si="1"/>
        <v>2 Mbps/2 Mbpspremium</v>
      </c>
      <c r="I66" s="75" t="s">
        <v>76</v>
      </c>
      <c r="J66" s="75" t="s">
        <v>71</v>
      </c>
      <c r="K66" s="445"/>
      <c r="L66" s="75"/>
      <c r="M66" s="290" t="s">
        <v>115</v>
      </c>
    </row>
    <row r="67" spans="2:13">
      <c r="B67" s="112" t="str">
        <f t="shared" si="0"/>
        <v>VDSL3072/3072Premium</v>
      </c>
      <c r="C67" s="77" t="s">
        <v>77</v>
      </c>
      <c r="D67" s="75" t="s">
        <v>82</v>
      </c>
      <c r="E67" s="77" t="s">
        <v>70</v>
      </c>
      <c r="F67" s="75"/>
      <c r="H67" s="112" t="str">
        <f t="shared" si="1"/>
        <v>5 Mbps/5 Mbpspremium</v>
      </c>
      <c r="I67" s="75" t="s">
        <v>1242</v>
      </c>
      <c r="J67" s="75" t="s">
        <v>71</v>
      </c>
      <c r="K67" s="445"/>
      <c r="L67" s="75"/>
      <c r="M67" s="203" t="s">
        <v>1384</v>
      </c>
    </row>
    <row r="68" spans="2:13">
      <c r="B68" s="112" t="str">
        <f t="shared" si="0"/>
        <v>VDSL4096/1024Premium</v>
      </c>
      <c r="C68" s="77" t="s">
        <v>77</v>
      </c>
      <c r="D68" s="75" t="s">
        <v>57</v>
      </c>
      <c r="E68" s="77" t="s">
        <v>70</v>
      </c>
      <c r="F68" s="75"/>
      <c r="H68" s="112" t="str">
        <f t="shared" si="1"/>
        <v>5 Mbps/1 Mbpspremium</v>
      </c>
      <c r="I68" s="75" t="s">
        <v>1244</v>
      </c>
      <c r="J68" s="75" t="s">
        <v>71</v>
      </c>
      <c r="K68" s="445"/>
      <c r="L68" s="75"/>
      <c r="M68" s="203" t="s">
        <v>1384</v>
      </c>
    </row>
    <row r="69" spans="2:13">
      <c r="B69" s="112" t="str">
        <f t="shared" si="0"/>
        <v>VDSL4096/4096Premium</v>
      </c>
      <c r="C69" s="77" t="s">
        <v>77</v>
      </c>
      <c r="D69" s="75" t="s">
        <v>83</v>
      </c>
      <c r="E69" s="77" t="s">
        <v>70</v>
      </c>
      <c r="F69" s="75"/>
      <c r="H69" s="112" t="str">
        <f t="shared" si="1"/>
        <v>5 Mbps/5 Mbpspremium</v>
      </c>
      <c r="I69" s="75" t="s">
        <v>1242</v>
      </c>
      <c r="J69" s="75" t="s">
        <v>71</v>
      </c>
      <c r="K69" s="445"/>
      <c r="L69" s="75"/>
      <c r="M69" s="203" t="s">
        <v>1384</v>
      </c>
    </row>
    <row r="70" spans="2:13">
      <c r="B70" s="112" t="str">
        <f t="shared" ref="B70:B107" si="2">C70&amp;D70&amp;E70&amp;F70</f>
        <v>VDSL8192/1024Premium</v>
      </c>
      <c r="C70" s="77" t="s">
        <v>77</v>
      </c>
      <c r="D70" s="75" t="s">
        <v>84</v>
      </c>
      <c r="E70" s="77" t="s">
        <v>70</v>
      </c>
      <c r="F70" s="75"/>
      <c r="H70" s="112" t="str">
        <f t="shared" ref="H70:H107" si="3">I70&amp;J70&amp;K70&amp;L70</f>
        <v>10 Mbps/5 Mbpspremium</v>
      </c>
      <c r="I70" s="75" t="s">
        <v>1245</v>
      </c>
      <c r="J70" s="75" t="s">
        <v>71</v>
      </c>
      <c r="K70" s="445"/>
      <c r="L70" s="75"/>
      <c r="M70" s="203" t="s">
        <v>1384</v>
      </c>
    </row>
    <row r="71" spans="2:13">
      <c r="B71" s="112" t="str">
        <f t="shared" si="2"/>
        <v>VDSL10240/1024Premium</v>
      </c>
      <c r="C71" s="77" t="s">
        <v>77</v>
      </c>
      <c r="D71" s="75" t="s">
        <v>85</v>
      </c>
      <c r="E71" s="77" t="s">
        <v>70</v>
      </c>
      <c r="F71" s="75"/>
      <c r="H71" s="112" t="str">
        <f t="shared" si="3"/>
        <v>10 Mbps/10 Mbpspremium</v>
      </c>
      <c r="I71" s="75" t="s">
        <v>92</v>
      </c>
      <c r="J71" s="75" t="s">
        <v>71</v>
      </c>
      <c r="K71" s="445"/>
      <c r="L71" s="75"/>
      <c r="M71" s="203" t="s">
        <v>1384</v>
      </c>
    </row>
    <row r="72" spans="2:13">
      <c r="B72" s="112" t="str">
        <f t="shared" si="2"/>
        <v>VDSL20480/2048Premium</v>
      </c>
      <c r="C72" s="77" t="s">
        <v>77</v>
      </c>
      <c r="D72" s="75" t="s">
        <v>86</v>
      </c>
      <c r="E72" s="77" t="s">
        <v>70</v>
      </c>
      <c r="F72" s="75"/>
      <c r="H72" s="112" t="str">
        <f t="shared" si="3"/>
        <v>20 Mbps/10 Mbpspremium</v>
      </c>
      <c r="I72" s="75" t="s">
        <v>1246</v>
      </c>
      <c r="J72" s="75" t="s">
        <v>71</v>
      </c>
      <c r="K72" s="445"/>
      <c r="L72" s="75"/>
      <c r="M72" s="203" t="s">
        <v>1384</v>
      </c>
    </row>
    <row r="73" spans="2:13">
      <c r="B73" s="112" t="str">
        <f t="shared" si="2"/>
        <v>VDSL30372/3072Premium</v>
      </c>
      <c r="C73" s="77" t="s">
        <v>77</v>
      </c>
      <c r="D73" s="75" t="s">
        <v>87</v>
      </c>
      <c r="E73" s="77" t="s">
        <v>70</v>
      </c>
      <c r="F73" s="75"/>
      <c r="H73" s="112" t="str">
        <f t="shared" si="3"/>
        <v>n.a.premium</v>
      </c>
      <c r="I73" s="75" t="s">
        <v>74</v>
      </c>
      <c r="J73" s="75" t="s">
        <v>71</v>
      </c>
      <c r="K73" s="445"/>
      <c r="L73" s="75"/>
      <c r="M73" s="203" t="s">
        <v>1384</v>
      </c>
    </row>
    <row r="74" spans="2:13">
      <c r="B74" s="112" t="str">
        <f t="shared" si="2"/>
        <v>VDSL51200/5120Premium</v>
      </c>
      <c r="C74" s="77" t="s">
        <v>77</v>
      </c>
      <c r="D74" s="75" t="s">
        <v>88</v>
      </c>
      <c r="E74" s="77" t="s">
        <v>70</v>
      </c>
      <c r="F74" s="75"/>
      <c r="H74" s="112" t="str">
        <f t="shared" si="3"/>
        <v>n.a.premium</v>
      </c>
      <c r="I74" s="75" t="s">
        <v>74</v>
      </c>
      <c r="J74" s="75" t="s">
        <v>71</v>
      </c>
      <c r="K74" s="75"/>
      <c r="L74" s="75"/>
      <c r="M74" s="203" t="s">
        <v>1384</v>
      </c>
    </row>
    <row r="75" spans="2:13">
      <c r="B75" s="112" t="str">
        <f t="shared" si="2"/>
        <v>VDSL81920/8192Premium</v>
      </c>
      <c r="C75" s="77" t="s">
        <v>77</v>
      </c>
      <c r="D75" s="75" t="s">
        <v>89</v>
      </c>
      <c r="E75" s="77" t="s">
        <v>70</v>
      </c>
      <c r="F75" s="75"/>
      <c r="H75" s="112" t="str">
        <f t="shared" si="3"/>
        <v>n.a.premium</v>
      </c>
      <c r="I75" s="75" t="s">
        <v>74</v>
      </c>
      <c r="J75" s="75" t="s">
        <v>71</v>
      </c>
      <c r="K75" s="75"/>
      <c r="L75" s="75"/>
      <c r="M75" s="203" t="s">
        <v>1384</v>
      </c>
    </row>
    <row r="76" spans="2:13">
      <c r="B76" s="112" t="str">
        <f t="shared" si="2"/>
        <v>SA IPVPN1024/1024 tbv alarmEntry</v>
      </c>
      <c r="C76" s="77" t="s">
        <v>93</v>
      </c>
      <c r="D76" s="75" t="s">
        <v>1249</v>
      </c>
      <c r="E76" s="77" t="s">
        <v>78</v>
      </c>
      <c r="F76" s="75"/>
      <c r="H76" s="112" t="str">
        <f t="shared" si="3"/>
        <v>≤50/50 Mbpsentry</v>
      </c>
      <c r="I76" s="75" t="s">
        <v>96</v>
      </c>
      <c r="J76" s="75" t="s">
        <v>46</v>
      </c>
      <c r="K76" s="445"/>
      <c r="L76" s="75"/>
      <c r="M76" s="290" t="s">
        <v>115</v>
      </c>
    </row>
    <row r="77" spans="2:13">
      <c r="B77" s="112" t="str">
        <f t="shared" si="2"/>
        <v>SA IPVPN2048/2048Entry</v>
      </c>
      <c r="C77" s="77" t="s">
        <v>93</v>
      </c>
      <c r="D77" s="75" t="s">
        <v>68</v>
      </c>
      <c r="E77" s="77" t="s">
        <v>78</v>
      </c>
      <c r="F77" s="75"/>
      <c r="H77" s="112" t="str">
        <f t="shared" si="3"/>
        <v>≤50/50 Mbpsentry</v>
      </c>
      <c r="I77" s="75" t="s">
        <v>96</v>
      </c>
      <c r="J77" s="75" t="s">
        <v>46</v>
      </c>
      <c r="K77" s="445"/>
      <c r="L77" s="75"/>
      <c r="M77" s="290" t="s">
        <v>115</v>
      </c>
    </row>
    <row r="78" spans="2:13">
      <c r="B78" s="112" t="str">
        <f t="shared" si="2"/>
        <v>SA IPVPN3072/3072Entry</v>
      </c>
      <c r="C78" s="77" t="s">
        <v>93</v>
      </c>
      <c r="D78" s="75" t="s">
        <v>82</v>
      </c>
      <c r="E78" s="77" t="s">
        <v>78</v>
      </c>
      <c r="F78" s="75"/>
      <c r="H78" s="112" t="str">
        <f t="shared" si="3"/>
        <v>≤50/50 Mbpsentry</v>
      </c>
      <c r="I78" s="75" t="s">
        <v>96</v>
      </c>
      <c r="J78" s="75" t="s">
        <v>46</v>
      </c>
      <c r="K78" s="445"/>
      <c r="L78" s="75"/>
      <c r="M78" s="290" t="s">
        <v>115</v>
      </c>
    </row>
    <row r="79" spans="2:13">
      <c r="B79" s="112" t="str">
        <f t="shared" si="2"/>
        <v>SA IPVPN4096/1024Entry</v>
      </c>
      <c r="C79" s="77" t="s">
        <v>93</v>
      </c>
      <c r="D79" s="75" t="s">
        <v>57</v>
      </c>
      <c r="E79" s="77" t="s">
        <v>78</v>
      </c>
      <c r="F79" s="75"/>
      <c r="H79" s="112" t="str">
        <f t="shared" si="3"/>
        <v>≤50/50 Mbpsentry</v>
      </c>
      <c r="I79" s="75" t="s">
        <v>96</v>
      </c>
      <c r="J79" s="75" t="s">
        <v>46</v>
      </c>
      <c r="K79" s="445"/>
      <c r="L79" s="75"/>
      <c r="M79" s="290" t="s">
        <v>115</v>
      </c>
    </row>
    <row r="80" spans="2:13">
      <c r="B80" s="112" t="str">
        <f t="shared" si="2"/>
        <v>SA IPVPN4096/4096Entry</v>
      </c>
      <c r="C80" s="77" t="s">
        <v>93</v>
      </c>
      <c r="D80" s="75" t="s">
        <v>83</v>
      </c>
      <c r="E80" s="77" t="s">
        <v>78</v>
      </c>
      <c r="F80" s="75"/>
      <c r="H80" s="112" t="str">
        <f t="shared" si="3"/>
        <v>≤50/50 Mbpsentry</v>
      </c>
      <c r="I80" s="75" t="s">
        <v>96</v>
      </c>
      <c r="J80" s="75" t="s">
        <v>46</v>
      </c>
      <c r="K80" s="445"/>
      <c r="L80" s="75"/>
      <c r="M80" s="290" t="s">
        <v>115</v>
      </c>
    </row>
    <row r="81" spans="2:13">
      <c r="B81" s="112" t="str">
        <f t="shared" si="2"/>
        <v>SA IPVPN8192/1024Entry</v>
      </c>
      <c r="C81" s="77" t="s">
        <v>93</v>
      </c>
      <c r="D81" s="75" t="s">
        <v>84</v>
      </c>
      <c r="E81" s="77" t="s">
        <v>78</v>
      </c>
      <c r="F81" s="75"/>
      <c r="H81" s="112" t="str">
        <f t="shared" si="3"/>
        <v>≤50/50 Mbpsentry</v>
      </c>
      <c r="I81" s="75" t="s">
        <v>96</v>
      </c>
      <c r="J81" s="75" t="s">
        <v>46</v>
      </c>
      <c r="K81" s="445"/>
      <c r="L81" s="75"/>
      <c r="M81" s="290" t="s">
        <v>115</v>
      </c>
    </row>
    <row r="82" spans="2:13">
      <c r="B82" s="112" t="str">
        <f t="shared" si="2"/>
        <v>SA IPVPN8192/8192Entry</v>
      </c>
      <c r="C82" s="77" t="s">
        <v>93</v>
      </c>
      <c r="D82" s="75" t="s">
        <v>94</v>
      </c>
      <c r="E82" s="77" t="s">
        <v>78</v>
      </c>
      <c r="F82" s="75"/>
      <c r="H82" s="112" t="str">
        <f t="shared" si="3"/>
        <v>≤50/50 Mbpsentry</v>
      </c>
      <c r="I82" s="75" t="s">
        <v>96</v>
      </c>
      <c r="J82" s="75" t="s">
        <v>46</v>
      </c>
      <c r="K82" s="445"/>
      <c r="L82" s="75"/>
      <c r="M82" s="290" t="s">
        <v>115</v>
      </c>
    </row>
    <row r="83" spans="2:13">
      <c r="B83" s="112" t="str">
        <f t="shared" si="2"/>
        <v>SA IPVPN10240/10240Entry</v>
      </c>
      <c r="C83" s="77" t="s">
        <v>93</v>
      </c>
      <c r="D83" s="75" t="s">
        <v>95</v>
      </c>
      <c r="E83" s="77" t="s">
        <v>78</v>
      </c>
      <c r="F83" s="75"/>
      <c r="H83" s="112" t="str">
        <f t="shared" si="3"/>
        <v>≤50/50 Mbpsentry</v>
      </c>
      <c r="I83" s="75" t="s">
        <v>96</v>
      </c>
      <c r="J83" s="75" t="s">
        <v>46</v>
      </c>
      <c r="K83" s="445"/>
      <c r="L83" s="75"/>
      <c r="M83" s="290" t="s">
        <v>115</v>
      </c>
    </row>
    <row r="84" spans="2:13">
      <c r="B84" s="112" t="str">
        <f t="shared" si="2"/>
        <v>SA IPVPN10240/1024Entry</v>
      </c>
      <c r="C84" s="77" t="s">
        <v>93</v>
      </c>
      <c r="D84" s="75" t="s">
        <v>85</v>
      </c>
      <c r="E84" s="77" t="s">
        <v>78</v>
      </c>
      <c r="F84" s="75"/>
      <c r="H84" s="112" t="str">
        <f t="shared" si="3"/>
        <v>≤50/50 Mbpsentry</v>
      </c>
      <c r="I84" s="75" t="s">
        <v>96</v>
      </c>
      <c r="J84" s="75" t="s">
        <v>46</v>
      </c>
      <c r="K84" s="445"/>
      <c r="L84" s="75"/>
      <c r="M84" s="290" t="s">
        <v>115</v>
      </c>
    </row>
    <row r="85" spans="2:13">
      <c r="B85" s="112" t="str">
        <f t="shared" si="2"/>
        <v>SA IPVPN12288/1024Entry</v>
      </c>
      <c r="C85" s="77" t="s">
        <v>93</v>
      </c>
      <c r="D85" s="75" t="s">
        <v>97</v>
      </c>
      <c r="E85" s="77" t="s">
        <v>78</v>
      </c>
      <c r="F85" s="75"/>
      <c r="H85" s="112" t="str">
        <f t="shared" si="3"/>
        <v>≤50/50 Mbpsentry</v>
      </c>
      <c r="I85" s="75" t="s">
        <v>96</v>
      </c>
      <c r="J85" s="75" t="s">
        <v>46</v>
      </c>
      <c r="K85" s="445"/>
      <c r="L85" s="75"/>
      <c r="M85" s="290" t="s">
        <v>115</v>
      </c>
    </row>
    <row r="86" spans="2:13">
      <c r="B86" s="112" t="str">
        <f t="shared" si="2"/>
        <v>SA IPVPN20480/2048Entry</v>
      </c>
      <c r="C86" s="77" t="s">
        <v>93</v>
      </c>
      <c r="D86" s="75" t="s">
        <v>86</v>
      </c>
      <c r="E86" s="77" t="s">
        <v>78</v>
      </c>
      <c r="F86" s="75"/>
      <c r="H86" s="112" t="str">
        <f t="shared" si="3"/>
        <v>≤50/50 Mbpsentry</v>
      </c>
      <c r="I86" s="75" t="s">
        <v>96</v>
      </c>
      <c r="J86" s="75" t="s">
        <v>46</v>
      </c>
      <c r="K86" s="445"/>
      <c r="L86" s="75"/>
      <c r="M86" s="290" t="s">
        <v>115</v>
      </c>
    </row>
    <row r="87" spans="2:13">
      <c r="B87" s="112" t="str">
        <f t="shared" si="2"/>
        <v>SA IPVPN30720/3072Entry</v>
      </c>
      <c r="C87" s="77" t="s">
        <v>93</v>
      </c>
      <c r="D87" s="75" t="s">
        <v>98</v>
      </c>
      <c r="E87" s="77" t="s">
        <v>78</v>
      </c>
      <c r="F87" s="75"/>
      <c r="H87" s="112" t="str">
        <f t="shared" si="3"/>
        <v>≤50/50 Mbpsentry</v>
      </c>
      <c r="I87" s="75" t="s">
        <v>96</v>
      </c>
      <c r="J87" s="75" t="s">
        <v>46</v>
      </c>
      <c r="K87" s="445"/>
      <c r="L87" s="75"/>
      <c r="M87" s="290" t="s">
        <v>115</v>
      </c>
    </row>
    <row r="88" spans="2:13">
      <c r="B88" s="112" t="str">
        <f t="shared" si="2"/>
        <v>SA IPVPN51200/5120Entry</v>
      </c>
      <c r="C88" s="77" t="s">
        <v>93</v>
      </c>
      <c r="D88" s="75" t="s">
        <v>88</v>
      </c>
      <c r="E88" s="77" t="s">
        <v>78</v>
      </c>
      <c r="F88" s="75"/>
      <c r="H88" s="112" t="str">
        <f t="shared" si="3"/>
        <v>≤50/50 Mbpsentry</v>
      </c>
      <c r="I88" s="75" t="s">
        <v>96</v>
      </c>
      <c r="J88" s="75" t="s">
        <v>46</v>
      </c>
      <c r="K88" s="445"/>
      <c r="L88" s="75"/>
      <c r="M88" s="290" t="s">
        <v>115</v>
      </c>
    </row>
    <row r="89" spans="2:13">
      <c r="B89" s="112" t="str">
        <f t="shared" si="2"/>
        <v>SA IPVPN30720/30720Entry</v>
      </c>
      <c r="C89" s="77" t="s">
        <v>93</v>
      </c>
      <c r="D89" s="75" t="s">
        <v>99</v>
      </c>
      <c r="E89" s="77" t="s">
        <v>78</v>
      </c>
      <c r="F89" s="75"/>
      <c r="H89" s="112" t="str">
        <f t="shared" si="3"/>
        <v>≤50/50 Mbpsentry</v>
      </c>
      <c r="I89" s="75" t="s">
        <v>96</v>
      </c>
      <c r="J89" s="75" t="s">
        <v>46</v>
      </c>
      <c r="K89" s="445"/>
      <c r="L89" s="75"/>
      <c r="M89" s="290" t="s">
        <v>115</v>
      </c>
    </row>
    <row r="90" spans="2:13">
      <c r="B90" s="112" t="str">
        <f t="shared" si="2"/>
        <v>SA IPVPN51200/51200Entry</v>
      </c>
      <c r="C90" s="77" t="s">
        <v>93</v>
      </c>
      <c r="D90" s="75" t="s">
        <v>100</v>
      </c>
      <c r="E90" s="77" t="s">
        <v>78</v>
      </c>
      <c r="F90" s="75"/>
      <c r="H90" s="112" t="str">
        <f t="shared" si="3"/>
        <v>≤50/50 Mbpsentry</v>
      </c>
      <c r="I90" s="75" t="s">
        <v>96</v>
      </c>
      <c r="J90" s="75" t="s">
        <v>46</v>
      </c>
      <c r="K90" s="445"/>
      <c r="L90" s="75"/>
      <c r="M90" s="290" t="s">
        <v>115</v>
      </c>
    </row>
    <row r="91" spans="2:13">
      <c r="B91" s="112" t="str">
        <f t="shared" si="2"/>
        <v>SA IPVPN100000/100000Entry</v>
      </c>
      <c r="C91" s="77" t="s">
        <v>93</v>
      </c>
      <c r="D91" s="75" t="s">
        <v>101</v>
      </c>
      <c r="E91" s="77" t="s">
        <v>78</v>
      </c>
      <c r="F91" s="75"/>
      <c r="H91" s="112" t="str">
        <f t="shared" si="3"/>
        <v>≤100/100 Mbpsentry</v>
      </c>
      <c r="I91" s="75" t="s">
        <v>102</v>
      </c>
      <c r="J91" s="75" t="s">
        <v>46</v>
      </c>
      <c r="K91" s="445"/>
      <c r="L91" s="75"/>
      <c r="M91" s="290" t="s">
        <v>115</v>
      </c>
    </row>
    <row r="92" spans="2:13">
      <c r="B92" s="112" t="str">
        <f t="shared" si="2"/>
        <v>SA IPVPN1024/1024Premium</v>
      </c>
      <c r="C92" s="77" t="s">
        <v>93</v>
      </c>
      <c r="D92" s="75" t="s">
        <v>66</v>
      </c>
      <c r="E92" s="77" t="s">
        <v>70</v>
      </c>
      <c r="F92" s="75"/>
      <c r="H92" s="112" t="str">
        <f t="shared" si="3"/>
        <v>1 Mbps/1 Mbpspremium</v>
      </c>
      <c r="I92" s="75" t="s">
        <v>75</v>
      </c>
      <c r="J92" s="75" t="s">
        <v>71</v>
      </c>
      <c r="K92" s="445"/>
      <c r="L92" s="75"/>
      <c r="M92" s="290" t="s">
        <v>115</v>
      </c>
    </row>
    <row r="93" spans="2:13">
      <c r="B93" s="112" t="str">
        <f t="shared" si="2"/>
        <v>SA IPVPN2048/2048Premium</v>
      </c>
      <c r="C93" s="77" t="s">
        <v>93</v>
      </c>
      <c r="D93" s="75" t="s">
        <v>68</v>
      </c>
      <c r="E93" s="77" t="s">
        <v>70</v>
      </c>
      <c r="F93" s="75"/>
      <c r="H93" s="112" t="str">
        <f t="shared" si="3"/>
        <v>2 Mbps/2 Mbpspremium</v>
      </c>
      <c r="I93" s="75" t="s">
        <v>76</v>
      </c>
      <c r="J93" s="75" t="s">
        <v>71</v>
      </c>
      <c r="K93" s="445"/>
      <c r="L93" s="75"/>
      <c r="M93" s="290" t="s">
        <v>115</v>
      </c>
    </row>
    <row r="94" spans="2:13">
      <c r="B94" s="112" t="str">
        <f t="shared" si="2"/>
        <v>SA IPVPN3072/3072Premium</v>
      </c>
      <c r="C94" s="77" t="s">
        <v>93</v>
      </c>
      <c r="D94" s="75" t="s">
        <v>82</v>
      </c>
      <c r="E94" s="77" t="s">
        <v>70</v>
      </c>
      <c r="F94" s="75"/>
      <c r="H94" s="112" t="str">
        <f t="shared" si="3"/>
        <v>5 Mbps/5 Mbpspremium</v>
      </c>
      <c r="I94" s="75" t="s">
        <v>1242</v>
      </c>
      <c r="J94" s="75" t="s">
        <v>71</v>
      </c>
      <c r="K94" s="445"/>
      <c r="L94" s="75"/>
      <c r="M94" s="290" t="s">
        <v>115</v>
      </c>
    </row>
    <row r="95" spans="2:13">
      <c r="B95" s="112" t="str">
        <f t="shared" si="2"/>
        <v>SA IPVPN4096/1024Premium</v>
      </c>
      <c r="C95" s="77" t="s">
        <v>93</v>
      </c>
      <c r="D95" s="75" t="s">
        <v>57</v>
      </c>
      <c r="E95" s="77" t="s">
        <v>70</v>
      </c>
      <c r="F95" s="75"/>
      <c r="H95" s="112" t="str">
        <f t="shared" si="3"/>
        <v>5 Mbps/1 Mbpspremium</v>
      </c>
      <c r="I95" s="75" t="s">
        <v>1244</v>
      </c>
      <c r="J95" s="75" t="s">
        <v>71</v>
      </c>
      <c r="K95" s="445"/>
      <c r="L95" s="75"/>
      <c r="M95" s="290" t="s">
        <v>115</v>
      </c>
    </row>
    <row r="96" spans="2:13">
      <c r="B96" s="112" t="str">
        <f t="shared" si="2"/>
        <v>SA IPVPN4096/4096Premium</v>
      </c>
      <c r="C96" s="77" t="s">
        <v>93</v>
      </c>
      <c r="D96" s="75" t="s">
        <v>83</v>
      </c>
      <c r="E96" s="77" t="s">
        <v>70</v>
      </c>
      <c r="F96" s="75"/>
      <c r="H96" s="112" t="str">
        <f t="shared" si="3"/>
        <v>5 Mbps/5 Mbpspremium</v>
      </c>
      <c r="I96" s="75" t="s">
        <v>1242</v>
      </c>
      <c r="J96" s="75" t="s">
        <v>71</v>
      </c>
      <c r="K96" s="445"/>
      <c r="L96" s="75"/>
      <c r="M96" s="290" t="s">
        <v>115</v>
      </c>
    </row>
    <row r="97" spans="2:13">
      <c r="B97" s="112" t="str">
        <f t="shared" si="2"/>
        <v>SA IPVPN8192/1024Premium</v>
      </c>
      <c r="C97" s="77" t="s">
        <v>93</v>
      </c>
      <c r="D97" s="75" t="s">
        <v>84</v>
      </c>
      <c r="E97" s="77" t="s">
        <v>70</v>
      </c>
      <c r="F97" s="75"/>
      <c r="H97" s="112" t="str">
        <f t="shared" si="3"/>
        <v>10 Mbps/5 Mbpspremium</v>
      </c>
      <c r="I97" s="75" t="s">
        <v>1245</v>
      </c>
      <c r="J97" s="75" t="s">
        <v>71</v>
      </c>
      <c r="K97" s="445"/>
      <c r="L97" s="75"/>
      <c r="M97" s="290" t="s">
        <v>115</v>
      </c>
    </row>
    <row r="98" spans="2:13">
      <c r="B98" s="112" t="str">
        <f t="shared" si="2"/>
        <v>SA IPVPN8192/8192Premium</v>
      </c>
      <c r="C98" s="77" t="s">
        <v>93</v>
      </c>
      <c r="D98" s="75" t="s">
        <v>94</v>
      </c>
      <c r="E98" s="77" t="s">
        <v>70</v>
      </c>
      <c r="F98" s="75"/>
      <c r="H98" s="112" t="str">
        <f t="shared" si="3"/>
        <v>10 Mbps/10 Mbpspremium</v>
      </c>
      <c r="I98" s="75" t="s">
        <v>92</v>
      </c>
      <c r="J98" s="75" t="s">
        <v>71</v>
      </c>
      <c r="K98" s="445"/>
      <c r="L98" s="75"/>
      <c r="M98" s="290" t="s">
        <v>115</v>
      </c>
    </row>
    <row r="99" spans="2:13">
      <c r="B99" s="112" t="str">
        <f t="shared" si="2"/>
        <v>SA IPVPN10240/10240Premium</v>
      </c>
      <c r="C99" s="77" t="s">
        <v>93</v>
      </c>
      <c r="D99" s="75" t="s">
        <v>95</v>
      </c>
      <c r="E99" s="77" t="s">
        <v>70</v>
      </c>
      <c r="F99" s="75"/>
      <c r="H99" s="112" t="str">
        <f t="shared" si="3"/>
        <v>10 Mbps/10 Mbpspremium</v>
      </c>
      <c r="I99" s="75" t="s">
        <v>92</v>
      </c>
      <c r="J99" s="75" t="s">
        <v>71</v>
      </c>
      <c r="K99" s="445"/>
      <c r="L99" s="75"/>
      <c r="M99" s="290" t="s">
        <v>115</v>
      </c>
    </row>
    <row r="100" spans="2:13">
      <c r="B100" s="112" t="str">
        <f t="shared" si="2"/>
        <v>SA IPVPN10240/1024Premium</v>
      </c>
      <c r="C100" s="77" t="s">
        <v>93</v>
      </c>
      <c r="D100" s="75" t="s">
        <v>85</v>
      </c>
      <c r="E100" s="77" t="s">
        <v>70</v>
      </c>
      <c r="F100" s="75"/>
      <c r="H100" s="112" t="str">
        <f t="shared" si="3"/>
        <v>10 Mbps/10 Mbpspremium</v>
      </c>
      <c r="I100" s="75" t="s">
        <v>92</v>
      </c>
      <c r="J100" s="75" t="s">
        <v>71</v>
      </c>
      <c r="K100" s="445"/>
      <c r="L100" s="75"/>
      <c r="M100" s="290" t="s">
        <v>115</v>
      </c>
    </row>
    <row r="101" spans="2:13">
      <c r="B101" s="112" t="str">
        <f t="shared" si="2"/>
        <v>SA IPVPN12288/1024Premium</v>
      </c>
      <c r="C101" s="77" t="s">
        <v>93</v>
      </c>
      <c r="D101" s="75" t="s">
        <v>97</v>
      </c>
      <c r="E101" s="77" t="s">
        <v>70</v>
      </c>
      <c r="F101" s="75"/>
      <c r="H101" s="112" t="str">
        <f t="shared" si="3"/>
        <v>20 Mbps/10 Mbpspremium</v>
      </c>
      <c r="I101" s="75" t="s">
        <v>1246</v>
      </c>
      <c r="J101" s="75" t="s">
        <v>71</v>
      </c>
      <c r="K101" s="445"/>
      <c r="L101" s="75"/>
      <c r="M101" s="290" t="s">
        <v>115</v>
      </c>
    </row>
    <row r="102" spans="2:13">
      <c r="B102" s="112" t="str">
        <f t="shared" si="2"/>
        <v>SA IPVPN20480/2048Premium</v>
      </c>
      <c r="C102" s="77" t="s">
        <v>93</v>
      </c>
      <c r="D102" s="75" t="s">
        <v>86</v>
      </c>
      <c r="E102" s="77" t="s">
        <v>70</v>
      </c>
      <c r="F102" s="75"/>
      <c r="H102" s="112" t="str">
        <f t="shared" si="3"/>
        <v>n.a.premium</v>
      </c>
      <c r="I102" s="75" t="s">
        <v>74</v>
      </c>
      <c r="J102" s="75" t="s">
        <v>71</v>
      </c>
      <c r="K102" s="445"/>
      <c r="L102" s="75"/>
      <c r="M102" s="290" t="s">
        <v>115</v>
      </c>
    </row>
    <row r="103" spans="2:13">
      <c r="B103" s="112" t="str">
        <f t="shared" si="2"/>
        <v>SA IPVPN30720/3072Premium</v>
      </c>
      <c r="C103" s="77" t="s">
        <v>93</v>
      </c>
      <c r="D103" s="75" t="s">
        <v>98</v>
      </c>
      <c r="E103" s="77" t="s">
        <v>70</v>
      </c>
      <c r="F103" s="75"/>
      <c r="H103" s="112" t="str">
        <f t="shared" si="3"/>
        <v>n.a.premium</v>
      </c>
      <c r="I103" s="75" t="s">
        <v>74</v>
      </c>
      <c r="J103" s="75" t="s">
        <v>71</v>
      </c>
      <c r="K103" s="445"/>
      <c r="L103" s="75"/>
      <c r="M103" s="290" t="s">
        <v>115</v>
      </c>
    </row>
    <row r="104" spans="2:13">
      <c r="B104" s="112" t="str">
        <f t="shared" si="2"/>
        <v>SA IPVPN51200/5120Premium</v>
      </c>
      <c r="C104" s="77" t="s">
        <v>93</v>
      </c>
      <c r="D104" s="75" t="s">
        <v>88</v>
      </c>
      <c r="E104" s="77" t="s">
        <v>70</v>
      </c>
      <c r="F104" s="75"/>
      <c r="H104" s="112" t="str">
        <f t="shared" si="3"/>
        <v>n.a.premium</v>
      </c>
      <c r="I104" s="75" t="s">
        <v>74</v>
      </c>
      <c r="J104" s="75" t="s">
        <v>71</v>
      </c>
      <c r="K104" s="445"/>
      <c r="L104" s="75"/>
      <c r="M104" s="290" t="s">
        <v>115</v>
      </c>
    </row>
    <row r="105" spans="2:13">
      <c r="B105" s="112" t="str">
        <f t="shared" si="2"/>
        <v>SA IPVPN30720/30720Premium</v>
      </c>
      <c r="C105" s="77" t="s">
        <v>93</v>
      </c>
      <c r="D105" s="75" t="s">
        <v>99</v>
      </c>
      <c r="E105" s="77" t="s">
        <v>70</v>
      </c>
      <c r="F105" s="75"/>
      <c r="H105" s="112" t="str">
        <f t="shared" si="3"/>
        <v>n.a.premium</v>
      </c>
      <c r="I105" s="75" t="s">
        <v>74</v>
      </c>
      <c r="J105" s="75" t="s">
        <v>71</v>
      </c>
      <c r="K105" s="445"/>
      <c r="L105" s="75"/>
      <c r="M105" s="290" t="s">
        <v>115</v>
      </c>
    </row>
    <row r="106" spans="2:13">
      <c r="B106" s="112" t="str">
        <f t="shared" si="2"/>
        <v>SA IPVPN51200/51200Premium</v>
      </c>
      <c r="C106" s="77" t="s">
        <v>93</v>
      </c>
      <c r="D106" s="75" t="s">
        <v>100</v>
      </c>
      <c r="E106" s="77" t="s">
        <v>70</v>
      </c>
      <c r="F106" s="75"/>
      <c r="H106" s="112" t="str">
        <f t="shared" si="3"/>
        <v>n.a.premium</v>
      </c>
      <c r="I106" s="75" t="s">
        <v>74</v>
      </c>
      <c r="J106" s="75" t="s">
        <v>71</v>
      </c>
      <c r="K106" s="445"/>
      <c r="L106" s="75"/>
      <c r="M106" s="290" t="s">
        <v>115</v>
      </c>
    </row>
    <row r="107" spans="2:13">
      <c r="B107" s="112" t="str">
        <f t="shared" si="2"/>
        <v>SA IPVPN100000/100000Premium</v>
      </c>
      <c r="C107" s="77" t="s">
        <v>93</v>
      </c>
      <c r="D107" s="75" t="s">
        <v>101</v>
      </c>
      <c r="E107" s="77" t="s">
        <v>70</v>
      </c>
      <c r="F107" s="75"/>
      <c r="H107" s="112" t="str">
        <f t="shared" si="3"/>
        <v>n.a.premium</v>
      </c>
      <c r="I107" s="75" t="s">
        <v>74</v>
      </c>
      <c r="J107" s="75" t="s">
        <v>71</v>
      </c>
      <c r="K107" s="445"/>
      <c r="L107" s="75"/>
      <c r="M107" s="290" t="s">
        <v>115</v>
      </c>
    </row>
    <row r="108" spans="2:13">
      <c r="B108" s="112"/>
      <c r="C108" s="77"/>
      <c r="D108" s="75"/>
      <c r="E108" s="77"/>
      <c r="F108" s="75"/>
      <c r="H108" s="112"/>
      <c r="I108" s="75"/>
      <c r="J108" s="75"/>
      <c r="K108" s="445"/>
      <c r="L108" s="75"/>
      <c r="M108" s="203"/>
    </row>
    <row r="109" spans="2:13">
      <c r="B109" s="112"/>
      <c r="C109" s="77"/>
      <c r="D109" s="75"/>
      <c r="E109" s="77"/>
      <c r="F109" s="75"/>
      <c r="H109" s="112"/>
      <c r="I109" s="75"/>
      <c r="J109" s="75"/>
      <c r="K109" s="445"/>
      <c r="L109" s="75"/>
      <c r="M109" s="203"/>
    </row>
    <row r="110" spans="2:13">
      <c r="B110" s="112"/>
      <c r="C110" s="198"/>
      <c r="D110" s="198"/>
      <c r="E110" s="269"/>
      <c r="H110" s="112"/>
      <c r="I110" s="75"/>
      <c r="J110" s="75"/>
      <c r="K110" s="445"/>
      <c r="M110" s="203"/>
    </row>
    <row r="111" spans="2:13">
      <c r="B111" s="73" t="s">
        <v>36</v>
      </c>
      <c r="C111" s="73" t="s">
        <v>37</v>
      </c>
      <c r="D111" s="73" t="s">
        <v>38</v>
      </c>
      <c r="E111" s="73" t="s">
        <v>39</v>
      </c>
      <c r="F111" s="73"/>
      <c r="H111" s="99" t="s">
        <v>120</v>
      </c>
      <c r="I111" s="99" t="s">
        <v>38</v>
      </c>
      <c r="J111" s="73" t="s">
        <v>41</v>
      </c>
      <c r="K111" s="73" t="s">
        <v>110</v>
      </c>
      <c r="L111" s="73" t="s">
        <v>111</v>
      </c>
      <c r="M111" s="270" t="s">
        <v>1383</v>
      </c>
    </row>
    <row r="112" spans="2:13">
      <c r="B112" s="112" t="str">
        <f t="shared" ref="B112:B141" si="4">C112&amp;D112&amp;E112&amp;F112</f>
        <v>ADSL128/128Add</v>
      </c>
      <c r="C112" s="77" t="s">
        <v>42</v>
      </c>
      <c r="D112" s="75" t="s">
        <v>43</v>
      </c>
      <c r="E112" s="77" t="s">
        <v>103</v>
      </c>
      <c r="F112" s="75"/>
      <c r="H112" s="78" t="s">
        <v>121</v>
      </c>
      <c r="I112" s="438" t="s">
        <v>104</v>
      </c>
      <c r="J112" s="438" t="s">
        <v>105</v>
      </c>
      <c r="K112" s="438" t="s">
        <v>114</v>
      </c>
      <c r="L112" s="438" t="s">
        <v>115</v>
      </c>
      <c r="M112" s="290" t="s">
        <v>115</v>
      </c>
    </row>
    <row r="113" spans="2:13">
      <c r="B113" s="112" t="str">
        <f t="shared" si="4"/>
        <v>ADSL200/200Add</v>
      </c>
      <c r="C113" s="77" t="s">
        <v>42</v>
      </c>
      <c r="D113" s="75" t="s">
        <v>106</v>
      </c>
      <c r="E113" s="77" t="s">
        <v>103</v>
      </c>
      <c r="F113" s="75"/>
      <c r="H113" s="78" t="s">
        <v>121</v>
      </c>
      <c r="I113" s="438" t="s">
        <v>104</v>
      </c>
      <c r="J113" s="438" t="s">
        <v>105</v>
      </c>
      <c r="K113" s="438" t="s">
        <v>114</v>
      </c>
      <c r="L113" s="438" t="s">
        <v>115</v>
      </c>
      <c r="M113" s="290" t="s">
        <v>115</v>
      </c>
    </row>
    <row r="114" spans="2:13">
      <c r="B114" s="112" t="str">
        <f t="shared" si="4"/>
        <v>ADSL224/224Add</v>
      </c>
      <c r="C114" s="77" t="s">
        <v>42</v>
      </c>
      <c r="D114" s="75" t="s">
        <v>107</v>
      </c>
      <c r="E114" s="77" t="s">
        <v>103</v>
      </c>
      <c r="F114" s="75"/>
      <c r="H114" s="78" t="s">
        <v>121</v>
      </c>
      <c r="I114" s="438" t="s">
        <v>104</v>
      </c>
      <c r="J114" s="438" t="s">
        <v>105</v>
      </c>
      <c r="K114" s="438" t="s">
        <v>114</v>
      </c>
      <c r="L114" s="438" t="s">
        <v>115</v>
      </c>
      <c r="M114" s="290" t="s">
        <v>115</v>
      </c>
    </row>
    <row r="115" spans="2:13">
      <c r="B115" s="112" t="str">
        <f t="shared" si="4"/>
        <v>ADSL256/256Add</v>
      </c>
      <c r="C115" s="77" t="s">
        <v>42</v>
      </c>
      <c r="D115" s="75" t="s">
        <v>48</v>
      </c>
      <c r="E115" s="77" t="s">
        <v>103</v>
      </c>
      <c r="F115" s="75"/>
      <c r="H115" s="78" t="s">
        <v>121</v>
      </c>
      <c r="I115" s="438" t="s">
        <v>104</v>
      </c>
      <c r="J115" s="438" t="s">
        <v>105</v>
      </c>
      <c r="K115" s="438" t="s">
        <v>114</v>
      </c>
      <c r="L115" s="438" t="s">
        <v>115</v>
      </c>
      <c r="M115" s="290" t="s">
        <v>115</v>
      </c>
    </row>
    <row r="116" spans="2:13">
      <c r="B116" s="112" t="str">
        <f t="shared" si="4"/>
        <v>ADSL352/352Add</v>
      </c>
      <c r="C116" s="77" t="s">
        <v>42</v>
      </c>
      <c r="D116" s="75" t="s">
        <v>108</v>
      </c>
      <c r="E116" s="77" t="s">
        <v>103</v>
      </c>
      <c r="F116" s="75"/>
      <c r="H116" s="78" t="s">
        <v>122</v>
      </c>
      <c r="I116" s="438" t="s">
        <v>75</v>
      </c>
      <c r="J116" s="438" t="s">
        <v>71</v>
      </c>
      <c r="K116" s="438" t="s">
        <v>116</v>
      </c>
      <c r="L116" s="438" t="s">
        <v>117</v>
      </c>
      <c r="M116" s="290" t="s">
        <v>115</v>
      </c>
    </row>
    <row r="117" spans="2:13">
      <c r="B117" s="112" t="str">
        <f t="shared" si="4"/>
        <v>ADSL448/448Add</v>
      </c>
      <c r="C117" s="77" t="s">
        <v>42</v>
      </c>
      <c r="D117" s="75" t="s">
        <v>79</v>
      </c>
      <c r="E117" s="77" t="s">
        <v>103</v>
      </c>
      <c r="F117" s="75"/>
      <c r="H117" s="78" t="s">
        <v>122</v>
      </c>
      <c r="I117" s="438" t="s">
        <v>75</v>
      </c>
      <c r="J117" s="438" t="s">
        <v>71</v>
      </c>
      <c r="K117" s="438" t="s">
        <v>116</v>
      </c>
      <c r="L117" s="438" t="s">
        <v>117</v>
      </c>
      <c r="M117" s="290" t="s">
        <v>115</v>
      </c>
    </row>
    <row r="118" spans="2:13">
      <c r="B118" s="112" t="str">
        <f t="shared" si="4"/>
        <v>ADSL512/512Add</v>
      </c>
      <c r="C118" s="77" t="s">
        <v>42</v>
      </c>
      <c r="D118" s="75" t="s">
        <v>50</v>
      </c>
      <c r="E118" s="77" t="s">
        <v>103</v>
      </c>
      <c r="F118" s="75"/>
      <c r="H118" s="78" t="s">
        <v>122</v>
      </c>
      <c r="I118" s="438" t="s">
        <v>75</v>
      </c>
      <c r="J118" s="438" t="s">
        <v>71</v>
      </c>
      <c r="K118" s="438" t="s">
        <v>116</v>
      </c>
      <c r="L118" s="438" t="s">
        <v>117</v>
      </c>
      <c r="M118" s="290" t="s">
        <v>115</v>
      </c>
    </row>
    <row r="119" spans="2:13">
      <c r="B119" s="112" t="str">
        <f t="shared" si="4"/>
        <v>SDSL224/224Add</v>
      </c>
      <c r="C119" s="77" t="s">
        <v>64</v>
      </c>
      <c r="D119" s="75" t="s">
        <v>107</v>
      </c>
      <c r="E119" s="77" t="s">
        <v>103</v>
      </c>
      <c r="F119" s="75"/>
      <c r="H119" s="78" t="s">
        <v>121</v>
      </c>
      <c r="I119" s="438" t="s">
        <v>104</v>
      </c>
      <c r="J119" s="438" t="s">
        <v>105</v>
      </c>
      <c r="K119" s="438" t="s">
        <v>114</v>
      </c>
      <c r="L119" s="438" t="s">
        <v>115</v>
      </c>
      <c r="M119" s="290" t="s">
        <v>115</v>
      </c>
    </row>
    <row r="120" spans="2:13">
      <c r="B120" s="112" t="str">
        <f t="shared" si="4"/>
        <v>SDSL256/256Add</v>
      </c>
      <c r="C120" s="77" t="s">
        <v>64</v>
      </c>
      <c r="D120" s="75" t="s">
        <v>48</v>
      </c>
      <c r="E120" s="77" t="s">
        <v>103</v>
      </c>
      <c r="F120" s="75"/>
      <c r="H120" s="78" t="s">
        <v>121</v>
      </c>
      <c r="I120" s="438" t="s">
        <v>104</v>
      </c>
      <c r="J120" s="438" t="s">
        <v>105</v>
      </c>
      <c r="K120" s="438" t="s">
        <v>114</v>
      </c>
      <c r="L120" s="438" t="s">
        <v>115</v>
      </c>
      <c r="M120" s="290" t="s">
        <v>115</v>
      </c>
    </row>
    <row r="121" spans="2:13">
      <c r="B121" s="112" t="str">
        <f t="shared" si="4"/>
        <v>SDSL448/448Add</v>
      </c>
      <c r="C121" s="77" t="s">
        <v>64</v>
      </c>
      <c r="D121" s="75" t="s">
        <v>79</v>
      </c>
      <c r="E121" s="77" t="s">
        <v>103</v>
      </c>
      <c r="F121" s="75"/>
      <c r="H121" s="78" t="s">
        <v>122</v>
      </c>
      <c r="I121" s="438" t="s">
        <v>75</v>
      </c>
      <c r="J121" s="438" t="s">
        <v>71</v>
      </c>
      <c r="K121" s="438" t="s">
        <v>116</v>
      </c>
      <c r="L121" s="438" t="s">
        <v>117</v>
      </c>
      <c r="M121" s="290" t="s">
        <v>115</v>
      </c>
    </row>
    <row r="122" spans="2:13">
      <c r="B122" s="112" t="str">
        <f t="shared" si="4"/>
        <v>SDSL512/512Add</v>
      </c>
      <c r="C122" s="77" t="s">
        <v>64</v>
      </c>
      <c r="D122" s="75" t="s">
        <v>50</v>
      </c>
      <c r="E122" s="77" t="s">
        <v>103</v>
      </c>
      <c r="F122" s="75"/>
      <c r="H122" s="78" t="s">
        <v>122</v>
      </c>
      <c r="I122" s="438" t="s">
        <v>75</v>
      </c>
      <c r="J122" s="438" t="s">
        <v>71</v>
      </c>
      <c r="K122" s="438" t="s">
        <v>116</v>
      </c>
      <c r="L122" s="438" t="s">
        <v>117</v>
      </c>
      <c r="M122" s="290" t="s">
        <v>115</v>
      </c>
    </row>
    <row r="123" spans="2:13">
      <c r="B123" s="112" t="str">
        <f t="shared" si="4"/>
        <v>SDSL1024/1024Add</v>
      </c>
      <c r="C123" s="77" t="s">
        <v>64</v>
      </c>
      <c r="D123" s="75" t="s">
        <v>66</v>
      </c>
      <c r="E123" s="77" t="s">
        <v>103</v>
      </c>
      <c r="F123" s="75"/>
      <c r="H123" s="78" t="s">
        <v>122</v>
      </c>
      <c r="I123" s="438" t="s">
        <v>75</v>
      </c>
      <c r="J123" s="438" t="s">
        <v>71</v>
      </c>
      <c r="K123" s="438" t="s">
        <v>116</v>
      </c>
      <c r="L123" s="438" t="s">
        <v>117</v>
      </c>
      <c r="M123" s="290" t="s">
        <v>115</v>
      </c>
    </row>
    <row r="124" spans="2:13">
      <c r="B124" s="112" t="str">
        <f t="shared" si="4"/>
        <v>SDSL1536/1536Add</v>
      </c>
      <c r="C124" s="77" t="s">
        <v>64</v>
      </c>
      <c r="D124" s="75" t="s">
        <v>67</v>
      </c>
      <c r="E124" s="77" t="s">
        <v>103</v>
      </c>
      <c r="F124" s="75"/>
      <c r="H124" s="78" t="s">
        <v>122</v>
      </c>
      <c r="I124" s="438" t="s">
        <v>76</v>
      </c>
      <c r="J124" s="438" t="s">
        <v>71</v>
      </c>
      <c r="K124" s="438" t="s">
        <v>116</v>
      </c>
      <c r="L124" s="438" t="s">
        <v>117</v>
      </c>
      <c r="M124" s="290" t="s">
        <v>115</v>
      </c>
    </row>
    <row r="125" spans="2:13">
      <c r="B125" s="112" t="str">
        <f t="shared" si="4"/>
        <v>SDSL2048/2048Add</v>
      </c>
      <c r="C125" s="77" t="s">
        <v>64</v>
      </c>
      <c r="D125" s="75" t="s">
        <v>68</v>
      </c>
      <c r="E125" s="77" t="s">
        <v>103</v>
      </c>
      <c r="F125" s="75"/>
      <c r="H125" s="78" t="s">
        <v>122</v>
      </c>
      <c r="I125" s="438" t="s">
        <v>76</v>
      </c>
      <c r="J125" s="438" t="s">
        <v>71</v>
      </c>
      <c r="K125" s="438" t="s">
        <v>116</v>
      </c>
      <c r="L125" s="438" t="s">
        <v>117</v>
      </c>
      <c r="M125" s="290" t="s">
        <v>115</v>
      </c>
    </row>
    <row r="126" spans="2:13">
      <c r="B126" s="112" t="str">
        <f t="shared" si="4"/>
        <v>VDSL128/128Add</v>
      </c>
      <c r="C126" s="77" t="s">
        <v>77</v>
      </c>
      <c r="D126" s="75" t="s">
        <v>43</v>
      </c>
      <c r="E126" s="77" t="s">
        <v>103</v>
      </c>
      <c r="F126" s="75"/>
      <c r="H126" s="78" t="s">
        <v>121</v>
      </c>
      <c r="I126" s="438" t="s">
        <v>104</v>
      </c>
      <c r="J126" s="438" t="s">
        <v>105</v>
      </c>
      <c r="K126" s="438" t="s">
        <v>114</v>
      </c>
      <c r="L126" s="438" t="s">
        <v>115</v>
      </c>
      <c r="M126" s="290" t="s">
        <v>115</v>
      </c>
    </row>
    <row r="127" spans="2:13">
      <c r="B127" s="112" t="str">
        <f t="shared" si="4"/>
        <v>VDSL256/256Add</v>
      </c>
      <c r="C127" s="77" t="s">
        <v>77</v>
      </c>
      <c r="D127" s="75" t="s">
        <v>48</v>
      </c>
      <c r="E127" s="77" t="s">
        <v>103</v>
      </c>
      <c r="F127" s="75"/>
      <c r="H127" s="78" t="s">
        <v>121</v>
      </c>
      <c r="I127" s="438" t="s">
        <v>104</v>
      </c>
      <c r="J127" s="438" t="s">
        <v>105</v>
      </c>
      <c r="K127" s="438" t="s">
        <v>114</v>
      </c>
      <c r="L127" s="438" t="s">
        <v>115</v>
      </c>
      <c r="M127" s="290" t="s">
        <v>115</v>
      </c>
    </row>
    <row r="128" spans="2:13">
      <c r="B128" s="112" t="str">
        <f t="shared" si="4"/>
        <v>VDSL448/448Add</v>
      </c>
      <c r="C128" s="77" t="s">
        <v>77</v>
      </c>
      <c r="D128" s="75" t="s">
        <v>79</v>
      </c>
      <c r="E128" s="77" t="s">
        <v>103</v>
      </c>
      <c r="F128" s="75"/>
      <c r="H128" s="78" t="s">
        <v>122</v>
      </c>
      <c r="I128" s="438" t="s">
        <v>75</v>
      </c>
      <c r="J128" s="438" t="s">
        <v>71</v>
      </c>
      <c r="K128" s="438" t="s">
        <v>116</v>
      </c>
      <c r="L128" s="438" t="s">
        <v>117</v>
      </c>
      <c r="M128" s="290" t="s">
        <v>115</v>
      </c>
    </row>
    <row r="129" spans="2:13">
      <c r="B129" s="112" t="str">
        <f t="shared" si="4"/>
        <v>VDSL640/640Add</v>
      </c>
      <c r="C129" s="77" t="s">
        <v>77</v>
      </c>
      <c r="D129" s="75" t="s">
        <v>80</v>
      </c>
      <c r="E129" s="77" t="s">
        <v>103</v>
      </c>
      <c r="F129" s="75"/>
      <c r="H129" s="78" t="s">
        <v>122</v>
      </c>
      <c r="I129" s="438" t="s">
        <v>75</v>
      </c>
      <c r="J129" s="438" t="s">
        <v>71</v>
      </c>
      <c r="K129" s="438" t="s">
        <v>116</v>
      </c>
      <c r="L129" s="438" t="s">
        <v>117</v>
      </c>
      <c r="M129" s="290" t="s">
        <v>115</v>
      </c>
    </row>
    <row r="130" spans="2:13">
      <c r="B130" s="112" t="str">
        <f t="shared" si="4"/>
        <v>VDSL1024/1024Add</v>
      </c>
      <c r="C130" s="77" t="s">
        <v>77</v>
      </c>
      <c r="D130" s="75" t="s">
        <v>66</v>
      </c>
      <c r="E130" s="77" t="s">
        <v>103</v>
      </c>
      <c r="F130" s="75"/>
      <c r="H130" s="78" t="s">
        <v>122</v>
      </c>
      <c r="I130" s="438" t="s">
        <v>75</v>
      </c>
      <c r="J130" s="438" t="s">
        <v>71</v>
      </c>
      <c r="K130" s="438" t="s">
        <v>116</v>
      </c>
      <c r="L130" s="438" t="s">
        <v>117</v>
      </c>
      <c r="M130" s="290" t="s">
        <v>115</v>
      </c>
    </row>
    <row r="131" spans="2:13">
      <c r="B131" s="112" t="str">
        <f t="shared" si="4"/>
        <v>VDSL2048/2048Add</v>
      </c>
      <c r="C131" s="77" t="s">
        <v>77</v>
      </c>
      <c r="D131" s="75" t="s">
        <v>68</v>
      </c>
      <c r="E131" s="77" t="s">
        <v>103</v>
      </c>
      <c r="F131" s="75"/>
      <c r="H131" s="78" t="s">
        <v>122</v>
      </c>
      <c r="I131" s="438" t="s">
        <v>76</v>
      </c>
      <c r="J131" s="438" t="s">
        <v>71</v>
      </c>
      <c r="K131" s="438" t="s">
        <v>116</v>
      </c>
      <c r="L131" s="438" t="s">
        <v>117</v>
      </c>
      <c r="M131" s="290" t="s">
        <v>115</v>
      </c>
    </row>
    <row r="132" spans="2:13">
      <c r="B132" s="112" t="str">
        <f t="shared" si="4"/>
        <v>VDSL3072/3072Add</v>
      </c>
      <c r="C132" s="77" t="s">
        <v>77</v>
      </c>
      <c r="D132" s="75" t="s">
        <v>82</v>
      </c>
      <c r="E132" s="77" t="s">
        <v>103</v>
      </c>
      <c r="F132" s="75"/>
      <c r="H132" s="78" t="s">
        <v>122</v>
      </c>
      <c r="I132" s="438" t="s">
        <v>1242</v>
      </c>
      <c r="J132" s="438" t="s">
        <v>71</v>
      </c>
      <c r="K132" s="438" t="s">
        <v>116</v>
      </c>
      <c r="L132" s="438" t="s">
        <v>117</v>
      </c>
      <c r="M132" s="203" t="s">
        <v>1384</v>
      </c>
    </row>
    <row r="133" spans="2:13">
      <c r="B133" s="112" t="str">
        <f t="shared" si="4"/>
        <v>SA IPVPN128/128Add</v>
      </c>
      <c r="C133" s="77" t="s">
        <v>93</v>
      </c>
      <c r="D133" s="75" t="s">
        <v>43</v>
      </c>
      <c r="E133" s="77" t="s">
        <v>103</v>
      </c>
      <c r="F133" s="75"/>
      <c r="H133" s="78" t="s">
        <v>121</v>
      </c>
      <c r="I133" s="438" t="s">
        <v>104</v>
      </c>
      <c r="J133" s="438" t="s">
        <v>105</v>
      </c>
      <c r="K133" s="438" t="s">
        <v>114</v>
      </c>
      <c r="L133" s="438" t="s">
        <v>115</v>
      </c>
      <c r="M133" s="290" t="s">
        <v>115</v>
      </c>
    </row>
    <row r="134" spans="2:13">
      <c r="B134" s="112" t="str">
        <f t="shared" si="4"/>
        <v>SA IPVPN256/256Add</v>
      </c>
      <c r="C134" s="77" t="s">
        <v>93</v>
      </c>
      <c r="D134" s="75" t="s">
        <v>48</v>
      </c>
      <c r="E134" s="77" t="s">
        <v>103</v>
      </c>
      <c r="F134" s="75"/>
      <c r="H134" s="78" t="s">
        <v>121</v>
      </c>
      <c r="I134" s="438" t="s">
        <v>104</v>
      </c>
      <c r="J134" s="438" t="s">
        <v>105</v>
      </c>
      <c r="K134" s="438" t="s">
        <v>114</v>
      </c>
      <c r="L134" s="438" t="s">
        <v>115</v>
      </c>
      <c r="M134" s="290" t="s">
        <v>115</v>
      </c>
    </row>
    <row r="135" spans="2:13">
      <c r="B135" s="112" t="str">
        <f t="shared" si="4"/>
        <v>SA IPVPN448/448Add</v>
      </c>
      <c r="C135" s="77" t="s">
        <v>93</v>
      </c>
      <c r="D135" s="75" t="s">
        <v>79</v>
      </c>
      <c r="E135" s="77" t="s">
        <v>103</v>
      </c>
      <c r="F135" s="75"/>
      <c r="H135" s="78" t="s">
        <v>122</v>
      </c>
      <c r="I135" s="438" t="s">
        <v>75</v>
      </c>
      <c r="J135" s="438" t="s">
        <v>71</v>
      </c>
      <c r="K135" s="438" t="s">
        <v>116</v>
      </c>
      <c r="L135" s="438" t="s">
        <v>117</v>
      </c>
      <c r="M135" s="290" t="s">
        <v>115</v>
      </c>
    </row>
    <row r="136" spans="2:13">
      <c r="B136" s="112" t="str">
        <f t="shared" si="4"/>
        <v>SA IPVPN640/640Add</v>
      </c>
      <c r="C136" s="77" t="s">
        <v>93</v>
      </c>
      <c r="D136" s="75" t="s">
        <v>80</v>
      </c>
      <c r="E136" s="77" t="s">
        <v>103</v>
      </c>
      <c r="F136" s="75"/>
      <c r="H136" s="78" t="s">
        <v>122</v>
      </c>
      <c r="I136" s="438" t="s">
        <v>75</v>
      </c>
      <c r="J136" s="438" t="s">
        <v>71</v>
      </c>
      <c r="K136" s="438" t="s">
        <v>116</v>
      </c>
      <c r="L136" s="438" t="s">
        <v>117</v>
      </c>
      <c r="M136" s="290" t="s">
        <v>115</v>
      </c>
    </row>
    <row r="137" spans="2:13">
      <c r="B137" s="112" t="str">
        <f t="shared" si="4"/>
        <v>SA IPVPN1024/1024Add</v>
      </c>
      <c r="C137" s="77" t="s">
        <v>93</v>
      </c>
      <c r="D137" s="75" t="s">
        <v>66</v>
      </c>
      <c r="E137" s="77" t="s">
        <v>103</v>
      </c>
      <c r="F137" s="75"/>
      <c r="H137" s="78" t="s">
        <v>122</v>
      </c>
      <c r="I137" s="438" t="s">
        <v>75</v>
      </c>
      <c r="J137" s="438" t="s">
        <v>71</v>
      </c>
      <c r="K137" s="438" t="s">
        <v>116</v>
      </c>
      <c r="L137" s="438" t="s">
        <v>117</v>
      </c>
      <c r="M137" s="290" t="s">
        <v>115</v>
      </c>
    </row>
    <row r="138" spans="2:13">
      <c r="B138" s="112" t="str">
        <f t="shared" si="4"/>
        <v>SA IPVPN2048/2048Add</v>
      </c>
      <c r="C138" s="77" t="s">
        <v>93</v>
      </c>
      <c r="D138" s="75" t="s">
        <v>68</v>
      </c>
      <c r="E138" s="77" t="s">
        <v>103</v>
      </c>
      <c r="F138" s="75"/>
      <c r="H138" s="78" t="s">
        <v>122</v>
      </c>
      <c r="I138" s="438" t="s">
        <v>76</v>
      </c>
      <c r="J138" s="438" t="s">
        <v>71</v>
      </c>
      <c r="K138" s="438" t="s">
        <v>116</v>
      </c>
      <c r="L138" s="438" t="s">
        <v>117</v>
      </c>
      <c r="M138" s="290" t="s">
        <v>115</v>
      </c>
    </row>
    <row r="139" spans="2:13">
      <c r="B139" s="112" t="str">
        <f t="shared" si="4"/>
        <v>SA IPVPN3072/3072Add</v>
      </c>
      <c r="C139" s="77" t="s">
        <v>93</v>
      </c>
      <c r="D139" s="75" t="s">
        <v>82</v>
      </c>
      <c r="E139" s="77" t="s">
        <v>103</v>
      </c>
      <c r="F139" s="75"/>
      <c r="H139" s="78" t="s">
        <v>122</v>
      </c>
      <c r="I139" s="438" t="s">
        <v>1242</v>
      </c>
      <c r="J139" s="438" t="s">
        <v>71</v>
      </c>
      <c r="K139" s="438" t="s">
        <v>116</v>
      </c>
      <c r="L139" s="438" t="s">
        <v>117</v>
      </c>
      <c r="M139" s="290" t="s">
        <v>115</v>
      </c>
    </row>
    <row r="140" spans="2:13">
      <c r="B140" s="112" t="str">
        <f t="shared" si="4"/>
        <v>SA IPVPN4096/4096Add</v>
      </c>
      <c r="C140" s="77" t="s">
        <v>93</v>
      </c>
      <c r="D140" s="75" t="s">
        <v>83</v>
      </c>
      <c r="E140" s="77" t="s">
        <v>103</v>
      </c>
      <c r="F140" s="75"/>
      <c r="H140" s="78" t="s">
        <v>122</v>
      </c>
      <c r="I140" s="438" t="s">
        <v>1242</v>
      </c>
      <c r="J140" s="438" t="s">
        <v>71</v>
      </c>
      <c r="K140" s="438" t="s">
        <v>116</v>
      </c>
      <c r="L140" s="438" t="s">
        <v>117</v>
      </c>
      <c r="M140" s="290" t="s">
        <v>115</v>
      </c>
    </row>
    <row r="141" spans="2:13">
      <c r="B141" s="112" t="str">
        <f t="shared" si="4"/>
        <v>SA IPVPN8192/8192Add</v>
      </c>
      <c r="C141" s="77" t="s">
        <v>93</v>
      </c>
      <c r="D141" s="75" t="s">
        <v>94</v>
      </c>
      <c r="E141" s="77" t="s">
        <v>103</v>
      </c>
      <c r="F141" s="75"/>
      <c r="H141" s="78" t="s">
        <v>122</v>
      </c>
      <c r="I141" s="438" t="s">
        <v>92</v>
      </c>
      <c r="J141" s="438" t="s">
        <v>71</v>
      </c>
      <c r="K141" s="438" t="s">
        <v>116</v>
      </c>
      <c r="L141" s="438" t="s">
        <v>117</v>
      </c>
      <c r="M141" s="290" t="s">
        <v>115</v>
      </c>
    </row>
    <row r="142" spans="2:13">
      <c r="E142" s="167"/>
      <c r="M142" s="203"/>
    </row>
    <row r="143" spans="2:13">
      <c r="E143" s="167"/>
      <c r="M143" s="203"/>
    </row>
    <row r="144" spans="2:13" s="167" customFormat="1">
      <c r="B144" s="166" t="s">
        <v>36</v>
      </c>
      <c r="C144" s="166" t="s">
        <v>39</v>
      </c>
      <c r="D144" s="111" t="s">
        <v>109</v>
      </c>
      <c r="H144" s="73" t="s">
        <v>40</v>
      </c>
      <c r="I144" s="73" t="s">
        <v>41</v>
      </c>
      <c r="J144" s="111" t="s">
        <v>110</v>
      </c>
      <c r="K144" s="168" t="s">
        <v>111</v>
      </c>
      <c r="M144" s="881"/>
    </row>
    <row r="145" spans="2:14">
      <c r="B145" s="112" t="str">
        <f t="shared" ref="B145" si="5">C145&amp;D145&amp;E145&amp;F145</f>
        <v>basicnationaal</v>
      </c>
      <c r="C145" s="75" t="s">
        <v>112</v>
      </c>
      <c r="D145" s="75" t="s">
        <v>113</v>
      </c>
      <c r="H145" s="112" t="str">
        <f t="shared" ref="H145" si="6">I145&amp;J145&amp;K145&amp;L145</f>
        <v>entrynationalnvt</v>
      </c>
      <c r="I145" s="75" t="s">
        <v>46</v>
      </c>
      <c r="J145" s="75" t="s">
        <v>114</v>
      </c>
      <c r="K145" s="75" t="s">
        <v>115</v>
      </c>
      <c r="M145" s="203"/>
    </row>
    <row r="146" spans="2:14">
      <c r="B146" s="112" t="str">
        <f t="shared" ref="B146:B148" si="7">C146&amp;D146&amp;E146&amp;F146</f>
        <v>entrynationaal</v>
      </c>
      <c r="C146" s="75" t="s">
        <v>46</v>
      </c>
      <c r="D146" s="75" t="s">
        <v>113</v>
      </c>
      <c r="H146" s="112" t="str">
        <f t="shared" ref="H146:H148" si="8">I146&amp;J146&amp;K146&amp;L146</f>
        <v>entrynationalnvt</v>
      </c>
      <c r="I146" s="75" t="s">
        <v>46</v>
      </c>
      <c r="J146" s="75" t="s">
        <v>114</v>
      </c>
      <c r="K146" s="75" t="s">
        <v>115</v>
      </c>
      <c r="M146" s="203"/>
    </row>
    <row r="147" spans="2:14">
      <c r="B147" s="112" t="str">
        <f t="shared" si="7"/>
        <v>premiumnationaal</v>
      </c>
      <c r="C147" s="75" t="s">
        <v>71</v>
      </c>
      <c r="D147" s="75" t="s">
        <v>113</v>
      </c>
      <c r="H147" s="112" t="str">
        <f t="shared" si="8"/>
        <v>premiummetrometro-nationaal</v>
      </c>
      <c r="I147" s="75" t="s">
        <v>71</v>
      </c>
      <c r="J147" s="75" t="s">
        <v>116</v>
      </c>
      <c r="K147" s="75" t="s">
        <v>117</v>
      </c>
      <c r="M147" s="203"/>
    </row>
    <row r="148" spans="2:14">
      <c r="B148" s="112" t="str">
        <f t="shared" si="7"/>
        <v>addnationaal</v>
      </c>
      <c r="C148" s="75" t="s">
        <v>105</v>
      </c>
      <c r="D148" s="75" t="s">
        <v>113</v>
      </c>
      <c r="H148" s="112" t="str">
        <f t="shared" si="8"/>
        <v>addnationalnvt</v>
      </c>
      <c r="I148" s="75" t="s">
        <v>105</v>
      </c>
      <c r="J148" s="75" t="s">
        <v>114</v>
      </c>
      <c r="K148" s="75" t="s">
        <v>115</v>
      </c>
      <c r="M148" s="203"/>
    </row>
    <row r="149" spans="2:14">
      <c r="B149" s="112"/>
      <c r="C149" s="75"/>
      <c r="D149" s="75"/>
      <c r="H149" s="112"/>
      <c r="I149" s="75"/>
      <c r="J149" s="75"/>
      <c r="M149" s="203"/>
    </row>
    <row r="150" spans="2:14">
      <c r="B150" s="112" t="str">
        <f t="shared" ref="B150:B151" si="9">C150&amp;D150&amp;E150&amp;F150</f>
        <v>1:1 VBR-rtnationaal</v>
      </c>
      <c r="C150" s="75" t="s">
        <v>509</v>
      </c>
      <c r="D150" s="75" t="s">
        <v>113</v>
      </c>
      <c r="H150" s="112" t="str">
        <f t="shared" ref="H150" si="10">I150&amp;J150&amp;K150&amp;L150</f>
        <v>premiummetrometro-nationaal</v>
      </c>
      <c r="I150" s="75" t="s">
        <v>71</v>
      </c>
      <c r="J150" s="75" t="s">
        <v>116</v>
      </c>
      <c r="K150" s="75" t="s">
        <v>117</v>
      </c>
      <c r="M150" s="203"/>
    </row>
    <row r="151" spans="2:14">
      <c r="B151" s="112" t="str">
        <f t="shared" si="9"/>
        <v>1:1 UBRnationaal</v>
      </c>
      <c r="C151" s="75" t="s">
        <v>510</v>
      </c>
      <c r="D151" s="75" t="s">
        <v>113</v>
      </c>
      <c r="H151" s="112" t="str">
        <f t="shared" ref="H151" si="11">I151&amp;J151&amp;K151&amp;L151</f>
        <v>premiummetrometro-nationaal</v>
      </c>
      <c r="I151" s="75" t="s">
        <v>71</v>
      </c>
      <c r="J151" s="75" t="s">
        <v>116</v>
      </c>
      <c r="K151" s="75" t="s">
        <v>117</v>
      </c>
      <c r="M151" s="203"/>
    </row>
    <row r="152" spans="2:14">
      <c r="B152" s="112" t="str">
        <f t="shared" ref="B152:B153" si="12">C152&amp;D152&amp;E152&amp;F152</f>
        <v>1:4nationaal</v>
      </c>
      <c r="C152" s="75" t="s">
        <v>241</v>
      </c>
      <c r="D152" s="75" t="s">
        <v>113</v>
      </c>
      <c r="H152" s="112" t="str">
        <f t="shared" ref="H152:H153" si="13">I152&amp;J152&amp;K152&amp;L152</f>
        <v>premiummetrometro-nationaal</v>
      </c>
      <c r="I152" s="75" t="s">
        <v>71</v>
      </c>
      <c r="J152" s="75" t="s">
        <v>116</v>
      </c>
      <c r="K152" s="75" t="s">
        <v>117</v>
      </c>
      <c r="M152" s="203"/>
    </row>
    <row r="153" spans="2:14">
      <c r="B153" s="112" t="str">
        <f t="shared" si="12"/>
        <v>1:10nationaal</v>
      </c>
      <c r="C153" s="75" t="s">
        <v>242</v>
      </c>
      <c r="D153" s="75" t="s">
        <v>113</v>
      </c>
      <c r="H153" s="112" t="str">
        <f t="shared" si="13"/>
        <v>premiummetrometro-nationaal</v>
      </c>
      <c r="I153" s="75" t="s">
        <v>71</v>
      </c>
      <c r="J153" s="75" t="s">
        <v>116</v>
      </c>
      <c r="K153" s="75" t="s">
        <v>117</v>
      </c>
    </row>
    <row r="154" spans="2:14">
      <c r="B154" s="112" t="str">
        <f t="shared" ref="B154:B155" si="14">C154&amp;D154&amp;E154&amp;F154</f>
        <v>1:20nationaal</v>
      </c>
      <c r="C154" s="75" t="s">
        <v>243</v>
      </c>
      <c r="D154" s="75" t="s">
        <v>113</v>
      </c>
      <c r="H154" s="112" t="str">
        <f t="shared" ref="H154:H155" si="15">I154&amp;J154&amp;K154&amp;L154</f>
        <v>premiummetrometro-nationaal</v>
      </c>
      <c r="I154" s="75" t="s">
        <v>71</v>
      </c>
      <c r="J154" s="75" t="s">
        <v>116</v>
      </c>
      <c r="K154" s="75" t="s">
        <v>117</v>
      </c>
    </row>
    <row r="155" spans="2:14">
      <c r="B155" s="112" t="str">
        <f t="shared" si="14"/>
        <v>1:10+nationaal</v>
      </c>
      <c r="C155" s="75" t="s">
        <v>508</v>
      </c>
      <c r="D155" s="75" t="s">
        <v>113</v>
      </c>
      <c r="H155" s="112" t="str">
        <f t="shared" si="15"/>
        <v>premiummetrometro-nationaal</v>
      </c>
      <c r="I155" s="75" t="s">
        <v>71</v>
      </c>
      <c r="J155" s="75" t="s">
        <v>116</v>
      </c>
      <c r="K155" s="75" t="s">
        <v>117</v>
      </c>
    </row>
    <row r="156" spans="2:14">
      <c r="B156" s="112"/>
      <c r="C156" s="75"/>
      <c r="D156" s="75"/>
      <c r="H156" s="112"/>
      <c r="I156" s="75"/>
      <c r="J156" s="75"/>
      <c r="K156" s="75"/>
    </row>
    <row r="158" spans="2:14" ht="18">
      <c r="B158" s="83" t="s">
        <v>118</v>
      </c>
      <c r="C158" s="88"/>
      <c r="D158" s="89"/>
      <c r="E158" s="89"/>
    </row>
    <row r="159" spans="2:14">
      <c r="B159" s="203"/>
      <c r="C159" s="203"/>
      <c r="D159" s="203"/>
      <c r="E159" s="203"/>
      <c r="F159" s="203"/>
      <c r="G159" s="203"/>
      <c r="H159" s="203"/>
      <c r="I159" s="203"/>
      <c r="J159" s="203"/>
      <c r="K159" s="203"/>
      <c r="L159" s="203"/>
      <c r="M159" s="203"/>
      <c r="N159" s="203"/>
    </row>
    <row r="160" spans="2:14">
      <c r="B160" s="458" t="s">
        <v>36</v>
      </c>
      <c r="C160" s="458" t="s">
        <v>37</v>
      </c>
      <c r="D160" s="203"/>
      <c r="E160" s="203"/>
      <c r="F160" s="203"/>
      <c r="G160" s="203"/>
      <c r="H160" s="270" t="s">
        <v>40</v>
      </c>
      <c r="I160" s="270" t="s">
        <v>37</v>
      </c>
      <c r="J160" s="203"/>
      <c r="K160" s="203"/>
      <c r="L160" s="203"/>
      <c r="M160" s="203"/>
      <c r="N160" s="203"/>
    </row>
    <row r="161" spans="1:14">
      <c r="A161">
        <v>1</v>
      </c>
      <c r="B161" s="290" t="str">
        <f t="shared" ref="B161:B162" si="16">C161&amp;D161&amp;E161&amp;F161</f>
        <v>ADSLshared</v>
      </c>
      <c r="C161" s="438" t="s">
        <v>42</v>
      </c>
      <c r="D161" s="78" t="s">
        <v>127</v>
      </c>
      <c r="E161" s="203"/>
      <c r="F161" s="203"/>
      <c r="G161" s="203"/>
      <c r="H161" s="203" t="str">
        <f t="shared" ref="H161:H162" si="17">I161&amp;J161&amp;K161&amp;L161</f>
        <v>ADSLshared</v>
      </c>
      <c r="I161" s="438" t="s">
        <v>42</v>
      </c>
      <c r="J161" s="78" t="s">
        <v>127</v>
      </c>
      <c r="K161" s="203"/>
      <c r="L161" s="203"/>
      <c r="M161" s="203"/>
      <c r="N161" s="203"/>
    </row>
    <row r="162" spans="1:14">
      <c r="B162" s="290" t="str">
        <f t="shared" si="16"/>
        <v>VDSLshared</v>
      </c>
      <c r="C162" s="438" t="s">
        <v>77</v>
      </c>
      <c r="D162" s="78" t="s">
        <v>127</v>
      </c>
      <c r="E162" s="203"/>
      <c r="F162" s="203"/>
      <c r="G162" s="203"/>
      <c r="H162" s="203" t="str">
        <f t="shared" si="17"/>
        <v>VDSLshared</v>
      </c>
      <c r="I162" s="438" t="s">
        <v>77</v>
      </c>
      <c r="J162" s="78" t="s">
        <v>127</v>
      </c>
      <c r="K162" s="203"/>
      <c r="L162" s="203"/>
      <c r="M162" s="203"/>
      <c r="N162" s="203"/>
    </row>
    <row r="163" spans="1:14">
      <c r="B163" s="290" t="str">
        <f t="shared" ref="B163:B167" si="18">C163&amp;D163&amp;E163&amp;F163</f>
        <v>ADSLunshared</v>
      </c>
      <c r="C163" s="438" t="s">
        <v>42</v>
      </c>
      <c r="D163" s="78" t="s">
        <v>128</v>
      </c>
      <c r="E163" s="203"/>
      <c r="F163" s="203"/>
      <c r="G163" s="203"/>
      <c r="H163" s="203" t="str">
        <f t="shared" ref="H163:H167" si="19">I163&amp;J163&amp;K163&amp;L163</f>
        <v>ADSLunshared</v>
      </c>
      <c r="I163" s="438" t="s">
        <v>42</v>
      </c>
      <c r="J163" s="78" t="s">
        <v>128</v>
      </c>
      <c r="K163" s="203"/>
      <c r="L163" s="203"/>
      <c r="M163" s="203"/>
      <c r="N163" s="203"/>
    </row>
    <row r="164" spans="1:14">
      <c r="B164" s="290" t="str">
        <f t="shared" si="18"/>
        <v>VDSLunshared</v>
      </c>
      <c r="C164" s="438" t="s">
        <v>77</v>
      </c>
      <c r="D164" s="78" t="s">
        <v>128</v>
      </c>
      <c r="E164" s="203"/>
      <c r="F164" s="203"/>
      <c r="G164" s="203"/>
      <c r="H164" s="203" t="str">
        <f t="shared" si="19"/>
        <v>VDSLunshared</v>
      </c>
      <c r="I164" s="438" t="s">
        <v>77</v>
      </c>
      <c r="J164" s="78" t="s">
        <v>128</v>
      </c>
      <c r="K164" s="203"/>
      <c r="L164" s="203"/>
      <c r="M164" s="203"/>
      <c r="N164" s="203"/>
    </row>
    <row r="165" spans="1:14">
      <c r="B165" s="290" t="str">
        <f t="shared" si="18"/>
        <v>VDSL Bondingunshared</v>
      </c>
      <c r="C165" s="438" t="s">
        <v>170</v>
      </c>
      <c r="D165" s="78" t="s">
        <v>128</v>
      </c>
      <c r="E165" s="203"/>
      <c r="F165" s="203"/>
      <c r="G165" s="203"/>
      <c r="H165" s="203" t="str">
        <f t="shared" ref="H165" si="20">I165&amp;J165&amp;K165&amp;L165</f>
        <v>VDSL Bondingunshared</v>
      </c>
      <c r="I165" s="78" t="s">
        <v>170</v>
      </c>
      <c r="J165" s="78" t="s">
        <v>128</v>
      </c>
      <c r="K165" s="203"/>
      <c r="L165" s="203"/>
      <c r="M165" s="203"/>
      <c r="N165" s="203"/>
    </row>
    <row r="166" spans="1:14">
      <c r="B166" s="290" t="str">
        <f t="shared" si="18"/>
        <v>SDSLunshared</v>
      </c>
      <c r="C166" s="438" t="s">
        <v>64</v>
      </c>
      <c r="D166" s="78" t="s">
        <v>128</v>
      </c>
      <c r="E166" s="203"/>
      <c r="F166" s="203"/>
      <c r="G166" s="203"/>
      <c r="H166" s="203" t="str">
        <f t="shared" si="19"/>
        <v>SDSLunshared</v>
      </c>
      <c r="I166" s="78" t="s">
        <v>64</v>
      </c>
      <c r="J166" s="78" t="s">
        <v>128</v>
      </c>
      <c r="K166" s="203"/>
      <c r="L166" s="203"/>
      <c r="M166" s="203"/>
      <c r="N166" s="203"/>
    </row>
    <row r="167" spans="1:14">
      <c r="B167" s="290" t="str">
        <f t="shared" si="18"/>
        <v>SA IPVPNunshared</v>
      </c>
      <c r="C167" s="438" t="s">
        <v>93</v>
      </c>
      <c r="D167" s="78" t="s">
        <v>128</v>
      </c>
      <c r="E167" s="203"/>
      <c r="F167" s="203"/>
      <c r="G167" s="203"/>
      <c r="H167" s="203" t="str">
        <f t="shared" si="19"/>
        <v>FttHunshared</v>
      </c>
      <c r="I167" s="78" t="s">
        <v>119</v>
      </c>
      <c r="J167" s="78" t="s">
        <v>128</v>
      </c>
      <c r="K167" s="203"/>
      <c r="L167" s="203"/>
      <c r="M167" s="203"/>
      <c r="N167" s="203"/>
    </row>
    <row r="168" spans="1:14">
      <c r="B168" s="203"/>
      <c r="C168" s="203"/>
      <c r="D168" s="203"/>
      <c r="E168" s="203"/>
      <c r="F168" s="203"/>
      <c r="G168" s="203"/>
      <c r="H168" s="203"/>
      <c r="I168" s="203"/>
      <c r="J168" s="203"/>
      <c r="K168" s="203"/>
      <c r="L168" s="203"/>
      <c r="M168" s="203"/>
      <c r="N168" s="203"/>
    </row>
    <row r="169" spans="1:14">
      <c r="A169">
        <v>2</v>
      </c>
      <c r="B169" s="290" t="str">
        <f t="shared" ref="B169:B173" si="21">C169&amp;D169&amp;E169&amp;F169</f>
        <v>ADSL</v>
      </c>
      <c r="C169" s="438" t="s">
        <v>42</v>
      </c>
      <c r="D169" s="78"/>
      <c r="E169" s="78"/>
      <c r="F169" s="203"/>
      <c r="G169" s="203"/>
      <c r="H169" s="203" t="str">
        <f t="shared" ref="H169:H173" si="22">I169&amp;J169&amp;K169&amp;L169</f>
        <v>ADSL</v>
      </c>
      <c r="I169" s="438" t="s">
        <v>42</v>
      </c>
      <c r="J169" s="78"/>
      <c r="K169" s="78"/>
      <c r="L169" s="203"/>
      <c r="M169" s="203"/>
      <c r="N169" s="203"/>
    </row>
    <row r="170" spans="1:14">
      <c r="B170" s="290" t="str">
        <f t="shared" si="21"/>
        <v>VDSL</v>
      </c>
      <c r="C170" s="438" t="s">
        <v>77</v>
      </c>
      <c r="D170" s="78"/>
      <c r="E170" s="78"/>
      <c r="F170" s="203"/>
      <c r="G170" s="203"/>
      <c r="H170" s="203" t="str">
        <f t="shared" si="22"/>
        <v>VDSL</v>
      </c>
      <c r="I170" s="438" t="s">
        <v>77</v>
      </c>
      <c r="J170" s="78"/>
      <c r="K170" s="78"/>
      <c r="L170" s="203"/>
      <c r="M170" s="203"/>
      <c r="N170" s="203"/>
    </row>
    <row r="171" spans="1:14">
      <c r="B171" s="290" t="str">
        <f t="shared" si="21"/>
        <v>VDSL Bonding</v>
      </c>
      <c r="C171" s="438" t="s">
        <v>170</v>
      </c>
      <c r="D171" s="78"/>
      <c r="E171" s="78"/>
      <c r="F171" s="203"/>
      <c r="G171" s="203"/>
      <c r="H171" s="203" t="str">
        <f t="shared" si="22"/>
        <v>VDSL Bonding</v>
      </c>
      <c r="I171" s="438" t="s">
        <v>170</v>
      </c>
      <c r="J171" s="78"/>
      <c r="K171" s="78"/>
      <c r="L171" s="203"/>
      <c r="M171" s="203"/>
      <c r="N171" s="203"/>
    </row>
    <row r="172" spans="1:14">
      <c r="B172" s="290" t="str">
        <f t="shared" si="21"/>
        <v>SDSL</v>
      </c>
      <c r="C172" s="438" t="s">
        <v>64</v>
      </c>
      <c r="D172" s="78"/>
      <c r="E172" s="78"/>
      <c r="F172" s="203"/>
      <c r="G172" s="203"/>
      <c r="H172" s="203" t="str">
        <f t="shared" si="22"/>
        <v>SDSL</v>
      </c>
      <c r="I172" s="438" t="s">
        <v>64</v>
      </c>
      <c r="J172" s="78"/>
      <c r="K172" s="78"/>
      <c r="L172" s="203"/>
      <c r="M172" s="203"/>
      <c r="N172" s="203"/>
    </row>
    <row r="173" spans="1:14">
      <c r="B173" s="290" t="str">
        <f t="shared" si="21"/>
        <v>SA IPVPN</v>
      </c>
      <c r="C173" s="438" t="s">
        <v>93</v>
      </c>
      <c r="D173" s="78"/>
      <c r="E173" s="78"/>
      <c r="F173" s="203"/>
      <c r="G173" s="203"/>
      <c r="H173" s="203" t="str">
        <f t="shared" si="22"/>
        <v>FttH</v>
      </c>
      <c r="I173" s="438" t="s">
        <v>119</v>
      </c>
      <c r="J173" s="78"/>
      <c r="K173" s="78"/>
      <c r="L173" s="203"/>
      <c r="M173" s="203"/>
      <c r="N173" s="203"/>
    </row>
    <row r="174" spans="1:14">
      <c r="B174" s="290"/>
      <c r="C174" s="438"/>
      <c r="D174" s="78"/>
      <c r="E174" s="78"/>
      <c r="F174" s="203"/>
      <c r="G174" s="203"/>
      <c r="H174" s="203"/>
      <c r="I174" s="78"/>
      <c r="J174" s="78"/>
      <c r="K174" s="78"/>
      <c r="L174" s="203"/>
      <c r="M174" s="203"/>
      <c r="N174" s="203"/>
    </row>
    <row r="175" spans="1:14">
      <c r="A175">
        <v>3</v>
      </c>
      <c r="B175" s="290" t="str">
        <f t="shared" ref="B175:B178" si="23">C175&amp;D175&amp;E175&amp;F175</f>
        <v>ADSLNLSx</v>
      </c>
      <c r="C175" s="438" t="s">
        <v>42</v>
      </c>
      <c r="D175" s="78" t="s">
        <v>1335</v>
      </c>
      <c r="E175" s="203"/>
      <c r="F175" s="203"/>
      <c r="G175" s="203"/>
      <c r="H175" s="203" t="str">
        <f t="shared" ref="H175:H178" si="24">I175&amp;J175&amp;K175&amp;L175</f>
        <v>SDFNLSxniet gebruikt</v>
      </c>
      <c r="I175" s="78" t="s">
        <v>1338</v>
      </c>
      <c r="J175" s="78" t="s">
        <v>1335</v>
      </c>
      <c r="K175" s="78" t="s">
        <v>1342</v>
      </c>
      <c r="L175" s="203"/>
      <c r="M175" s="203"/>
      <c r="N175" s="78" t="s">
        <v>1339</v>
      </c>
    </row>
    <row r="176" spans="1:14">
      <c r="B176" s="290" t="str">
        <f t="shared" si="23"/>
        <v>VDSLNLSx</v>
      </c>
      <c r="C176" s="438" t="s">
        <v>77</v>
      </c>
      <c r="D176" s="78" t="s">
        <v>1335</v>
      </c>
      <c r="E176" s="203"/>
      <c r="F176" s="203"/>
      <c r="G176" s="203"/>
      <c r="H176" s="203" t="str">
        <f t="shared" si="24"/>
        <v>SDFNLSxniet gebruikt</v>
      </c>
      <c r="I176" s="78" t="s">
        <v>1338</v>
      </c>
      <c r="J176" s="78" t="s">
        <v>1335</v>
      </c>
      <c r="K176" s="78" t="s">
        <v>1342</v>
      </c>
      <c r="L176" s="203"/>
      <c r="M176" s="203"/>
      <c r="N176" s="78" t="s">
        <v>1339</v>
      </c>
    </row>
    <row r="177" spans="2:14">
      <c r="B177" s="290" t="str">
        <f t="shared" si="23"/>
        <v>VDSL BondingNLSx</v>
      </c>
      <c r="C177" s="438" t="s">
        <v>170</v>
      </c>
      <c r="D177" s="78" t="s">
        <v>1335</v>
      </c>
      <c r="E177" s="203"/>
      <c r="F177" s="203"/>
      <c r="G177" s="203"/>
      <c r="H177" s="203" t="str">
        <f t="shared" si="24"/>
        <v>MDF Pair bondingNLSxniet gebruikt</v>
      </c>
      <c r="I177" s="78" t="s">
        <v>1340</v>
      </c>
      <c r="J177" s="78" t="s">
        <v>1335</v>
      </c>
      <c r="K177" s="78" t="s">
        <v>1342</v>
      </c>
      <c r="L177" s="203"/>
      <c r="M177" s="203"/>
      <c r="N177" s="203"/>
    </row>
    <row r="178" spans="2:14">
      <c r="B178" s="290" t="str">
        <f t="shared" si="23"/>
        <v>SA IPVPNNLSx</v>
      </c>
      <c r="C178" s="438" t="s">
        <v>93</v>
      </c>
      <c r="D178" s="78" t="s">
        <v>1335</v>
      </c>
      <c r="E178" s="203"/>
      <c r="F178" s="203"/>
      <c r="G178" s="203"/>
      <c r="H178" s="203" t="str">
        <f t="shared" si="24"/>
        <v>FttHNLSxniet gebruikt</v>
      </c>
      <c r="I178" s="78" t="s">
        <v>119</v>
      </c>
      <c r="J178" s="78" t="s">
        <v>1335</v>
      </c>
      <c r="K178" s="78" t="s">
        <v>1342</v>
      </c>
      <c r="L178" s="203"/>
      <c r="M178" s="203"/>
      <c r="N178" s="203"/>
    </row>
    <row r="179" spans="2:14">
      <c r="B179" s="290"/>
      <c r="C179" s="438"/>
      <c r="D179" s="78"/>
      <c r="E179" s="203"/>
      <c r="F179" s="203"/>
      <c r="G179" s="203"/>
      <c r="H179" s="203"/>
      <c r="I179" s="78"/>
      <c r="J179" s="78"/>
      <c r="K179" s="78"/>
      <c r="L179" s="203"/>
      <c r="M179" s="203"/>
      <c r="N179" s="203"/>
    </row>
    <row r="180" spans="2:14">
      <c r="B180" s="290" t="str">
        <f t="shared" ref="B180:B183" si="25">C180&amp;D180&amp;E180&amp;F180</f>
        <v>ADSLnew line</v>
      </c>
      <c r="C180" s="438" t="s">
        <v>42</v>
      </c>
      <c r="D180" s="78" t="s">
        <v>428</v>
      </c>
      <c r="E180" s="203"/>
      <c r="F180" s="203"/>
      <c r="G180" s="203"/>
      <c r="H180" s="203" t="str">
        <f t="shared" ref="H180:H183" si="26">I180&amp;J180&amp;K180&amp;L180</f>
        <v>SDFnew line</v>
      </c>
      <c r="I180" s="78" t="s">
        <v>1338</v>
      </c>
      <c r="J180" s="78" t="s">
        <v>428</v>
      </c>
      <c r="K180" s="78"/>
      <c r="L180" s="203"/>
      <c r="M180" s="203"/>
      <c r="N180" s="203"/>
    </row>
    <row r="181" spans="2:14">
      <c r="B181" s="290" t="str">
        <f t="shared" si="25"/>
        <v>VDSLnew line</v>
      </c>
      <c r="C181" s="438" t="s">
        <v>77</v>
      </c>
      <c r="D181" s="78" t="s">
        <v>428</v>
      </c>
      <c r="E181" s="203"/>
      <c r="F181" s="203"/>
      <c r="G181" s="203"/>
      <c r="H181" s="203" t="str">
        <f t="shared" si="26"/>
        <v>SDFnew line</v>
      </c>
      <c r="I181" s="78" t="s">
        <v>1338</v>
      </c>
      <c r="J181" s="78" t="s">
        <v>428</v>
      </c>
      <c r="K181" s="78"/>
      <c r="L181" s="203"/>
      <c r="M181" s="203"/>
      <c r="N181" s="203"/>
    </row>
    <row r="182" spans="2:14">
      <c r="B182" s="290" t="str">
        <f t="shared" si="25"/>
        <v>VDSL Bondingnew line</v>
      </c>
      <c r="C182" s="438" t="s">
        <v>170</v>
      </c>
      <c r="D182" s="78" t="s">
        <v>428</v>
      </c>
      <c r="E182" s="203"/>
      <c r="F182" s="203"/>
      <c r="G182" s="203"/>
      <c r="H182" s="203" t="str">
        <f t="shared" si="26"/>
        <v>MDF Pair bondingnew line</v>
      </c>
      <c r="I182" s="78" t="s">
        <v>1340</v>
      </c>
      <c r="J182" s="78" t="s">
        <v>428</v>
      </c>
      <c r="K182" s="78"/>
      <c r="L182" s="203"/>
      <c r="M182" s="203"/>
      <c r="N182" s="203"/>
    </row>
    <row r="183" spans="2:14">
      <c r="B183" s="290" t="str">
        <f t="shared" si="25"/>
        <v>SA IPVPNnew line</v>
      </c>
      <c r="C183" s="438" t="s">
        <v>93</v>
      </c>
      <c r="D183" s="78" t="s">
        <v>428</v>
      </c>
      <c r="E183" s="203"/>
      <c r="F183" s="203"/>
      <c r="G183" s="203"/>
      <c r="H183" s="203" t="str">
        <f t="shared" si="26"/>
        <v>FttHnew line</v>
      </c>
      <c r="I183" s="78" t="s">
        <v>119</v>
      </c>
      <c r="J183" s="78" t="s">
        <v>428</v>
      </c>
      <c r="K183" s="78"/>
      <c r="L183" s="203"/>
      <c r="M183" s="203"/>
      <c r="N183" s="203"/>
    </row>
    <row r="184" spans="2:14">
      <c r="B184" s="290"/>
      <c r="C184" s="438"/>
      <c r="D184" s="78"/>
      <c r="E184" s="203"/>
      <c r="F184" s="203"/>
      <c r="G184" s="203"/>
      <c r="H184" s="203"/>
      <c r="I184" s="78"/>
      <c r="J184" s="78"/>
      <c r="K184" s="78"/>
      <c r="L184" s="203"/>
      <c r="M184" s="203"/>
      <c r="N184" s="203"/>
    </row>
    <row r="185" spans="2:14">
      <c r="B185" s="290" t="str">
        <f t="shared" ref="B185:B186" si="27">C185&amp;D185&amp;E185&amp;F185</f>
        <v>ADSLbestaand</v>
      </c>
      <c r="C185" s="438" t="s">
        <v>42</v>
      </c>
      <c r="D185" s="78" t="s">
        <v>124</v>
      </c>
      <c r="E185" s="203"/>
      <c r="F185" s="203"/>
      <c r="G185" s="203"/>
      <c r="H185" s="203" t="str">
        <f t="shared" ref="H185:H186" si="28">I185&amp;J185&amp;K185&amp;L185</f>
        <v>SDFbestaand</v>
      </c>
      <c r="I185" s="78" t="s">
        <v>1338</v>
      </c>
      <c r="J185" s="78" t="s">
        <v>124</v>
      </c>
      <c r="K185" s="78"/>
      <c r="L185" s="203"/>
      <c r="M185" s="203"/>
      <c r="N185" s="203"/>
    </row>
    <row r="186" spans="2:14">
      <c r="B186" s="290" t="str">
        <f t="shared" si="27"/>
        <v>VDSLbestaand</v>
      </c>
      <c r="C186" s="438" t="s">
        <v>77</v>
      </c>
      <c r="D186" s="78" t="s">
        <v>124</v>
      </c>
      <c r="E186" s="203"/>
      <c r="F186" s="203"/>
      <c r="G186" s="203"/>
      <c r="H186" s="203" t="str">
        <f t="shared" si="28"/>
        <v>SDFbestaand</v>
      </c>
      <c r="I186" s="78" t="s">
        <v>1338</v>
      </c>
      <c r="J186" s="78" t="s">
        <v>124</v>
      </c>
      <c r="K186" s="78"/>
      <c r="L186" s="203"/>
      <c r="M186" s="203"/>
      <c r="N186" s="203"/>
    </row>
    <row r="187" spans="2:14">
      <c r="B187" s="290"/>
      <c r="C187" s="438"/>
      <c r="D187" s="78"/>
      <c r="E187" s="78"/>
      <c r="F187" s="203"/>
      <c r="G187" s="203"/>
      <c r="H187" s="203"/>
      <c r="I187" s="78"/>
      <c r="J187" s="78"/>
      <c r="K187" s="78"/>
      <c r="L187" s="203"/>
      <c r="M187" s="203"/>
      <c r="N187" s="203"/>
    </row>
    <row r="188" spans="2:14">
      <c r="B188" s="458" t="s">
        <v>36</v>
      </c>
      <c r="C188" s="459" t="s">
        <v>39</v>
      </c>
      <c r="D188" s="203"/>
      <c r="E188" s="203"/>
      <c r="F188" s="203"/>
      <c r="G188" s="203"/>
      <c r="H188" s="270" t="s">
        <v>40</v>
      </c>
      <c r="I188" s="270" t="s">
        <v>120</v>
      </c>
      <c r="J188" s="203"/>
      <c r="K188" s="203"/>
      <c r="L188" s="203"/>
      <c r="M188" s="203"/>
      <c r="N188" s="203"/>
    </row>
    <row r="189" spans="2:14">
      <c r="B189" s="112" t="str">
        <f t="shared" ref="B189:B192" si="29">C189&amp;D189&amp;E189&amp;F189</f>
        <v>Basic</v>
      </c>
      <c r="C189" s="77" t="s">
        <v>44</v>
      </c>
      <c r="H189" t="str">
        <f t="shared" ref="H189:H191" si="30">I189&amp;J189&amp;K189&amp;L189</f>
        <v>WBA CM Ethernet</v>
      </c>
      <c r="I189" s="76" t="s">
        <v>121</v>
      </c>
    </row>
    <row r="190" spans="2:14">
      <c r="B190" s="112" t="str">
        <f t="shared" si="29"/>
        <v>Entry</v>
      </c>
      <c r="C190" s="77" t="s">
        <v>78</v>
      </c>
      <c r="H190" t="str">
        <f t="shared" si="30"/>
        <v>WBA CM Ethernet</v>
      </c>
      <c r="I190" s="76" t="s">
        <v>121</v>
      </c>
    </row>
    <row r="191" spans="2:14">
      <c r="B191" s="112" t="str">
        <f t="shared" si="29"/>
        <v>Premium</v>
      </c>
      <c r="C191" s="121" t="s">
        <v>70</v>
      </c>
      <c r="H191" t="str">
        <f t="shared" si="30"/>
        <v>WBA ZM Ethernet</v>
      </c>
      <c r="I191" s="76" t="s">
        <v>122</v>
      </c>
    </row>
    <row r="192" spans="2:14">
      <c r="B192" s="112" t="str">
        <f t="shared" si="29"/>
        <v>Add</v>
      </c>
      <c r="C192" s="121" t="s">
        <v>103</v>
      </c>
      <c r="H192" t="str">
        <f t="shared" ref="H192" si="31">I192&amp;J192&amp;K192&amp;L192</f>
        <v>WBA CM Ethernet</v>
      </c>
      <c r="I192" s="76" t="s">
        <v>121</v>
      </c>
    </row>
    <row r="193" spans="2:13">
      <c r="C193" s="77"/>
    </row>
    <row r="194" spans="2:13">
      <c r="B194" s="122" t="s">
        <v>123</v>
      </c>
      <c r="C194" s="77"/>
    </row>
    <row r="195" spans="2:13">
      <c r="B195" s="122"/>
      <c r="C195" s="77"/>
    </row>
    <row r="196" spans="2:13">
      <c r="B196" s="73" t="s">
        <v>36</v>
      </c>
      <c r="C196" s="77"/>
      <c r="H196" s="106" t="s">
        <v>40</v>
      </c>
    </row>
    <row r="197" spans="2:13">
      <c r="B197" s="112" t="str">
        <f t="shared" ref="B197:B198" si="32">C197&amp;D197&amp;E197&amp;F197</f>
        <v>bestaand</v>
      </c>
      <c r="C197" s="75" t="s">
        <v>124</v>
      </c>
      <c r="H197" t="str">
        <f t="shared" ref="H197" si="33">I197&amp;J197&amp;K197&amp;L197</f>
        <v>nvt</v>
      </c>
      <c r="I197" s="75" t="s">
        <v>115</v>
      </c>
    </row>
    <row r="198" spans="2:13">
      <c r="B198" s="112" t="str">
        <f t="shared" si="32"/>
        <v>nieuw</v>
      </c>
      <c r="C198" s="75" t="s">
        <v>125</v>
      </c>
      <c r="H198" t="str">
        <f t="shared" ref="H198" si="34">I198&amp;J198&amp;K198&amp;L198</f>
        <v>New line</v>
      </c>
      <c r="I198" s="75" t="s">
        <v>126</v>
      </c>
    </row>
    <row r="199" spans="2:13">
      <c r="C199" s="77"/>
      <c r="I199" s="75"/>
    </row>
    <row r="201" spans="2:13" ht="18">
      <c r="B201" s="83" t="s">
        <v>129</v>
      </c>
      <c r="C201" s="71"/>
      <c r="D201" s="63"/>
      <c r="E201" s="63"/>
    </row>
    <row r="202" spans="2:13">
      <c r="B202" s="460"/>
      <c r="C202" s="459"/>
      <c r="D202" s="459"/>
      <c r="E202" s="459"/>
      <c r="F202" s="203"/>
      <c r="G202" s="203"/>
      <c r="H202" s="203"/>
      <c r="I202" s="203"/>
      <c r="J202" s="203"/>
      <c r="K202" s="203"/>
      <c r="L202" s="203"/>
    </row>
    <row r="203" spans="2:13">
      <c r="B203" s="458" t="s">
        <v>36</v>
      </c>
      <c r="C203" s="458" t="s">
        <v>37</v>
      </c>
      <c r="D203" s="458" t="s">
        <v>39</v>
      </c>
      <c r="E203" s="458" t="s">
        <v>130</v>
      </c>
      <c r="F203" s="203"/>
      <c r="G203" s="203"/>
      <c r="H203" s="461" t="s">
        <v>40</v>
      </c>
      <c r="I203" s="462" t="s">
        <v>120</v>
      </c>
      <c r="J203" s="462" t="s">
        <v>37</v>
      </c>
      <c r="K203" s="462" t="s">
        <v>502</v>
      </c>
    </row>
    <row r="204" spans="2:13" s="203" customFormat="1">
      <c r="B204" s="74" t="str">
        <f t="shared" ref="B204:B234" si="35">C204&amp;D204&amp;E204&amp;F204</f>
        <v>ADSLBasicwinkeluren</v>
      </c>
      <c r="C204" s="438" t="s">
        <v>42</v>
      </c>
      <c r="D204" s="121" t="s">
        <v>44</v>
      </c>
      <c r="E204" s="438" t="s">
        <v>131</v>
      </c>
      <c r="H204" s="203" t="str">
        <f>I204&amp;J204&amp;K204</f>
        <v>WBA CM EthernetADSL7x24</v>
      </c>
      <c r="I204" s="78" t="s">
        <v>121</v>
      </c>
      <c r="J204" s="438" t="s">
        <v>42</v>
      </c>
      <c r="K204" s="78" t="s">
        <v>34</v>
      </c>
      <c r="M204"/>
    </row>
    <row r="205" spans="2:13" s="203" customFormat="1">
      <c r="B205" s="74" t="str">
        <f t="shared" si="35"/>
        <v>ADSLPremiumwinkeluren</v>
      </c>
      <c r="C205" s="438" t="s">
        <v>42</v>
      </c>
      <c r="D205" s="121" t="s">
        <v>70</v>
      </c>
      <c r="E205" s="438" t="s">
        <v>131</v>
      </c>
      <c r="H205" s="203" t="str">
        <f t="shared" ref="H205:H223" si="36">I205&amp;J205&amp;K205</f>
        <v>WBA ZM EthernetADSL7x24</v>
      </c>
      <c r="I205" s="78" t="s">
        <v>122</v>
      </c>
      <c r="J205" s="438" t="s">
        <v>42</v>
      </c>
      <c r="K205" s="78" t="s">
        <v>34</v>
      </c>
      <c r="M205"/>
    </row>
    <row r="206" spans="2:13" s="203" customFormat="1">
      <c r="B206" s="74" t="str">
        <f t="shared" si="35"/>
        <v>ADSLBasic7x24</v>
      </c>
      <c r="C206" s="438" t="s">
        <v>42</v>
      </c>
      <c r="D206" s="121" t="s">
        <v>44</v>
      </c>
      <c r="E206" s="438" t="s">
        <v>34</v>
      </c>
      <c r="H206" s="203" t="str">
        <f t="shared" si="36"/>
        <v>WBA CM EthernetADSL7x24</v>
      </c>
      <c r="I206" s="78" t="s">
        <v>121</v>
      </c>
      <c r="J206" s="438" t="s">
        <v>42</v>
      </c>
      <c r="K206" s="78" t="s">
        <v>34</v>
      </c>
      <c r="M206"/>
    </row>
    <row r="207" spans="2:13" s="203" customFormat="1">
      <c r="B207" s="74" t="str">
        <f t="shared" si="35"/>
        <v>ADSLPremium7x24</v>
      </c>
      <c r="C207" s="438" t="s">
        <v>42</v>
      </c>
      <c r="D207" s="121" t="s">
        <v>70</v>
      </c>
      <c r="E207" s="438" t="s">
        <v>34</v>
      </c>
      <c r="H207" s="203" t="str">
        <f t="shared" si="36"/>
        <v>WBA ZM EthernetADSL7x24</v>
      </c>
      <c r="I207" s="78" t="s">
        <v>122</v>
      </c>
      <c r="J207" s="438" t="s">
        <v>42</v>
      </c>
      <c r="K207" s="78" t="s">
        <v>34</v>
      </c>
      <c r="M207"/>
    </row>
    <row r="208" spans="2:13" s="203" customFormat="1">
      <c r="B208" s="74" t="str">
        <f t="shared" si="35"/>
        <v>SDSLBasicwinkeluren</v>
      </c>
      <c r="C208" s="438" t="s">
        <v>64</v>
      </c>
      <c r="D208" s="121" t="s">
        <v>44</v>
      </c>
      <c r="E208" s="438" t="s">
        <v>131</v>
      </c>
      <c r="H208" s="203" t="str">
        <f t="shared" si="36"/>
        <v>WBA CM EthernetSDSL7x24</v>
      </c>
      <c r="I208" s="78" t="s">
        <v>121</v>
      </c>
      <c r="J208" s="438" t="s">
        <v>64</v>
      </c>
      <c r="K208" s="78" t="s">
        <v>34</v>
      </c>
      <c r="M208"/>
    </row>
    <row r="209" spans="2:13" s="203" customFormat="1">
      <c r="B209" s="74" t="str">
        <f t="shared" si="35"/>
        <v>SDSLPremiumwinkeluren</v>
      </c>
      <c r="C209" s="438" t="s">
        <v>64</v>
      </c>
      <c r="D209" s="121" t="s">
        <v>70</v>
      </c>
      <c r="E209" s="438" t="s">
        <v>131</v>
      </c>
      <c r="H209" s="203" t="str">
        <f t="shared" si="36"/>
        <v>WBA ZM EthernetSDSL7x24</v>
      </c>
      <c r="I209" s="78" t="s">
        <v>122</v>
      </c>
      <c r="J209" s="438" t="s">
        <v>64</v>
      </c>
      <c r="K209" s="78" t="s">
        <v>34</v>
      </c>
      <c r="M209"/>
    </row>
    <row r="210" spans="2:13" s="203" customFormat="1">
      <c r="B210" s="74" t="str">
        <f t="shared" si="35"/>
        <v>SDSLBasic7x24</v>
      </c>
      <c r="C210" s="438" t="s">
        <v>64</v>
      </c>
      <c r="D210" s="121" t="s">
        <v>44</v>
      </c>
      <c r="E210" s="438" t="s">
        <v>34</v>
      </c>
      <c r="H210" s="203" t="str">
        <f t="shared" si="36"/>
        <v>WBA CM EthernetSDSL7x24</v>
      </c>
      <c r="I210" s="78" t="s">
        <v>121</v>
      </c>
      <c r="J210" s="438" t="s">
        <v>64</v>
      </c>
      <c r="K210" s="78" t="s">
        <v>34</v>
      </c>
      <c r="M210"/>
    </row>
    <row r="211" spans="2:13" s="203" customFormat="1">
      <c r="B211" s="74" t="str">
        <f t="shared" si="35"/>
        <v>SDSLPremium7x24</v>
      </c>
      <c r="C211" s="438" t="s">
        <v>64</v>
      </c>
      <c r="D211" s="121" t="s">
        <v>70</v>
      </c>
      <c r="E211" s="438" t="s">
        <v>34</v>
      </c>
      <c r="H211" s="203" t="str">
        <f t="shared" si="36"/>
        <v>WBA ZM EthernetSDSL7x24</v>
      </c>
      <c r="I211" s="78" t="s">
        <v>122</v>
      </c>
      <c r="J211" s="438" t="s">
        <v>64</v>
      </c>
      <c r="K211" s="78" t="s">
        <v>34</v>
      </c>
      <c r="M211"/>
    </row>
    <row r="212" spans="2:13" s="203" customFormat="1">
      <c r="B212" s="74" t="str">
        <f t="shared" si="35"/>
        <v>VDSLEntrywinkeluren</v>
      </c>
      <c r="C212" s="438" t="s">
        <v>77</v>
      </c>
      <c r="D212" s="121" t="s">
        <v>78</v>
      </c>
      <c r="E212" s="438" t="s">
        <v>131</v>
      </c>
      <c r="H212" s="203" t="str">
        <f t="shared" si="36"/>
        <v>WBA CM EthernetVDSL7x24</v>
      </c>
      <c r="I212" s="78" t="s">
        <v>121</v>
      </c>
      <c r="J212" s="438" t="s">
        <v>77</v>
      </c>
      <c r="K212" s="78" t="s">
        <v>34</v>
      </c>
      <c r="M212"/>
    </row>
    <row r="213" spans="2:13" s="203" customFormat="1">
      <c r="B213" s="74" t="str">
        <f t="shared" si="35"/>
        <v>VDSLPremiumwinkeluren</v>
      </c>
      <c r="C213" s="438" t="s">
        <v>77</v>
      </c>
      <c r="D213" s="121" t="s">
        <v>70</v>
      </c>
      <c r="E213" s="438" t="s">
        <v>131</v>
      </c>
      <c r="H213" s="203" t="str">
        <f t="shared" si="36"/>
        <v>WBA ZM EthernetVDSL7x24</v>
      </c>
      <c r="I213" s="78" t="s">
        <v>122</v>
      </c>
      <c r="J213" s="438" t="s">
        <v>77</v>
      </c>
      <c r="K213" s="78" t="s">
        <v>34</v>
      </c>
      <c r="M213"/>
    </row>
    <row r="214" spans="2:13" s="203" customFormat="1">
      <c r="B214" s="74" t="str">
        <f t="shared" si="35"/>
        <v>VDSLEntry7x24</v>
      </c>
      <c r="C214" s="438" t="s">
        <v>77</v>
      </c>
      <c r="D214" s="121" t="s">
        <v>78</v>
      </c>
      <c r="E214" s="438" t="s">
        <v>34</v>
      </c>
      <c r="H214" s="203" t="str">
        <f t="shared" si="36"/>
        <v>WBA CM EthernetVDSL7x24</v>
      </c>
      <c r="I214" s="78" t="s">
        <v>121</v>
      </c>
      <c r="J214" s="438" t="s">
        <v>77</v>
      </c>
      <c r="K214" s="78" t="s">
        <v>34</v>
      </c>
      <c r="M214"/>
    </row>
    <row r="215" spans="2:13" s="203" customFormat="1">
      <c r="B215" s="74" t="str">
        <f t="shared" si="35"/>
        <v>VDSLPremium7x24</v>
      </c>
      <c r="C215" s="438" t="s">
        <v>77</v>
      </c>
      <c r="D215" s="121" t="s">
        <v>70</v>
      </c>
      <c r="E215" s="438" t="s">
        <v>34</v>
      </c>
      <c r="H215" s="203" t="str">
        <f t="shared" si="36"/>
        <v>WBA ZM EthernetVDSL7x24</v>
      </c>
      <c r="I215" s="78" t="s">
        <v>122</v>
      </c>
      <c r="J215" s="438" t="s">
        <v>77</v>
      </c>
      <c r="K215" s="78" t="s">
        <v>34</v>
      </c>
      <c r="M215"/>
    </row>
    <row r="216" spans="2:13" s="203" customFormat="1">
      <c r="B216" s="74" t="str">
        <f t="shared" si="35"/>
        <v>VDSL BondingEntrywinkeluren</v>
      </c>
      <c r="C216" s="438" t="s">
        <v>170</v>
      </c>
      <c r="D216" s="121" t="s">
        <v>78</v>
      </c>
      <c r="E216" s="438" t="s">
        <v>131</v>
      </c>
      <c r="H216" s="203" t="str">
        <f t="shared" si="36"/>
        <v>WBA CM EthernetVDSL7x24</v>
      </c>
      <c r="I216" s="78" t="s">
        <v>121</v>
      </c>
      <c r="J216" s="438" t="s">
        <v>77</v>
      </c>
      <c r="K216" s="78" t="s">
        <v>34</v>
      </c>
      <c r="M216"/>
    </row>
    <row r="217" spans="2:13" s="203" customFormat="1">
      <c r="B217" s="74" t="str">
        <f t="shared" si="35"/>
        <v>VDSL BondingPremiumwinkeluren</v>
      </c>
      <c r="C217" s="438" t="s">
        <v>170</v>
      </c>
      <c r="D217" s="121" t="s">
        <v>70</v>
      </c>
      <c r="E217" s="438" t="s">
        <v>131</v>
      </c>
      <c r="H217" s="203" t="str">
        <f t="shared" si="36"/>
        <v>WBA ZM EthernetVDSL7x24</v>
      </c>
      <c r="I217" s="78" t="s">
        <v>122</v>
      </c>
      <c r="J217" s="438" t="s">
        <v>77</v>
      </c>
      <c r="K217" s="78" t="s">
        <v>34</v>
      </c>
      <c r="M217"/>
    </row>
    <row r="218" spans="2:13" s="203" customFormat="1">
      <c r="B218" s="74" t="str">
        <f t="shared" si="35"/>
        <v>VDSL BondingEntry7x24</v>
      </c>
      <c r="C218" s="438" t="s">
        <v>170</v>
      </c>
      <c r="D218" s="121" t="s">
        <v>78</v>
      </c>
      <c r="E218" s="438" t="s">
        <v>34</v>
      </c>
      <c r="H218" s="203" t="str">
        <f t="shared" si="36"/>
        <v>WBA CM EthernetVDSL7x24</v>
      </c>
      <c r="I218" s="78" t="s">
        <v>121</v>
      </c>
      <c r="J218" s="438" t="s">
        <v>77</v>
      </c>
      <c r="K218" s="78" t="s">
        <v>34</v>
      </c>
      <c r="M218"/>
    </row>
    <row r="219" spans="2:13" s="203" customFormat="1">
      <c r="B219" s="74" t="str">
        <f t="shared" si="35"/>
        <v>VDSL BondingPremium7x24</v>
      </c>
      <c r="C219" s="438" t="s">
        <v>170</v>
      </c>
      <c r="D219" s="121" t="s">
        <v>70</v>
      </c>
      <c r="E219" s="438" t="s">
        <v>34</v>
      </c>
      <c r="H219" s="203" t="str">
        <f t="shared" si="36"/>
        <v>WBA ZM EthernetVDSL7x24</v>
      </c>
      <c r="I219" s="78" t="s">
        <v>122</v>
      </c>
      <c r="J219" s="438" t="s">
        <v>77</v>
      </c>
      <c r="K219" s="78" t="s">
        <v>34</v>
      </c>
      <c r="M219"/>
    </row>
    <row r="220" spans="2:13" s="203" customFormat="1">
      <c r="B220" s="74" t="str">
        <f t="shared" si="35"/>
        <v>SA IPVPNEntrywinkeluren</v>
      </c>
      <c r="C220" s="438" t="s">
        <v>93</v>
      </c>
      <c r="D220" s="121" t="s">
        <v>78</v>
      </c>
      <c r="E220" s="438" t="s">
        <v>131</v>
      </c>
      <c r="H220" s="203" t="str">
        <f t="shared" si="36"/>
        <v>WBA CM EthernetFttH7x24</v>
      </c>
      <c r="I220" s="78" t="s">
        <v>121</v>
      </c>
      <c r="J220" s="438" t="s">
        <v>119</v>
      </c>
      <c r="K220" s="78" t="s">
        <v>34</v>
      </c>
      <c r="M220"/>
    </row>
    <row r="221" spans="2:13" s="203" customFormat="1">
      <c r="B221" s="74" t="str">
        <f t="shared" si="35"/>
        <v>SA IPVPNPremiumwinkeluren</v>
      </c>
      <c r="C221" s="438" t="s">
        <v>93</v>
      </c>
      <c r="D221" s="121" t="s">
        <v>70</v>
      </c>
      <c r="E221" s="438" t="s">
        <v>131</v>
      </c>
      <c r="H221" s="203" t="str">
        <f t="shared" si="36"/>
        <v>WBA ZM EthernetFttH7x24</v>
      </c>
      <c r="I221" s="78" t="s">
        <v>122</v>
      </c>
      <c r="J221" s="438" t="s">
        <v>119</v>
      </c>
      <c r="K221" s="78" t="s">
        <v>34</v>
      </c>
      <c r="M221"/>
    </row>
    <row r="222" spans="2:13" s="203" customFormat="1">
      <c r="B222" s="74" t="str">
        <f t="shared" si="35"/>
        <v>SA IPVPNEntry7x24</v>
      </c>
      <c r="C222" s="438" t="s">
        <v>93</v>
      </c>
      <c r="D222" s="121" t="s">
        <v>78</v>
      </c>
      <c r="E222" s="438" t="s">
        <v>34</v>
      </c>
      <c r="H222" s="203" t="str">
        <f t="shared" si="36"/>
        <v>WBA CM EthernetFttH7x24</v>
      </c>
      <c r="I222" s="78" t="s">
        <v>121</v>
      </c>
      <c r="J222" s="438" t="s">
        <v>119</v>
      </c>
      <c r="K222" s="78" t="s">
        <v>34</v>
      </c>
      <c r="M222"/>
    </row>
    <row r="223" spans="2:13" s="203" customFormat="1">
      <c r="B223" s="74" t="str">
        <f t="shared" si="35"/>
        <v>SA IPVPNPremium7x24</v>
      </c>
      <c r="C223" s="438" t="s">
        <v>93</v>
      </c>
      <c r="D223" s="121" t="s">
        <v>70</v>
      </c>
      <c r="E223" s="438" t="s">
        <v>34</v>
      </c>
      <c r="H223" s="203" t="str">
        <f t="shared" si="36"/>
        <v>WBA ZM EthernetFttH7x24</v>
      </c>
      <c r="I223" s="78" t="s">
        <v>122</v>
      </c>
      <c r="J223" s="438" t="s">
        <v>119</v>
      </c>
      <c r="K223" s="78" t="s">
        <v>34</v>
      </c>
      <c r="M223"/>
    </row>
    <row r="224" spans="2:13" s="203" customFormat="1">
      <c r="B224" s="74"/>
      <c r="C224" s="438"/>
      <c r="D224" s="121"/>
      <c r="E224" s="438"/>
      <c r="I224" s="78"/>
      <c r="J224" s="438"/>
      <c r="K224" s="78"/>
      <c r="M224"/>
    </row>
    <row r="225" spans="2:13" s="203" customFormat="1">
      <c r="B225" s="74" t="str">
        <f t="shared" si="35"/>
        <v>ADSLEntrykantooruren</v>
      </c>
      <c r="C225" s="438" t="s">
        <v>42</v>
      </c>
      <c r="D225" s="121" t="s">
        <v>78</v>
      </c>
      <c r="E225" s="438" t="s">
        <v>1250</v>
      </c>
      <c r="H225" s="203" t="str">
        <f t="shared" ref="H225:H234" si="37">I225&amp;J225&amp;K225</f>
        <v>WBA CM EthernetADSLStandard</v>
      </c>
      <c r="I225" s="78" t="s">
        <v>121</v>
      </c>
      <c r="J225" s="438" t="s">
        <v>42</v>
      </c>
      <c r="K225" s="78" t="s">
        <v>498</v>
      </c>
      <c r="M225"/>
    </row>
    <row r="226" spans="2:13" s="203" customFormat="1">
      <c r="B226" s="74" t="str">
        <f t="shared" si="35"/>
        <v>ADSLPremiumkantooruren</v>
      </c>
      <c r="C226" s="438" t="s">
        <v>42</v>
      </c>
      <c r="D226" s="121" t="s">
        <v>70</v>
      </c>
      <c r="E226" s="438" t="s">
        <v>1250</v>
      </c>
      <c r="H226" s="203" t="str">
        <f t="shared" si="37"/>
        <v>WBA ZM EthernetADSLStandard</v>
      </c>
      <c r="I226" s="78" t="s">
        <v>122</v>
      </c>
      <c r="J226" s="438" t="s">
        <v>42</v>
      </c>
      <c r="K226" s="78" t="s">
        <v>498</v>
      </c>
      <c r="M226"/>
    </row>
    <row r="227" spans="2:13" s="203" customFormat="1">
      <c r="B227" s="74" t="str">
        <f t="shared" si="35"/>
        <v>SDSLEntrykantooruren</v>
      </c>
      <c r="C227" s="438" t="s">
        <v>64</v>
      </c>
      <c r="D227" s="121" t="s">
        <v>78</v>
      </c>
      <c r="E227" s="438" t="s">
        <v>1250</v>
      </c>
      <c r="H227" s="203" t="str">
        <f t="shared" si="37"/>
        <v>WBA CM EthernetSDSLStandard</v>
      </c>
      <c r="I227" s="78" t="s">
        <v>121</v>
      </c>
      <c r="J227" s="438" t="s">
        <v>64</v>
      </c>
      <c r="K227" s="78" t="s">
        <v>498</v>
      </c>
      <c r="M227"/>
    </row>
    <row r="228" spans="2:13" s="203" customFormat="1">
      <c r="B228" s="74" t="str">
        <f t="shared" si="35"/>
        <v>SDSLPremiumkantooruren</v>
      </c>
      <c r="C228" s="438" t="s">
        <v>64</v>
      </c>
      <c r="D228" s="121" t="s">
        <v>70</v>
      </c>
      <c r="E228" s="438" t="s">
        <v>1250</v>
      </c>
      <c r="H228" s="203" t="str">
        <f t="shared" si="37"/>
        <v>WBA ZM EthernetSDSLStandard</v>
      </c>
      <c r="I228" s="78" t="s">
        <v>122</v>
      </c>
      <c r="J228" s="438" t="s">
        <v>64</v>
      </c>
      <c r="K228" s="78" t="s">
        <v>498</v>
      </c>
      <c r="M228"/>
    </row>
    <row r="229" spans="2:13" s="203" customFormat="1">
      <c r="B229" s="74" t="str">
        <f t="shared" si="35"/>
        <v>VDSLEntrykantooruren</v>
      </c>
      <c r="C229" s="438" t="s">
        <v>77</v>
      </c>
      <c r="D229" s="121" t="s">
        <v>78</v>
      </c>
      <c r="E229" s="438" t="s">
        <v>1250</v>
      </c>
      <c r="H229" s="203" t="str">
        <f t="shared" si="37"/>
        <v>WBA CM EthernetVDSLStandard</v>
      </c>
      <c r="I229" s="78" t="s">
        <v>121</v>
      </c>
      <c r="J229" s="438" t="s">
        <v>77</v>
      </c>
      <c r="K229" s="78" t="s">
        <v>498</v>
      </c>
      <c r="M229"/>
    </row>
    <row r="230" spans="2:13" s="203" customFormat="1">
      <c r="B230" s="74" t="str">
        <f t="shared" si="35"/>
        <v>VDSLPremiumkantooruren</v>
      </c>
      <c r="C230" s="438" t="s">
        <v>77</v>
      </c>
      <c r="D230" s="121" t="s">
        <v>70</v>
      </c>
      <c r="E230" s="438" t="s">
        <v>1250</v>
      </c>
      <c r="H230" s="203" t="str">
        <f t="shared" si="37"/>
        <v>WBA ZM EthernetVDSLStandard</v>
      </c>
      <c r="I230" s="78" t="s">
        <v>122</v>
      </c>
      <c r="J230" s="438" t="s">
        <v>77</v>
      </c>
      <c r="K230" s="78" t="s">
        <v>498</v>
      </c>
      <c r="M230"/>
    </row>
    <row r="231" spans="2:13" s="203" customFormat="1">
      <c r="B231" s="74" t="str">
        <f t="shared" si="35"/>
        <v>VDSL BondingEntrykantooruren</v>
      </c>
      <c r="C231" s="438" t="s">
        <v>170</v>
      </c>
      <c r="D231" s="121" t="s">
        <v>78</v>
      </c>
      <c r="E231" s="438" t="s">
        <v>1250</v>
      </c>
      <c r="H231" s="203" t="str">
        <f t="shared" si="37"/>
        <v>WBA CM EthernetVDSLStandard</v>
      </c>
      <c r="I231" s="78" t="s">
        <v>121</v>
      </c>
      <c r="J231" s="438" t="s">
        <v>77</v>
      </c>
      <c r="K231" s="78" t="s">
        <v>498</v>
      </c>
      <c r="M231"/>
    </row>
    <row r="232" spans="2:13" s="203" customFormat="1">
      <c r="B232" s="74" t="str">
        <f t="shared" si="35"/>
        <v>VDSL BondingPremiumkantooruren</v>
      </c>
      <c r="C232" s="438" t="s">
        <v>170</v>
      </c>
      <c r="D232" s="121" t="s">
        <v>70</v>
      </c>
      <c r="E232" s="438" t="s">
        <v>1250</v>
      </c>
      <c r="H232" s="203" t="str">
        <f t="shared" si="37"/>
        <v>WBA ZM EthernetVDSLStandard</v>
      </c>
      <c r="I232" s="78" t="s">
        <v>122</v>
      </c>
      <c r="J232" s="438" t="s">
        <v>77</v>
      </c>
      <c r="K232" s="78" t="s">
        <v>498</v>
      </c>
      <c r="M232"/>
    </row>
    <row r="233" spans="2:13" s="203" customFormat="1">
      <c r="B233" s="74" t="str">
        <f t="shared" si="35"/>
        <v>SA IPVPNEntrykantooruren</v>
      </c>
      <c r="C233" s="438" t="s">
        <v>93</v>
      </c>
      <c r="D233" s="121" t="s">
        <v>78</v>
      </c>
      <c r="E233" s="438" t="s">
        <v>1250</v>
      </c>
      <c r="H233" s="203" t="str">
        <f t="shared" si="37"/>
        <v>WBA CM EthernetFttHStandard</v>
      </c>
      <c r="I233" s="78" t="s">
        <v>121</v>
      </c>
      <c r="J233" s="438" t="s">
        <v>119</v>
      </c>
      <c r="K233" s="78" t="s">
        <v>498</v>
      </c>
      <c r="M233"/>
    </row>
    <row r="234" spans="2:13" s="203" customFormat="1">
      <c r="B234" s="74" t="str">
        <f t="shared" si="35"/>
        <v>SA IPVPNPremiumkantooruren</v>
      </c>
      <c r="C234" s="438" t="s">
        <v>93</v>
      </c>
      <c r="D234" s="121" t="s">
        <v>70</v>
      </c>
      <c r="E234" s="438" t="s">
        <v>1250</v>
      </c>
      <c r="H234" s="203" t="str">
        <f t="shared" si="37"/>
        <v>WBA ZM EthernetFttHStandard</v>
      </c>
      <c r="I234" s="78" t="s">
        <v>122</v>
      </c>
      <c r="J234" s="438" t="s">
        <v>119</v>
      </c>
      <c r="K234" s="78" t="s">
        <v>498</v>
      </c>
      <c r="M234"/>
    </row>
    <row r="235" spans="2:13" s="203" customFormat="1">
      <c r="B235" s="74"/>
      <c r="C235" s="438"/>
      <c r="D235" s="438"/>
      <c r="I235" s="78"/>
      <c r="J235" s="78"/>
      <c r="M235"/>
    </row>
    <row r="236" spans="2:13">
      <c r="B236" s="74"/>
      <c r="C236" s="75"/>
      <c r="D236" s="75"/>
      <c r="I236" s="76"/>
      <c r="J236" s="76"/>
    </row>
    <row r="237" spans="2:13">
      <c r="B237" s="74"/>
      <c r="C237" s="75"/>
      <c r="D237" s="75"/>
      <c r="I237" s="76"/>
      <c r="J237" s="76"/>
    </row>
    <row r="238" spans="2:13">
      <c r="B238" s="74"/>
      <c r="C238" s="75"/>
      <c r="D238" s="75"/>
      <c r="I238" s="76"/>
      <c r="J238" s="76"/>
    </row>
    <row r="239" spans="2:13">
      <c r="H239" s="112"/>
      <c r="I239" s="76"/>
      <c r="J239" s="76"/>
      <c r="K239" s="76"/>
    </row>
    <row r="240" spans="2:13" ht="18">
      <c r="B240" s="83" t="s">
        <v>133</v>
      </c>
    </row>
    <row r="241" spans="2:10" ht="18">
      <c r="B241" s="83"/>
    </row>
    <row r="242" spans="2:10">
      <c r="B242" s="73" t="s">
        <v>36</v>
      </c>
      <c r="D242" s="73" t="s">
        <v>134</v>
      </c>
      <c r="H242" s="111" t="s">
        <v>40</v>
      </c>
      <c r="J242" s="73" t="s">
        <v>135</v>
      </c>
    </row>
    <row r="243" spans="2:10">
      <c r="B243" s="74" t="str">
        <f t="shared" ref="B243:B245" si="38">C243&amp;D243&amp;E243&amp;F243</f>
        <v>ZM Contractduur1</v>
      </c>
      <c r="C243" s="75" t="s">
        <v>136</v>
      </c>
      <c r="D243" s="75">
        <v>1</v>
      </c>
      <c r="E243" s="75"/>
      <c r="H243" t="str">
        <f t="shared" ref="H243:H245" si="39">I243&amp;J243&amp;K243&amp;L243</f>
        <v>WO Contractduur1</v>
      </c>
      <c r="I243" s="76" t="s">
        <v>137</v>
      </c>
      <c r="J243" s="76">
        <v>1</v>
      </c>
    </row>
    <row r="244" spans="2:10">
      <c r="B244" s="74" t="str">
        <f t="shared" si="38"/>
        <v>ZM Contractduur2</v>
      </c>
      <c r="C244" s="75" t="s">
        <v>136</v>
      </c>
      <c r="D244" s="75">
        <v>2</v>
      </c>
      <c r="E244" s="75"/>
      <c r="H244" t="str">
        <f t="shared" si="39"/>
        <v>WO Contractduur1</v>
      </c>
      <c r="I244" s="76" t="s">
        <v>137</v>
      </c>
      <c r="J244" s="76">
        <v>1</v>
      </c>
    </row>
    <row r="245" spans="2:10">
      <c r="B245" s="74" t="str">
        <f t="shared" si="38"/>
        <v>ZM Contractduur3</v>
      </c>
      <c r="C245" s="75" t="s">
        <v>136</v>
      </c>
      <c r="D245" s="75">
        <v>3</v>
      </c>
      <c r="E245" s="75"/>
      <c r="H245" t="str">
        <f t="shared" si="39"/>
        <v>WO Contractduur1</v>
      </c>
      <c r="I245" s="76" t="s">
        <v>137</v>
      </c>
      <c r="J245" s="76">
        <v>1</v>
      </c>
    </row>
    <row r="249" spans="2:10" ht="18">
      <c r="B249" s="83" t="s">
        <v>143</v>
      </c>
      <c r="C249" s="75"/>
    </row>
    <row r="251" spans="2:10">
      <c r="B251" s="74" t="str">
        <f t="shared" ref="B251" si="40">C251&amp;D251&amp;E251&amp;F251</f>
        <v>nvt</v>
      </c>
      <c r="C251" s="75" t="s">
        <v>115</v>
      </c>
      <c r="H251" s="74" t="str">
        <f t="shared" ref="H251" si="41">I251&amp;J251&amp;K251&amp;L251</f>
        <v>nvt</v>
      </c>
      <c r="I251" s="75" t="s">
        <v>115</v>
      </c>
    </row>
  </sheetData>
  <autoFilter ref="B5:K109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>
    <tabColor rgb="FFFFFF00"/>
  </sheetPr>
  <dimension ref="A1:O335"/>
  <sheetViews>
    <sheetView topLeftCell="C19" workbookViewId="0">
      <selection activeCell="N2" sqref="N2"/>
    </sheetView>
  </sheetViews>
  <sheetFormatPr defaultRowHeight="15"/>
  <cols>
    <col min="1" max="3" width="16.28515625" customWidth="1"/>
    <col min="4" max="4" width="44.7109375" customWidth="1"/>
    <col min="5" max="6" width="16.28515625" customWidth="1"/>
    <col min="7" max="7" width="21" bestFit="1" customWidth="1"/>
    <col min="8" max="8" width="21.7109375" customWidth="1"/>
    <col min="9" max="9" width="16.28515625" customWidth="1"/>
    <col min="10" max="13" width="9.42578125" customWidth="1"/>
    <col min="14" max="14" width="8.85546875" customWidth="1"/>
  </cols>
  <sheetData>
    <row r="1" spans="1:15" ht="15.75">
      <c r="A1" s="1"/>
      <c r="B1" s="2"/>
      <c r="C1" s="1"/>
      <c r="D1" s="3"/>
      <c r="E1" s="3"/>
      <c r="F1" s="4"/>
      <c r="G1" s="1"/>
      <c r="H1" s="1" t="s">
        <v>200</v>
      </c>
      <c r="I1" s="1"/>
      <c r="J1" s="5"/>
      <c r="K1" s="5"/>
      <c r="L1" s="5"/>
      <c r="M1" s="5"/>
      <c r="N1" s="882" t="s">
        <v>1736</v>
      </c>
      <c r="O1" s="6"/>
    </row>
    <row r="2" spans="1:15" ht="15.75">
      <c r="A2" s="1"/>
      <c r="B2" s="7" t="s">
        <v>201</v>
      </c>
      <c r="C2" s="1"/>
      <c r="D2" s="8"/>
      <c r="E2" s="8"/>
      <c r="F2" s="9" t="s">
        <v>202</v>
      </c>
      <c r="G2" s="10" t="s">
        <v>203</v>
      </c>
      <c r="H2" s="1" t="s">
        <v>204</v>
      </c>
      <c r="I2" s="1"/>
      <c r="J2" s="5"/>
      <c r="K2" s="5"/>
      <c r="L2" s="5"/>
      <c r="M2" s="5"/>
    </row>
    <row r="3" spans="1:15" ht="15.75">
      <c r="A3" s="1"/>
      <c r="B3" s="2"/>
      <c r="C3" s="1"/>
      <c r="D3" s="3"/>
      <c r="E3" s="3"/>
      <c r="F3" s="4"/>
      <c r="G3" s="1"/>
      <c r="H3" s="1" t="s">
        <v>205</v>
      </c>
      <c r="I3" s="1"/>
      <c r="J3" s="5"/>
      <c r="K3" s="5"/>
      <c r="L3" s="5"/>
      <c r="M3" s="5"/>
    </row>
    <row r="4" spans="1:15" ht="15.75">
      <c r="A4" s="11"/>
      <c r="B4" s="12"/>
      <c r="C4" s="11"/>
      <c r="D4" s="13"/>
      <c r="E4" s="13"/>
      <c r="F4" s="14"/>
      <c r="G4" s="11"/>
      <c r="H4" s="1" t="s">
        <v>206</v>
      </c>
      <c r="I4" s="11"/>
      <c r="J4" s="5"/>
      <c r="K4" s="5"/>
      <c r="L4" s="5"/>
      <c r="M4" s="5"/>
    </row>
    <row r="5" spans="1:15" ht="15.75">
      <c r="A5" s="15"/>
      <c r="B5" s="15"/>
      <c r="C5" s="15"/>
      <c r="D5" s="16"/>
      <c r="E5" s="16"/>
      <c r="F5" s="17"/>
      <c r="G5" s="17"/>
      <c r="H5" s="17"/>
      <c r="I5" s="15"/>
      <c r="J5" s="5"/>
      <c r="K5" s="5"/>
      <c r="L5" s="5"/>
      <c r="M5" s="5"/>
    </row>
    <row r="6" spans="1:15" ht="15.75">
      <c r="A6" s="15"/>
      <c r="B6" s="15"/>
      <c r="C6" s="15"/>
      <c r="D6" s="16"/>
      <c r="E6" s="16"/>
      <c r="F6" s="17"/>
      <c r="G6" s="17"/>
      <c r="H6" s="17"/>
      <c r="I6" s="15"/>
      <c r="J6" s="5"/>
      <c r="K6" s="5"/>
      <c r="L6" s="5"/>
      <c r="M6" s="5"/>
    </row>
    <row r="7" spans="1:15" ht="15.75">
      <c r="A7" s="15"/>
      <c r="B7" s="15"/>
      <c r="C7" s="15"/>
      <c r="D7" s="16" t="s">
        <v>207</v>
      </c>
      <c r="E7" s="16"/>
      <c r="F7" s="17"/>
      <c r="G7" s="17"/>
      <c r="H7" s="17"/>
      <c r="I7" s="15"/>
      <c r="J7" s="5"/>
      <c r="K7" s="5"/>
      <c r="L7" s="5"/>
      <c r="M7" s="5"/>
    </row>
    <row r="8" spans="1:15" ht="15.75">
      <c r="A8" s="18"/>
      <c r="B8" s="19"/>
      <c r="C8" s="18"/>
      <c r="D8" s="20"/>
      <c r="E8" s="20"/>
      <c r="F8" s="883"/>
      <c r="G8" s="884"/>
      <c r="H8" s="884"/>
      <c r="I8" s="18"/>
      <c r="J8" s="5"/>
      <c r="K8" s="5"/>
      <c r="L8" s="5"/>
      <c r="M8" s="5"/>
    </row>
    <row r="9" spans="1:15" ht="15.75">
      <c r="A9" s="18"/>
      <c r="B9" s="19"/>
      <c r="C9" s="18"/>
      <c r="D9" s="16" t="s">
        <v>208</v>
      </c>
      <c r="E9" s="21" t="s">
        <v>209</v>
      </c>
      <c r="F9" s="22" t="s">
        <v>210</v>
      </c>
      <c r="G9" s="885"/>
      <c r="H9" s="885"/>
      <c r="I9" s="18"/>
      <c r="J9" s="884"/>
      <c r="K9" s="5"/>
      <c r="L9" s="5"/>
      <c r="M9" s="5"/>
    </row>
    <row r="10" spans="1:15" ht="15.75">
      <c r="A10" s="18"/>
      <c r="B10" s="19"/>
      <c r="C10" s="18"/>
      <c r="D10" s="23" t="s">
        <v>211</v>
      </c>
      <c r="E10" s="23" t="s">
        <v>212</v>
      </c>
      <c r="F10" s="24" t="s">
        <v>213</v>
      </c>
      <c r="G10" s="886" t="s">
        <v>214</v>
      </c>
      <c r="H10" s="887">
        <v>1</v>
      </c>
      <c r="I10" s="884" t="s">
        <v>215</v>
      </c>
      <c r="J10" s="5"/>
      <c r="K10" s="5"/>
      <c r="L10" s="5"/>
      <c r="M10" s="5"/>
    </row>
    <row r="11" spans="1:15" ht="15.75">
      <c r="A11" s="18"/>
      <c r="B11" s="19"/>
      <c r="C11" s="18"/>
      <c r="D11" s="23" t="s">
        <v>211</v>
      </c>
      <c r="E11" s="23"/>
      <c r="F11" s="24" t="s">
        <v>216</v>
      </c>
      <c r="G11" s="886" t="s">
        <v>214</v>
      </c>
      <c r="H11" s="887">
        <v>1</v>
      </c>
      <c r="I11" s="884" t="s">
        <v>215</v>
      </c>
      <c r="J11" s="5"/>
      <c r="K11" s="5"/>
      <c r="L11" s="5"/>
      <c r="M11" s="5"/>
    </row>
    <row r="12" spans="1:15" ht="15.75">
      <c r="A12" s="18"/>
      <c r="B12" s="19"/>
      <c r="C12" s="18"/>
      <c r="D12" s="23" t="s">
        <v>217</v>
      </c>
      <c r="E12" s="23"/>
      <c r="F12" s="24" t="s">
        <v>213</v>
      </c>
      <c r="G12" s="886" t="s">
        <v>214</v>
      </c>
      <c r="H12" s="887">
        <v>1</v>
      </c>
      <c r="I12" s="884" t="s">
        <v>218</v>
      </c>
      <c r="J12" s="5"/>
      <c r="K12" s="5"/>
      <c r="L12" s="5"/>
      <c r="M12" s="5"/>
    </row>
    <row r="13" spans="1:15" ht="15.75">
      <c r="A13" s="18"/>
      <c r="B13" s="19"/>
      <c r="C13" s="18"/>
      <c r="D13" s="23" t="s">
        <v>217</v>
      </c>
      <c r="E13" s="23"/>
      <c r="F13" s="24" t="s">
        <v>216</v>
      </c>
      <c r="G13" s="886" t="s">
        <v>214</v>
      </c>
      <c r="H13" s="887">
        <v>1</v>
      </c>
      <c r="I13" s="884" t="s">
        <v>218</v>
      </c>
      <c r="J13" s="25"/>
      <c r="K13" s="25"/>
      <c r="L13" s="25"/>
      <c r="M13" s="25"/>
    </row>
    <row r="14" spans="1:15" ht="15.75">
      <c r="A14" s="18"/>
      <c r="B14" s="19"/>
      <c r="C14" s="18"/>
      <c r="D14" s="23" t="s">
        <v>219</v>
      </c>
      <c r="E14" s="23" t="s">
        <v>212</v>
      </c>
      <c r="F14" s="24" t="s">
        <v>220</v>
      </c>
      <c r="G14" s="886" t="s">
        <v>214</v>
      </c>
      <c r="H14" s="887">
        <v>1</v>
      </c>
      <c r="I14" s="884" t="s">
        <v>215</v>
      </c>
      <c r="J14" s="5"/>
      <c r="K14" s="5"/>
      <c r="L14" s="5"/>
      <c r="M14" s="5"/>
    </row>
    <row r="15" spans="1:15" ht="15.75">
      <c r="A15" s="18"/>
      <c r="B15" s="19"/>
      <c r="C15" s="18"/>
      <c r="D15" s="23" t="s">
        <v>221</v>
      </c>
      <c r="E15" s="23" t="s">
        <v>222</v>
      </c>
      <c r="F15" s="24" t="s">
        <v>220</v>
      </c>
      <c r="G15" s="886" t="s">
        <v>214</v>
      </c>
      <c r="H15" s="887">
        <v>1</v>
      </c>
      <c r="I15" s="884" t="s">
        <v>215</v>
      </c>
      <c r="J15" s="5"/>
      <c r="K15" s="5"/>
      <c r="L15" s="5"/>
      <c r="M15" s="5"/>
    </row>
    <row r="16" spans="1:15" ht="15.75">
      <c r="A16" s="18"/>
      <c r="B16" s="19"/>
      <c r="C16" s="18"/>
      <c r="D16" s="23" t="s">
        <v>223</v>
      </c>
      <c r="E16" s="23" t="s">
        <v>224</v>
      </c>
      <c r="F16" s="24" t="s">
        <v>220</v>
      </c>
      <c r="G16" s="26" t="s">
        <v>225</v>
      </c>
      <c r="H16" s="887">
        <v>1</v>
      </c>
      <c r="I16" s="884" t="s">
        <v>215</v>
      </c>
      <c r="J16" s="5"/>
      <c r="K16" s="5"/>
      <c r="L16" s="5"/>
      <c r="M16" s="5"/>
    </row>
    <row r="17" spans="1:13" ht="15.75">
      <c r="A17" s="5"/>
      <c r="B17" s="27"/>
      <c r="C17" s="5"/>
      <c r="D17" s="28" t="s">
        <v>226</v>
      </c>
      <c r="E17" s="23" t="s">
        <v>227</v>
      </c>
      <c r="F17" s="24"/>
      <c r="G17" s="26" t="s">
        <v>225</v>
      </c>
      <c r="H17" s="888">
        <v>1</v>
      </c>
      <c r="I17" s="884" t="s">
        <v>215</v>
      </c>
      <c r="J17" s="5"/>
      <c r="K17" s="5"/>
      <c r="L17" s="5"/>
      <c r="M17" s="5"/>
    </row>
    <row r="18" spans="1:13" ht="15.75">
      <c r="A18" s="5"/>
      <c r="B18" s="27"/>
      <c r="C18" s="5"/>
      <c r="D18" s="28" t="s">
        <v>228</v>
      </c>
      <c r="E18" s="23" t="s">
        <v>229</v>
      </c>
      <c r="F18" s="24" t="s">
        <v>220</v>
      </c>
      <c r="G18" s="26" t="s">
        <v>225</v>
      </c>
      <c r="H18" s="888">
        <v>1</v>
      </c>
      <c r="I18" s="884" t="s">
        <v>218</v>
      </c>
      <c r="J18" s="884"/>
      <c r="K18" s="5"/>
      <c r="L18" s="5"/>
      <c r="M18" s="5"/>
    </row>
    <row r="19" spans="1:13" ht="15.75">
      <c r="A19" s="5"/>
      <c r="B19" s="27"/>
      <c r="C19" s="5"/>
      <c r="D19" s="29"/>
      <c r="E19" s="29"/>
      <c r="F19" s="30"/>
      <c r="G19" s="884"/>
      <c r="H19" s="884"/>
      <c r="I19" s="884"/>
      <c r="J19" s="884"/>
      <c r="K19" s="5"/>
      <c r="L19" s="5"/>
      <c r="M19" s="5"/>
    </row>
    <row r="20" spans="1:13" ht="15.75">
      <c r="A20" s="5"/>
      <c r="B20" s="27"/>
      <c r="C20" s="5"/>
      <c r="D20" s="16" t="s">
        <v>230</v>
      </c>
      <c r="E20" s="21" t="s">
        <v>209</v>
      </c>
      <c r="F20" s="22" t="s">
        <v>210</v>
      </c>
      <c r="G20" s="885"/>
      <c r="H20" s="885"/>
      <c r="I20" s="18"/>
      <c r="J20" s="884"/>
      <c r="K20" s="5"/>
      <c r="L20" s="5"/>
      <c r="M20" s="5"/>
    </row>
    <row r="21" spans="1:13" ht="15.75">
      <c r="A21" s="5"/>
      <c r="B21" s="27"/>
      <c r="C21" s="5"/>
      <c r="D21" s="23" t="s">
        <v>231</v>
      </c>
      <c r="E21" s="23" t="s">
        <v>212</v>
      </c>
      <c r="F21" s="24" t="s">
        <v>213</v>
      </c>
      <c r="G21" s="889" t="s">
        <v>232</v>
      </c>
      <c r="H21" s="889" t="s">
        <v>233</v>
      </c>
      <c r="I21" s="884" t="s">
        <v>215</v>
      </c>
      <c r="J21" s="5"/>
      <c r="K21" s="5"/>
      <c r="L21" s="5"/>
      <c r="M21" s="5"/>
    </row>
    <row r="22" spans="1:13" ht="15.75">
      <c r="A22" s="5"/>
      <c r="B22" s="27"/>
      <c r="C22" s="5"/>
      <c r="D22" s="23" t="s">
        <v>231</v>
      </c>
      <c r="E22" s="23"/>
      <c r="F22" s="24" t="s">
        <v>216</v>
      </c>
      <c r="G22" s="889" t="s">
        <v>232</v>
      </c>
      <c r="H22" s="889" t="s">
        <v>233</v>
      </c>
      <c r="I22" s="884" t="s">
        <v>215</v>
      </c>
      <c r="J22" s="5"/>
      <c r="K22" s="5"/>
      <c r="L22" s="5"/>
      <c r="M22" s="5"/>
    </row>
    <row r="23" spans="1:13" ht="15.75">
      <c r="A23" s="5"/>
      <c r="B23" s="27"/>
      <c r="C23" s="5"/>
      <c r="D23" s="23" t="s">
        <v>234</v>
      </c>
      <c r="E23" s="23" t="s">
        <v>212</v>
      </c>
      <c r="F23" s="24" t="s">
        <v>213</v>
      </c>
      <c r="G23" s="889" t="s">
        <v>232</v>
      </c>
      <c r="H23" s="889" t="s">
        <v>233</v>
      </c>
      <c r="I23" s="884" t="s">
        <v>215</v>
      </c>
      <c r="J23" s="5"/>
      <c r="K23" s="5"/>
      <c r="L23" s="5"/>
      <c r="M23" s="5"/>
    </row>
    <row r="24" spans="1:13" ht="15.75">
      <c r="A24" s="5"/>
      <c r="B24" s="27"/>
      <c r="C24" s="5"/>
      <c r="D24" s="23" t="s">
        <v>234</v>
      </c>
      <c r="E24" s="23"/>
      <c r="F24" s="24" t="s">
        <v>216</v>
      </c>
      <c r="G24" s="889" t="s">
        <v>232</v>
      </c>
      <c r="H24" s="889" t="s">
        <v>233</v>
      </c>
      <c r="I24" s="884" t="s">
        <v>215</v>
      </c>
      <c r="J24" s="5"/>
      <c r="K24" s="5"/>
      <c r="L24" s="5"/>
      <c r="M24" s="5"/>
    </row>
    <row r="25" spans="1:13" ht="15.75">
      <c r="A25" s="5"/>
      <c r="B25" s="27"/>
      <c r="C25" s="5"/>
      <c r="D25" s="23" t="s">
        <v>219</v>
      </c>
      <c r="E25" s="23" t="s">
        <v>212</v>
      </c>
      <c r="F25" s="24" t="s">
        <v>235</v>
      </c>
      <c r="G25" s="889" t="s">
        <v>232</v>
      </c>
      <c r="H25" s="888">
        <v>1</v>
      </c>
      <c r="I25" s="884" t="s">
        <v>215</v>
      </c>
      <c r="J25" s="5"/>
      <c r="K25" s="5"/>
      <c r="L25" s="5"/>
      <c r="M25" s="5"/>
    </row>
    <row r="26" spans="1:13" ht="15.75">
      <c r="A26" s="5"/>
      <c r="B26" s="27"/>
      <c r="C26" s="5"/>
      <c r="D26" s="23" t="s">
        <v>223</v>
      </c>
      <c r="E26" s="23" t="s">
        <v>224</v>
      </c>
      <c r="F26" s="24" t="s">
        <v>235</v>
      </c>
      <c r="G26" s="26" t="s">
        <v>225</v>
      </c>
      <c r="H26" s="888">
        <v>1</v>
      </c>
      <c r="I26" s="884" t="s">
        <v>215</v>
      </c>
      <c r="J26" s="5"/>
      <c r="K26" s="5"/>
      <c r="L26" s="5"/>
      <c r="M26" s="5"/>
    </row>
    <row r="27" spans="1:13" ht="15.75">
      <c r="A27" s="5"/>
      <c r="B27" s="27"/>
      <c r="C27" s="5"/>
      <c r="D27" s="23" t="s">
        <v>236</v>
      </c>
      <c r="E27" s="23"/>
      <c r="F27" s="24" t="s">
        <v>117</v>
      </c>
      <c r="G27" s="889" t="s">
        <v>232</v>
      </c>
      <c r="H27" s="888">
        <v>1</v>
      </c>
      <c r="I27" s="884" t="s">
        <v>215</v>
      </c>
      <c r="J27" s="5"/>
      <c r="K27" s="5"/>
      <c r="L27" s="5"/>
      <c r="M27" s="5"/>
    </row>
    <row r="28" spans="1:13" ht="15.75">
      <c r="A28" s="5"/>
      <c r="B28" s="27"/>
      <c r="C28" s="5"/>
      <c r="D28" s="28" t="s">
        <v>226</v>
      </c>
      <c r="E28" s="23" t="s">
        <v>227</v>
      </c>
      <c r="F28" s="24"/>
      <c r="G28" s="26" t="s">
        <v>225</v>
      </c>
      <c r="H28" s="888">
        <v>1</v>
      </c>
      <c r="I28" s="884" t="s">
        <v>215</v>
      </c>
      <c r="J28" s="5"/>
      <c r="K28" s="5"/>
      <c r="L28" s="5"/>
      <c r="M28" s="5"/>
    </row>
    <row r="29" spans="1:13" ht="15.75">
      <c r="A29" s="5"/>
      <c r="B29" s="27"/>
      <c r="C29" s="5"/>
      <c r="D29" s="28" t="s">
        <v>228</v>
      </c>
      <c r="E29" s="23" t="s">
        <v>229</v>
      </c>
      <c r="F29" s="24" t="s">
        <v>220</v>
      </c>
      <c r="G29" s="26" t="s">
        <v>225</v>
      </c>
      <c r="H29" s="888">
        <v>1</v>
      </c>
      <c r="I29" s="884" t="s">
        <v>218</v>
      </c>
      <c r="J29" s="5"/>
      <c r="K29" s="5"/>
      <c r="L29" s="5"/>
      <c r="M29" s="5"/>
    </row>
    <row r="30" spans="1:13" ht="15.75">
      <c r="A30" s="5"/>
      <c r="B30" s="27"/>
      <c r="C30" s="5"/>
      <c r="D30" s="18"/>
      <c r="E30" s="18"/>
      <c r="F30" s="30"/>
      <c r="G30" s="884"/>
      <c r="H30" s="884"/>
      <c r="I30" s="884"/>
      <c r="J30" s="5"/>
      <c r="K30" s="5"/>
      <c r="L30" s="5"/>
      <c r="M30" s="5"/>
    </row>
    <row r="31" spans="1:13" ht="15.75">
      <c r="A31" s="5"/>
      <c r="B31" s="27"/>
      <c r="C31" s="5"/>
      <c r="D31" s="31" t="s">
        <v>237</v>
      </c>
      <c r="E31" s="18"/>
      <c r="F31" s="30"/>
      <c r="G31" s="884"/>
      <c r="H31" s="884"/>
      <c r="I31" s="884"/>
      <c r="J31" s="5"/>
      <c r="K31" s="5"/>
      <c r="L31" s="5"/>
      <c r="M31" s="5"/>
    </row>
    <row r="32" spans="1:13" ht="15.75">
      <c r="A32" s="5"/>
      <c r="B32" s="27"/>
      <c r="C32" s="5"/>
      <c r="D32" s="18"/>
      <c r="E32" s="18"/>
      <c r="F32" s="30"/>
      <c r="G32" s="884"/>
      <c r="H32" s="884"/>
      <c r="I32" s="884"/>
      <c r="J32" s="5"/>
      <c r="K32" s="5"/>
      <c r="L32" s="5"/>
      <c r="M32" s="5"/>
    </row>
    <row r="33" spans="1:13" ht="15.75">
      <c r="A33" s="5"/>
      <c r="B33" s="27"/>
      <c r="C33" s="5"/>
      <c r="D33" s="16" t="s">
        <v>238</v>
      </c>
      <c r="E33" s="32"/>
      <c r="F33" s="33"/>
      <c r="G33" s="34"/>
      <c r="H33" s="35" t="s">
        <v>239</v>
      </c>
      <c r="I33" s="35" t="s">
        <v>240</v>
      </c>
      <c r="J33" s="36" t="s">
        <v>241</v>
      </c>
      <c r="K33" s="36" t="s">
        <v>242</v>
      </c>
      <c r="L33" s="36" t="s">
        <v>243</v>
      </c>
      <c r="M33" s="35" t="s">
        <v>78</v>
      </c>
    </row>
    <row r="34" spans="1:13" ht="15.75">
      <c r="A34" s="5"/>
      <c r="B34" s="27"/>
      <c r="C34" s="5"/>
      <c r="D34" s="23" t="s">
        <v>43</v>
      </c>
      <c r="E34" s="23"/>
      <c r="F34" s="24" t="s">
        <v>213</v>
      </c>
      <c r="G34" s="889" t="s">
        <v>232</v>
      </c>
      <c r="H34" s="890"/>
      <c r="I34" s="890"/>
      <c r="J34" s="890"/>
      <c r="K34" s="890"/>
      <c r="L34" s="890"/>
      <c r="M34" s="890"/>
    </row>
    <row r="35" spans="1:13" ht="15.75">
      <c r="A35" s="5"/>
      <c r="B35" s="27"/>
      <c r="C35" s="5"/>
      <c r="D35" s="23" t="s">
        <v>106</v>
      </c>
      <c r="E35" s="23"/>
      <c r="F35" s="24" t="s">
        <v>213</v>
      </c>
      <c r="G35" s="889" t="s">
        <v>232</v>
      </c>
      <c r="H35" s="890"/>
      <c r="I35" s="890"/>
      <c r="J35" s="890"/>
      <c r="K35" s="890"/>
      <c r="L35" s="890"/>
      <c r="M35" s="890"/>
    </row>
    <row r="36" spans="1:13" ht="15.75">
      <c r="A36" s="5"/>
      <c r="B36" s="27"/>
      <c r="C36" s="5"/>
      <c r="D36" s="23" t="s">
        <v>107</v>
      </c>
      <c r="E36" s="23"/>
      <c r="F36" s="24" t="s">
        <v>213</v>
      </c>
      <c r="G36" s="889" t="s">
        <v>232</v>
      </c>
      <c r="H36" s="890"/>
      <c r="I36" s="890"/>
      <c r="J36" s="890"/>
      <c r="K36" s="890"/>
      <c r="L36" s="890"/>
      <c r="M36" s="890"/>
    </row>
    <row r="37" spans="1:13" ht="15.75">
      <c r="A37" s="5"/>
      <c r="B37" s="27"/>
      <c r="C37" s="5"/>
      <c r="D37" s="23" t="s">
        <v>48</v>
      </c>
      <c r="E37" s="23"/>
      <c r="F37" s="24" t="s">
        <v>213</v>
      </c>
      <c r="G37" s="889" t="s">
        <v>232</v>
      </c>
      <c r="H37" s="890"/>
      <c r="I37" s="890"/>
      <c r="J37" s="890"/>
      <c r="K37" s="890"/>
      <c r="L37" s="890"/>
      <c r="M37" s="890"/>
    </row>
    <row r="38" spans="1:13" ht="15.75">
      <c r="A38" s="5"/>
      <c r="B38" s="27"/>
      <c r="C38" s="5"/>
      <c r="D38" s="23" t="s">
        <v>108</v>
      </c>
      <c r="E38" s="23"/>
      <c r="F38" s="24" t="s">
        <v>213</v>
      </c>
      <c r="G38" s="889" t="s">
        <v>232</v>
      </c>
      <c r="H38" s="890"/>
      <c r="I38" s="890"/>
      <c r="J38" s="890"/>
      <c r="K38" s="890"/>
      <c r="L38" s="890"/>
      <c r="M38" s="890"/>
    </row>
    <row r="39" spans="1:13" ht="15.75">
      <c r="A39" s="5"/>
      <c r="B39" s="27"/>
      <c r="C39" s="5"/>
      <c r="D39" s="23" t="s">
        <v>79</v>
      </c>
      <c r="E39" s="23"/>
      <c r="F39" s="24" t="s">
        <v>213</v>
      </c>
      <c r="G39" s="889" t="s">
        <v>232</v>
      </c>
      <c r="H39" s="890"/>
      <c r="I39" s="890"/>
      <c r="J39" s="890"/>
      <c r="K39" s="890"/>
      <c r="L39" s="890"/>
      <c r="M39" s="890"/>
    </row>
    <row r="40" spans="1:13" ht="15.75">
      <c r="A40" s="5"/>
      <c r="B40" s="27"/>
      <c r="C40" s="5"/>
      <c r="D40" s="23" t="s">
        <v>49</v>
      </c>
      <c r="E40" s="23"/>
      <c r="F40" s="24" t="s">
        <v>213</v>
      </c>
      <c r="G40" s="889" t="s">
        <v>232</v>
      </c>
      <c r="H40" s="890"/>
      <c r="I40" s="890"/>
      <c r="J40" s="890"/>
      <c r="K40" s="890"/>
      <c r="L40" s="890"/>
      <c r="M40" s="890"/>
    </row>
    <row r="41" spans="1:13" ht="15.75">
      <c r="A41" s="5"/>
      <c r="B41" s="27"/>
      <c r="C41" s="5"/>
      <c r="D41" s="23" t="s">
        <v>50</v>
      </c>
      <c r="E41" s="23"/>
      <c r="F41" s="24" t="s">
        <v>213</v>
      </c>
      <c r="G41" s="889" t="s">
        <v>232</v>
      </c>
      <c r="H41" s="890"/>
      <c r="I41" s="890"/>
      <c r="J41" s="890"/>
      <c r="K41" s="890"/>
      <c r="L41" s="890"/>
      <c r="M41" s="890"/>
    </row>
    <row r="42" spans="1:13" ht="15.75">
      <c r="A42" s="5"/>
      <c r="B42" s="27"/>
      <c r="C42" s="5"/>
      <c r="D42" s="23" t="s">
        <v>52</v>
      </c>
      <c r="E42" s="23"/>
      <c r="F42" s="24" t="s">
        <v>213</v>
      </c>
      <c r="G42" s="889" t="s">
        <v>232</v>
      </c>
      <c r="H42" s="890"/>
      <c r="I42" s="890"/>
      <c r="J42" s="890"/>
      <c r="K42" s="890"/>
      <c r="L42" s="890"/>
      <c r="M42" s="890"/>
    </row>
    <row r="43" spans="1:13" ht="15.75">
      <c r="A43" s="5"/>
      <c r="B43" s="27"/>
      <c r="C43" s="5"/>
      <c r="D43" s="23" t="s">
        <v>53</v>
      </c>
      <c r="E43" s="23"/>
      <c r="F43" s="24" t="s">
        <v>213</v>
      </c>
      <c r="G43" s="889" t="s">
        <v>232</v>
      </c>
      <c r="H43" s="890"/>
      <c r="I43" s="890"/>
      <c r="J43" s="890"/>
      <c r="K43" s="890"/>
      <c r="L43" s="890"/>
      <c r="M43" s="890"/>
    </row>
    <row r="44" spans="1:13" ht="15.75">
      <c r="A44" s="5"/>
      <c r="B44" s="27"/>
      <c r="C44" s="5"/>
      <c r="D44" s="23" t="s">
        <v>66</v>
      </c>
      <c r="E44" s="23"/>
      <c r="F44" s="24" t="s">
        <v>213</v>
      </c>
      <c r="G44" s="889" t="s">
        <v>232</v>
      </c>
      <c r="H44" s="890"/>
      <c r="I44" s="890"/>
      <c r="J44" s="890"/>
      <c r="K44" s="890"/>
      <c r="L44" s="890"/>
      <c r="M44" s="890"/>
    </row>
    <row r="45" spans="1:13" ht="15.75">
      <c r="A45" s="5"/>
      <c r="B45" s="27"/>
      <c r="C45" s="5"/>
      <c r="D45" s="23" t="s">
        <v>244</v>
      </c>
      <c r="E45" s="23"/>
      <c r="F45" s="24" t="s">
        <v>213</v>
      </c>
      <c r="G45" s="889" t="s">
        <v>232</v>
      </c>
      <c r="H45" s="890"/>
      <c r="I45" s="890"/>
      <c r="J45" s="890"/>
      <c r="K45" s="890"/>
      <c r="L45" s="890"/>
      <c r="M45" s="890"/>
    </row>
    <row r="46" spans="1:13" ht="15.75">
      <c r="A46" s="5"/>
      <c r="B46" s="27"/>
      <c r="C46" s="5"/>
      <c r="D46" s="23" t="s">
        <v>67</v>
      </c>
      <c r="E46" s="23"/>
      <c r="F46" s="24" t="s">
        <v>213</v>
      </c>
      <c r="G46" s="889" t="s">
        <v>232</v>
      </c>
      <c r="H46" s="890"/>
      <c r="I46" s="890"/>
      <c r="J46" s="890"/>
      <c r="K46" s="890"/>
      <c r="L46" s="890"/>
      <c r="M46" s="890"/>
    </row>
    <row r="47" spans="1:13" ht="15.75">
      <c r="A47" s="5"/>
      <c r="B47" s="27"/>
      <c r="C47" s="5"/>
      <c r="D47" s="23" t="s">
        <v>54</v>
      </c>
      <c r="E47" s="23"/>
      <c r="F47" s="24" t="s">
        <v>213</v>
      </c>
      <c r="G47" s="889" t="s">
        <v>232</v>
      </c>
      <c r="H47" s="890"/>
      <c r="I47" s="890"/>
      <c r="J47" s="890"/>
      <c r="K47" s="890"/>
      <c r="L47" s="890"/>
      <c r="M47" s="890"/>
    </row>
    <row r="48" spans="1:13" ht="15.75">
      <c r="A48" s="5"/>
      <c r="B48" s="27"/>
      <c r="C48" s="5"/>
      <c r="D48" s="23" t="s">
        <v>68</v>
      </c>
      <c r="E48" s="23"/>
      <c r="F48" s="24" t="s">
        <v>213</v>
      </c>
      <c r="G48" s="889" t="s">
        <v>232</v>
      </c>
      <c r="H48" s="890"/>
      <c r="I48" s="890"/>
      <c r="J48" s="890"/>
      <c r="K48" s="890"/>
      <c r="L48" s="890"/>
      <c r="M48" s="890"/>
    </row>
    <row r="49" spans="1:13" ht="15.75">
      <c r="A49" s="5"/>
      <c r="B49" s="27"/>
      <c r="C49" s="5"/>
      <c r="D49" s="23" t="s">
        <v>245</v>
      </c>
      <c r="E49" s="23"/>
      <c r="F49" s="24" t="s">
        <v>213</v>
      </c>
      <c r="G49" s="889" t="s">
        <v>232</v>
      </c>
      <c r="H49" s="890"/>
      <c r="I49" s="890"/>
      <c r="J49" s="890"/>
      <c r="K49" s="890"/>
      <c r="L49" s="890"/>
      <c r="M49" s="890"/>
    </row>
    <row r="50" spans="1:13" ht="15.75">
      <c r="A50" s="5"/>
      <c r="B50" s="27"/>
      <c r="C50" s="5"/>
      <c r="D50" s="23" t="s">
        <v>57</v>
      </c>
      <c r="E50" s="23"/>
      <c r="F50" s="24" t="s">
        <v>213</v>
      </c>
      <c r="G50" s="889" t="s">
        <v>232</v>
      </c>
      <c r="H50" s="890"/>
      <c r="I50" s="890"/>
      <c r="J50" s="890"/>
      <c r="K50" s="890"/>
      <c r="L50" s="890"/>
      <c r="M50" s="890"/>
    </row>
    <row r="51" spans="1:13" ht="15.75">
      <c r="A51" s="5"/>
      <c r="B51" s="27"/>
      <c r="C51" s="5"/>
      <c r="D51" s="23" t="s">
        <v>84</v>
      </c>
      <c r="E51" s="23"/>
      <c r="F51" s="24" t="s">
        <v>213</v>
      </c>
      <c r="G51" s="889" t="s">
        <v>232</v>
      </c>
      <c r="H51" s="890"/>
      <c r="I51" s="890"/>
      <c r="J51" s="890"/>
      <c r="K51" s="890"/>
      <c r="L51" s="890"/>
      <c r="M51" s="890"/>
    </row>
    <row r="52" spans="1:13" ht="15.75">
      <c r="A52" s="5"/>
      <c r="B52" s="27"/>
      <c r="C52" s="5"/>
      <c r="D52" s="23" t="s">
        <v>97</v>
      </c>
      <c r="E52" s="23"/>
      <c r="F52" s="24" t="s">
        <v>213</v>
      </c>
      <c r="G52" s="889" t="s">
        <v>232</v>
      </c>
      <c r="H52" s="890"/>
      <c r="I52" s="890"/>
      <c r="J52" s="890"/>
      <c r="K52" s="890"/>
      <c r="L52" s="890"/>
      <c r="M52" s="890"/>
    </row>
    <row r="53" spans="1:13" ht="15.75">
      <c r="A53" s="5"/>
      <c r="B53" s="27"/>
      <c r="C53" s="5"/>
      <c r="D53" s="23"/>
      <c r="E53" s="23"/>
      <c r="F53" s="37"/>
      <c r="G53" s="23"/>
      <c r="H53" s="891"/>
      <c r="I53" s="891"/>
      <c r="J53" s="892"/>
      <c r="K53" s="892"/>
      <c r="L53" s="892"/>
      <c r="M53" s="892"/>
    </row>
    <row r="54" spans="1:13" ht="15.75">
      <c r="A54" s="5"/>
      <c r="B54" s="27"/>
      <c r="C54" s="5"/>
      <c r="D54" s="23" t="s">
        <v>43</v>
      </c>
      <c r="E54" s="23"/>
      <c r="F54" s="24" t="s">
        <v>216</v>
      </c>
      <c r="G54" s="889" t="s">
        <v>232</v>
      </c>
      <c r="H54" s="893">
        <v>1</v>
      </c>
      <c r="I54" s="893">
        <v>1</v>
      </c>
      <c r="J54" s="893">
        <v>1</v>
      </c>
      <c r="K54" s="893">
        <v>1</v>
      </c>
      <c r="L54" s="893">
        <v>1</v>
      </c>
      <c r="M54" s="893"/>
    </row>
    <row r="55" spans="1:13" ht="15.75">
      <c r="A55" s="5"/>
      <c r="B55" s="27"/>
      <c r="C55" s="5"/>
      <c r="D55" s="23" t="s">
        <v>106</v>
      </c>
      <c r="E55" s="23"/>
      <c r="F55" s="24" t="s">
        <v>216</v>
      </c>
      <c r="G55" s="889" t="s">
        <v>232</v>
      </c>
      <c r="H55" s="893">
        <v>1</v>
      </c>
      <c r="I55" s="893"/>
      <c r="J55" s="893"/>
      <c r="K55" s="893"/>
      <c r="L55" s="893"/>
      <c r="M55" s="893"/>
    </row>
    <row r="56" spans="1:13" ht="15.75">
      <c r="A56" s="5"/>
      <c r="B56" s="27"/>
      <c r="C56" s="5"/>
      <c r="D56" s="23" t="s">
        <v>107</v>
      </c>
      <c r="E56" s="23"/>
      <c r="F56" s="24" t="s">
        <v>216</v>
      </c>
      <c r="G56" s="889" t="s">
        <v>232</v>
      </c>
      <c r="H56" s="893">
        <v>1</v>
      </c>
      <c r="I56" s="893"/>
      <c r="J56" s="893"/>
      <c r="K56" s="893"/>
      <c r="L56" s="893"/>
      <c r="M56" s="893"/>
    </row>
    <row r="57" spans="1:13" ht="15.75">
      <c r="A57" s="5"/>
      <c r="B57" s="27"/>
      <c r="C57" s="5"/>
      <c r="D57" s="23" t="s">
        <v>48</v>
      </c>
      <c r="E57" s="23"/>
      <c r="F57" s="24" t="s">
        <v>216</v>
      </c>
      <c r="G57" s="889" t="s">
        <v>232</v>
      </c>
      <c r="H57" s="893">
        <v>1</v>
      </c>
      <c r="I57" s="893">
        <v>1</v>
      </c>
      <c r="J57" s="893">
        <v>1</v>
      </c>
      <c r="K57" s="893">
        <v>1</v>
      </c>
      <c r="L57" s="893">
        <v>1</v>
      </c>
      <c r="M57" s="893">
        <v>1</v>
      </c>
    </row>
    <row r="58" spans="1:13" ht="15.75">
      <c r="A58" s="5"/>
      <c r="B58" s="27"/>
      <c r="C58" s="5"/>
      <c r="D58" s="23" t="s">
        <v>108</v>
      </c>
      <c r="E58" s="23"/>
      <c r="F58" s="24" t="s">
        <v>216</v>
      </c>
      <c r="G58" s="889" t="s">
        <v>232</v>
      </c>
      <c r="H58" s="893">
        <v>1</v>
      </c>
      <c r="I58" s="893"/>
      <c r="J58" s="893"/>
      <c r="K58" s="893"/>
      <c r="L58" s="893"/>
      <c r="M58" s="893"/>
    </row>
    <row r="59" spans="1:13" ht="15.75">
      <c r="A59" s="5"/>
      <c r="B59" s="27"/>
      <c r="C59" s="5"/>
      <c r="D59" s="23" t="s">
        <v>79</v>
      </c>
      <c r="E59" s="23"/>
      <c r="F59" s="24" t="s">
        <v>216</v>
      </c>
      <c r="G59" s="889" t="s">
        <v>232</v>
      </c>
      <c r="H59" s="893">
        <v>1</v>
      </c>
      <c r="I59" s="893"/>
      <c r="J59" s="893"/>
      <c r="K59" s="893"/>
      <c r="L59" s="893"/>
      <c r="M59" s="893"/>
    </row>
    <row r="60" spans="1:13" ht="15.75">
      <c r="A60" s="5"/>
      <c r="B60" s="27"/>
      <c r="C60" s="5"/>
      <c r="D60" s="23" t="s">
        <v>49</v>
      </c>
      <c r="E60" s="23"/>
      <c r="F60" s="24" t="s">
        <v>216</v>
      </c>
      <c r="G60" s="889" t="s">
        <v>232</v>
      </c>
      <c r="H60" s="893">
        <v>1</v>
      </c>
      <c r="I60" s="893">
        <v>1</v>
      </c>
      <c r="J60" s="893">
        <v>1</v>
      </c>
      <c r="K60" s="893">
        <v>1</v>
      </c>
      <c r="L60" s="893">
        <v>1</v>
      </c>
      <c r="M60" s="893"/>
    </row>
    <row r="61" spans="1:13" ht="15.75">
      <c r="A61" s="5"/>
      <c r="B61" s="27"/>
      <c r="C61" s="5"/>
      <c r="D61" s="23" t="s">
        <v>50</v>
      </c>
      <c r="E61" s="23"/>
      <c r="F61" s="24" t="s">
        <v>216</v>
      </c>
      <c r="G61" s="889" t="s">
        <v>232</v>
      </c>
      <c r="H61" s="893">
        <v>1</v>
      </c>
      <c r="I61" s="893">
        <v>1</v>
      </c>
      <c r="J61" s="893">
        <v>1</v>
      </c>
      <c r="K61" s="893">
        <v>1</v>
      </c>
      <c r="L61" s="893">
        <v>1</v>
      </c>
      <c r="M61" s="893">
        <v>1</v>
      </c>
    </row>
    <row r="62" spans="1:13" ht="15.75">
      <c r="A62" s="5"/>
      <c r="B62" s="27"/>
      <c r="C62" s="5"/>
      <c r="D62" s="23" t="s">
        <v>52</v>
      </c>
      <c r="E62" s="23"/>
      <c r="F62" s="24" t="s">
        <v>216</v>
      </c>
      <c r="G62" s="889" t="s">
        <v>232</v>
      </c>
      <c r="H62" s="893">
        <v>1</v>
      </c>
      <c r="I62" s="893">
        <v>1</v>
      </c>
      <c r="J62" s="893">
        <v>1</v>
      </c>
      <c r="K62" s="893">
        <v>1</v>
      </c>
      <c r="L62" s="893">
        <v>1</v>
      </c>
      <c r="M62" s="893">
        <v>0</v>
      </c>
    </row>
    <row r="63" spans="1:13" ht="15.75">
      <c r="A63" s="5"/>
      <c r="B63" s="27"/>
      <c r="C63" s="5"/>
      <c r="D63" s="23" t="s">
        <v>53</v>
      </c>
      <c r="E63" s="23"/>
      <c r="F63" s="24" t="s">
        <v>216</v>
      </c>
      <c r="G63" s="889" t="s">
        <v>232</v>
      </c>
      <c r="H63" s="893">
        <v>1</v>
      </c>
      <c r="I63" s="893">
        <v>1</v>
      </c>
      <c r="J63" s="893">
        <v>1</v>
      </c>
      <c r="K63" s="893">
        <v>1</v>
      </c>
      <c r="L63" s="893">
        <v>1</v>
      </c>
      <c r="M63" s="893">
        <v>1</v>
      </c>
    </row>
    <row r="64" spans="1:13" ht="15.75">
      <c r="A64" s="5"/>
      <c r="B64" s="27"/>
      <c r="C64" s="5"/>
      <c r="D64" s="23" t="s">
        <v>66</v>
      </c>
      <c r="E64" s="23"/>
      <c r="F64" s="24" t="s">
        <v>216</v>
      </c>
      <c r="G64" s="889" t="s">
        <v>232</v>
      </c>
      <c r="H64" s="893">
        <v>1</v>
      </c>
      <c r="I64" s="893">
        <v>1</v>
      </c>
      <c r="J64" s="893">
        <v>1</v>
      </c>
      <c r="K64" s="893">
        <v>1</v>
      </c>
      <c r="L64" s="893">
        <v>1</v>
      </c>
      <c r="M64" s="893"/>
    </row>
    <row r="65" spans="1:13" ht="15.75">
      <c r="A65" s="5"/>
      <c r="B65" s="27"/>
      <c r="C65" s="5"/>
      <c r="D65" s="23" t="s">
        <v>244</v>
      </c>
      <c r="E65" s="23"/>
      <c r="F65" s="24" t="s">
        <v>216</v>
      </c>
      <c r="G65" s="889" t="s">
        <v>232</v>
      </c>
      <c r="H65" s="893">
        <v>1</v>
      </c>
      <c r="I65" s="893"/>
      <c r="J65" s="893"/>
      <c r="K65" s="893"/>
      <c r="L65" s="893"/>
      <c r="M65" s="893"/>
    </row>
    <row r="66" spans="1:13" ht="15.75">
      <c r="A66" s="5"/>
      <c r="B66" s="27"/>
      <c r="C66" s="5"/>
      <c r="D66" s="23" t="s">
        <v>67</v>
      </c>
      <c r="E66" s="23"/>
      <c r="F66" s="24" t="s">
        <v>216</v>
      </c>
      <c r="G66" s="889" t="s">
        <v>232</v>
      </c>
      <c r="H66" s="893">
        <v>1</v>
      </c>
      <c r="I66" s="893">
        <v>1</v>
      </c>
      <c r="J66" s="893">
        <v>1</v>
      </c>
      <c r="K66" s="893">
        <v>1</v>
      </c>
      <c r="L66" s="893">
        <v>1</v>
      </c>
      <c r="M66" s="893"/>
    </row>
    <row r="67" spans="1:13" ht="15.75">
      <c r="A67" s="5"/>
      <c r="B67" s="27"/>
      <c r="C67" s="5"/>
      <c r="D67" s="23" t="s">
        <v>54</v>
      </c>
      <c r="E67" s="23"/>
      <c r="F67" s="24" t="s">
        <v>216</v>
      </c>
      <c r="G67" s="889" t="s">
        <v>232</v>
      </c>
      <c r="H67" s="893">
        <v>1</v>
      </c>
      <c r="I67" s="893">
        <v>1</v>
      </c>
      <c r="J67" s="893">
        <v>1</v>
      </c>
      <c r="K67" s="893">
        <v>1</v>
      </c>
      <c r="L67" s="893">
        <v>1</v>
      </c>
      <c r="M67" s="893">
        <v>1</v>
      </c>
    </row>
    <row r="68" spans="1:13" ht="15.75">
      <c r="A68" s="5"/>
      <c r="B68" s="27"/>
      <c r="C68" s="5"/>
      <c r="D68" s="23" t="s">
        <v>68</v>
      </c>
      <c r="E68" s="23"/>
      <c r="F68" s="24" t="s">
        <v>216</v>
      </c>
      <c r="G68" s="889" t="s">
        <v>232</v>
      </c>
      <c r="H68" s="893">
        <v>1</v>
      </c>
      <c r="I68" s="893">
        <v>1</v>
      </c>
      <c r="J68" s="893">
        <v>1</v>
      </c>
      <c r="K68" s="893">
        <v>1</v>
      </c>
      <c r="L68" s="893">
        <v>1</v>
      </c>
      <c r="M68" s="893"/>
    </row>
    <row r="69" spans="1:13" ht="15.75">
      <c r="A69" s="5"/>
      <c r="B69" s="27"/>
      <c r="C69" s="5"/>
      <c r="D69" s="23" t="s">
        <v>245</v>
      </c>
      <c r="E69" s="23"/>
      <c r="F69" s="24" t="s">
        <v>216</v>
      </c>
      <c r="G69" s="889" t="s">
        <v>232</v>
      </c>
      <c r="H69" s="893">
        <v>1</v>
      </c>
      <c r="I69" s="893">
        <v>1</v>
      </c>
      <c r="J69" s="893">
        <v>1</v>
      </c>
      <c r="K69" s="893">
        <v>1</v>
      </c>
      <c r="L69" s="893">
        <v>1</v>
      </c>
      <c r="M69" s="893"/>
    </row>
    <row r="70" spans="1:13" ht="15.75">
      <c r="A70" s="5"/>
      <c r="B70" s="27"/>
      <c r="C70" s="5"/>
      <c r="D70" s="23" t="s">
        <v>57</v>
      </c>
      <c r="E70" s="23"/>
      <c r="F70" s="24" t="s">
        <v>216</v>
      </c>
      <c r="G70" s="889" t="s">
        <v>232</v>
      </c>
      <c r="H70" s="893"/>
      <c r="I70" s="893"/>
      <c r="J70" s="893">
        <v>1</v>
      </c>
      <c r="K70" s="893">
        <v>1</v>
      </c>
      <c r="L70" s="893">
        <v>1</v>
      </c>
      <c r="M70" s="893">
        <v>1</v>
      </c>
    </row>
    <row r="71" spans="1:13" ht="15.75">
      <c r="A71" s="5"/>
      <c r="B71" s="27"/>
      <c r="C71" s="5"/>
      <c r="D71" s="23" t="s">
        <v>84</v>
      </c>
      <c r="E71" s="23"/>
      <c r="F71" s="24" t="s">
        <v>216</v>
      </c>
      <c r="G71" s="889" t="s">
        <v>232</v>
      </c>
      <c r="H71" s="893"/>
      <c r="I71" s="893"/>
      <c r="J71" s="893">
        <v>1</v>
      </c>
      <c r="K71" s="893">
        <v>1</v>
      </c>
      <c r="L71" s="893">
        <v>1</v>
      </c>
      <c r="M71" s="893">
        <v>1</v>
      </c>
    </row>
    <row r="72" spans="1:13" ht="15.75">
      <c r="A72" s="5"/>
      <c r="B72" s="27"/>
      <c r="C72" s="5"/>
      <c r="D72" s="23" t="s">
        <v>97</v>
      </c>
      <c r="E72" s="23"/>
      <c r="F72" s="24" t="s">
        <v>216</v>
      </c>
      <c r="G72" s="889" t="s">
        <v>232</v>
      </c>
      <c r="H72" s="893"/>
      <c r="I72" s="893"/>
      <c r="J72" s="893">
        <v>1</v>
      </c>
      <c r="K72" s="893">
        <v>1</v>
      </c>
      <c r="L72" s="893">
        <v>1</v>
      </c>
      <c r="M72" s="893">
        <v>1</v>
      </c>
    </row>
    <row r="73" spans="1:13" ht="15.75">
      <c r="A73" s="5"/>
      <c r="B73" s="27"/>
      <c r="C73" s="5"/>
      <c r="D73" s="23"/>
      <c r="E73" s="23"/>
      <c r="F73" s="37"/>
      <c r="G73" s="23"/>
      <c r="H73" s="891"/>
      <c r="I73" s="891"/>
      <c r="J73" s="892"/>
      <c r="K73" s="892"/>
      <c r="L73" s="892"/>
      <c r="M73" s="892"/>
    </row>
    <row r="74" spans="1:13" ht="15.75">
      <c r="A74" s="5"/>
      <c r="B74" s="27"/>
      <c r="C74" s="5"/>
      <c r="D74" s="23" t="s">
        <v>43</v>
      </c>
      <c r="E74" s="23"/>
      <c r="F74" s="24" t="s">
        <v>246</v>
      </c>
      <c r="G74" s="889" t="s">
        <v>232</v>
      </c>
      <c r="H74" s="893">
        <v>1</v>
      </c>
      <c r="I74" s="893">
        <v>1</v>
      </c>
      <c r="J74" s="893">
        <v>1</v>
      </c>
      <c r="K74" s="893">
        <v>1</v>
      </c>
      <c r="L74" s="893">
        <v>1</v>
      </c>
      <c r="M74" s="893"/>
    </row>
    <row r="75" spans="1:13" ht="15.75">
      <c r="A75" s="5"/>
      <c r="B75" s="27"/>
      <c r="C75" s="5"/>
      <c r="D75" s="23" t="s">
        <v>106</v>
      </c>
      <c r="E75" s="23"/>
      <c r="F75" s="24" t="s">
        <v>246</v>
      </c>
      <c r="G75" s="889" t="s">
        <v>232</v>
      </c>
      <c r="H75" s="893">
        <v>1</v>
      </c>
      <c r="I75" s="893"/>
      <c r="J75" s="893"/>
      <c r="K75" s="893"/>
      <c r="L75" s="893"/>
      <c r="M75" s="893"/>
    </row>
    <row r="76" spans="1:13" ht="15.75">
      <c r="A76" s="5"/>
      <c r="B76" s="27"/>
      <c r="C76" s="5"/>
      <c r="D76" s="23" t="s">
        <v>107</v>
      </c>
      <c r="E76" s="23"/>
      <c r="F76" s="24" t="s">
        <v>246</v>
      </c>
      <c r="G76" s="889" t="s">
        <v>232</v>
      </c>
      <c r="H76" s="893">
        <v>1</v>
      </c>
      <c r="I76" s="893"/>
      <c r="J76" s="893"/>
      <c r="K76" s="893"/>
      <c r="L76" s="893"/>
      <c r="M76" s="893"/>
    </row>
    <row r="77" spans="1:13" ht="15.75">
      <c r="A77" s="5"/>
      <c r="B77" s="27"/>
      <c r="C77" s="5"/>
      <c r="D77" s="23" t="s">
        <v>48</v>
      </c>
      <c r="E77" s="23"/>
      <c r="F77" s="24" t="s">
        <v>246</v>
      </c>
      <c r="G77" s="889" t="s">
        <v>232</v>
      </c>
      <c r="H77" s="893">
        <v>1</v>
      </c>
      <c r="I77" s="893">
        <v>1</v>
      </c>
      <c r="J77" s="893">
        <v>1</v>
      </c>
      <c r="K77" s="893">
        <v>1</v>
      </c>
      <c r="L77" s="893">
        <v>1</v>
      </c>
      <c r="M77" s="893">
        <v>1</v>
      </c>
    </row>
    <row r="78" spans="1:13" ht="15.75">
      <c r="A78" s="5"/>
      <c r="B78" s="27"/>
      <c r="C78" s="5"/>
      <c r="D78" s="23" t="s">
        <v>108</v>
      </c>
      <c r="E78" s="23"/>
      <c r="F78" s="24" t="s">
        <v>246</v>
      </c>
      <c r="G78" s="889" t="s">
        <v>232</v>
      </c>
      <c r="H78" s="893">
        <v>1</v>
      </c>
      <c r="I78" s="893"/>
      <c r="J78" s="893"/>
      <c r="K78" s="893"/>
      <c r="L78" s="893"/>
      <c r="M78" s="893"/>
    </row>
    <row r="79" spans="1:13" ht="15.75">
      <c r="A79" s="5"/>
      <c r="B79" s="27"/>
      <c r="C79" s="5"/>
      <c r="D79" s="23" t="s">
        <v>79</v>
      </c>
      <c r="E79" s="23"/>
      <c r="F79" s="24" t="s">
        <v>246</v>
      </c>
      <c r="G79" s="889" t="s">
        <v>232</v>
      </c>
      <c r="H79" s="893">
        <v>1</v>
      </c>
      <c r="I79" s="893"/>
      <c r="J79" s="893"/>
      <c r="K79" s="893"/>
      <c r="L79" s="893"/>
      <c r="M79" s="893"/>
    </row>
    <row r="80" spans="1:13" ht="15.75">
      <c r="A80" s="5"/>
      <c r="B80" s="27"/>
      <c r="C80" s="5"/>
      <c r="D80" s="23" t="s">
        <v>49</v>
      </c>
      <c r="E80" s="23"/>
      <c r="F80" s="24" t="s">
        <v>246</v>
      </c>
      <c r="G80" s="889" t="s">
        <v>232</v>
      </c>
      <c r="H80" s="893">
        <v>1</v>
      </c>
      <c r="I80" s="893">
        <v>1</v>
      </c>
      <c r="J80" s="893">
        <v>1</v>
      </c>
      <c r="K80" s="893">
        <v>1</v>
      </c>
      <c r="L80" s="893">
        <v>1</v>
      </c>
      <c r="M80" s="893"/>
    </row>
    <row r="81" spans="1:13">
      <c r="A81" s="18"/>
      <c r="B81" s="19"/>
      <c r="C81" s="18"/>
      <c r="D81" s="23" t="s">
        <v>50</v>
      </c>
      <c r="E81" s="23"/>
      <c r="F81" s="24" t="s">
        <v>246</v>
      </c>
      <c r="G81" s="889" t="s">
        <v>232</v>
      </c>
      <c r="H81" s="893">
        <v>1</v>
      </c>
      <c r="I81" s="893">
        <v>1</v>
      </c>
      <c r="J81" s="893">
        <v>1</v>
      </c>
      <c r="K81" s="893">
        <v>1</v>
      </c>
      <c r="L81" s="893">
        <v>1</v>
      </c>
      <c r="M81" s="893">
        <v>1</v>
      </c>
    </row>
    <row r="82" spans="1:13">
      <c r="A82" s="18"/>
      <c r="B82" s="19"/>
      <c r="C82" s="18"/>
      <c r="D82" s="23" t="s">
        <v>52</v>
      </c>
      <c r="E82" s="23"/>
      <c r="F82" s="24" t="s">
        <v>246</v>
      </c>
      <c r="G82" s="889" t="s">
        <v>232</v>
      </c>
      <c r="H82" s="893">
        <v>1</v>
      </c>
      <c r="I82" s="893">
        <v>1</v>
      </c>
      <c r="J82" s="893">
        <v>1</v>
      </c>
      <c r="K82" s="893">
        <v>1</v>
      </c>
      <c r="L82" s="893">
        <v>1</v>
      </c>
      <c r="M82" s="893">
        <v>0</v>
      </c>
    </row>
    <row r="83" spans="1:13">
      <c r="A83" s="18"/>
      <c r="B83" s="19"/>
      <c r="C83" s="18"/>
      <c r="D83" s="23" t="s">
        <v>53</v>
      </c>
      <c r="E83" s="23"/>
      <c r="F83" s="24" t="s">
        <v>246</v>
      </c>
      <c r="G83" s="889" t="s">
        <v>232</v>
      </c>
      <c r="H83" s="893">
        <v>1</v>
      </c>
      <c r="I83" s="893">
        <v>1</v>
      </c>
      <c r="J83" s="893">
        <v>1</v>
      </c>
      <c r="K83" s="893">
        <v>1</v>
      </c>
      <c r="L83" s="893">
        <v>1</v>
      </c>
      <c r="M83" s="893">
        <v>1</v>
      </c>
    </row>
    <row r="84" spans="1:13">
      <c r="A84" s="18"/>
      <c r="B84" s="19"/>
      <c r="C84" s="18"/>
      <c r="D84" s="23" t="s">
        <v>66</v>
      </c>
      <c r="E84" s="23"/>
      <c r="F84" s="24" t="s">
        <v>246</v>
      </c>
      <c r="G84" s="889" t="s">
        <v>232</v>
      </c>
      <c r="H84" s="893">
        <v>1</v>
      </c>
      <c r="I84" s="893">
        <v>1</v>
      </c>
      <c r="J84" s="893">
        <v>1</v>
      </c>
      <c r="K84" s="893">
        <v>1</v>
      </c>
      <c r="L84" s="893">
        <v>1</v>
      </c>
      <c r="M84" s="893"/>
    </row>
    <row r="85" spans="1:13">
      <c r="A85" s="18"/>
      <c r="B85" s="19"/>
      <c r="C85" s="18"/>
      <c r="D85" s="23" t="s">
        <v>244</v>
      </c>
      <c r="E85" s="23"/>
      <c r="F85" s="24" t="s">
        <v>246</v>
      </c>
      <c r="G85" s="889" t="s">
        <v>232</v>
      </c>
      <c r="H85" s="893">
        <v>1</v>
      </c>
      <c r="I85" s="893"/>
      <c r="J85" s="893"/>
      <c r="K85" s="893"/>
      <c r="L85" s="893"/>
      <c r="M85" s="893"/>
    </row>
    <row r="86" spans="1:13">
      <c r="A86" s="18"/>
      <c r="B86" s="19"/>
      <c r="C86" s="18"/>
      <c r="D86" s="23" t="s">
        <v>67</v>
      </c>
      <c r="E86" s="23"/>
      <c r="F86" s="24" t="s">
        <v>246</v>
      </c>
      <c r="G86" s="889" t="s">
        <v>232</v>
      </c>
      <c r="H86" s="893">
        <v>1</v>
      </c>
      <c r="I86" s="893">
        <v>1</v>
      </c>
      <c r="J86" s="893">
        <v>1</v>
      </c>
      <c r="K86" s="893">
        <v>1</v>
      </c>
      <c r="L86" s="893">
        <v>1</v>
      </c>
      <c r="M86" s="893"/>
    </row>
    <row r="87" spans="1:13">
      <c r="A87" s="18"/>
      <c r="B87" s="19"/>
      <c r="C87" s="18"/>
      <c r="D87" s="23" t="s">
        <v>54</v>
      </c>
      <c r="E87" s="23"/>
      <c r="F87" s="24" t="s">
        <v>246</v>
      </c>
      <c r="G87" s="889" t="s">
        <v>232</v>
      </c>
      <c r="H87" s="893">
        <v>1</v>
      </c>
      <c r="I87" s="893">
        <v>1</v>
      </c>
      <c r="J87" s="893">
        <v>1</v>
      </c>
      <c r="K87" s="893">
        <v>1</v>
      </c>
      <c r="L87" s="893">
        <v>1</v>
      </c>
      <c r="M87" s="893">
        <v>1</v>
      </c>
    </row>
    <row r="88" spans="1:13">
      <c r="A88" s="18"/>
      <c r="B88" s="19"/>
      <c r="C88" s="18"/>
      <c r="D88" s="23" t="s">
        <v>68</v>
      </c>
      <c r="E88" s="23"/>
      <c r="F88" s="24" t="s">
        <v>246</v>
      </c>
      <c r="G88" s="889" t="s">
        <v>232</v>
      </c>
      <c r="H88" s="893">
        <v>1</v>
      </c>
      <c r="I88" s="893">
        <v>1</v>
      </c>
      <c r="J88" s="893">
        <v>1</v>
      </c>
      <c r="K88" s="893">
        <v>1</v>
      </c>
      <c r="L88" s="893">
        <v>1</v>
      </c>
      <c r="M88" s="893"/>
    </row>
    <row r="89" spans="1:13">
      <c r="A89" s="18"/>
      <c r="B89" s="19"/>
      <c r="C89" s="18"/>
      <c r="D89" s="23" t="s">
        <v>245</v>
      </c>
      <c r="E89" s="23"/>
      <c r="F89" s="24" t="s">
        <v>246</v>
      </c>
      <c r="G89" s="889" t="s">
        <v>232</v>
      </c>
      <c r="H89" s="893">
        <v>1</v>
      </c>
      <c r="I89" s="893">
        <v>1</v>
      </c>
      <c r="J89" s="893">
        <v>1</v>
      </c>
      <c r="K89" s="893">
        <v>1</v>
      </c>
      <c r="L89" s="893">
        <v>1</v>
      </c>
      <c r="M89" s="893"/>
    </row>
    <row r="90" spans="1:13">
      <c r="A90" s="18"/>
      <c r="B90" s="19"/>
      <c r="C90" s="18"/>
      <c r="D90" s="23" t="s">
        <v>57</v>
      </c>
      <c r="E90" s="23"/>
      <c r="F90" s="24" t="s">
        <v>246</v>
      </c>
      <c r="G90" s="889" t="s">
        <v>232</v>
      </c>
      <c r="H90" s="893"/>
      <c r="I90" s="893"/>
      <c r="J90" s="893">
        <v>1</v>
      </c>
      <c r="K90" s="893">
        <v>1</v>
      </c>
      <c r="L90" s="893">
        <v>1</v>
      </c>
      <c r="M90" s="893">
        <v>1</v>
      </c>
    </row>
    <row r="91" spans="1:13">
      <c r="A91" s="18"/>
      <c r="B91" s="19"/>
      <c r="C91" s="18"/>
      <c r="D91" s="23" t="s">
        <v>84</v>
      </c>
      <c r="E91" s="23"/>
      <c r="F91" s="24" t="s">
        <v>246</v>
      </c>
      <c r="G91" s="889" t="s">
        <v>232</v>
      </c>
      <c r="H91" s="893"/>
      <c r="I91" s="893"/>
      <c r="J91" s="893">
        <v>1</v>
      </c>
      <c r="K91" s="893">
        <v>1</v>
      </c>
      <c r="L91" s="893">
        <v>1</v>
      </c>
      <c r="M91" s="893">
        <v>1</v>
      </c>
    </row>
    <row r="92" spans="1:13">
      <c r="A92" s="18"/>
      <c r="B92" s="19"/>
      <c r="C92" s="18"/>
      <c r="D92" s="23" t="s">
        <v>97</v>
      </c>
      <c r="E92" s="23"/>
      <c r="F92" s="24" t="s">
        <v>246</v>
      </c>
      <c r="G92" s="889" t="s">
        <v>232</v>
      </c>
      <c r="H92" s="893"/>
      <c r="I92" s="893"/>
      <c r="J92" s="893">
        <v>1</v>
      </c>
      <c r="K92" s="893">
        <v>1</v>
      </c>
      <c r="L92" s="893">
        <v>1</v>
      </c>
      <c r="M92" s="893">
        <v>1</v>
      </c>
    </row>
    <row r="93" spans="1:13" ht="15.75">
      <c r="A93" s="18"/>
      <c r="B93" s="38"/>
      <c r="C93" s="18"/>
      <c r="D93" s="18"/>
      <c r="E93" s="18"/>
      <c r="F93" s="30"/>
      <c r="G93" s="884"/>
      <c r="H93" s="884"/>
      <c r="I93" s="884"/>
      <c r="J93" s="5"/>
      <c r="K93" s="5"/>
      <c r="L93" s="5"/>
      <c r="M93" s="5"/>
    </row>
    <row r="94" spans="1:13" ht="15.75">
      <c r="A94" s="18"/>
      <c r="B94" s="38"/>
      <c r="C94" s="18"/>
      <c r="D94" s="18"/>
      <c r="E94" s="18"/>
      <c r="F94" s="30"/>
      <c r="G94" s="884"/>
      <c r="H94" s="884"/>
      <c r="I94" s="884"/>
      <c r="J94" s="5"/>
      <c r="K94" s="5"/>
      <c r="L94" s="5"/>
      <c r="M94" s="5"/>
    </row>
    <row r="95" spans="1:13" ht="15.75">
      <c r="A95" s="15"/>
      <c r="B95" s="15"/>
      <c r="C95" s="15"/>
      <c r="D95" s="16" t="s">
        <v>247</v>
      </c>
      <c r="E95" s="16"/>
      <c r="F95" s="17"/>
      <c r="G95" s="17"/>
      <c r="H95" s="17"/>
      <c r="I95" s="15"/>
      <c r="J95" s="5"/>
      <c r="K95" s="5"/>
      <c r="L95" s="5"/>
      <c r="M95" s="5"/>
    </row>
    <row r="96" spans="1:13" ht="15.75">
      <c r="A96" s="18"/>
      <c r="B96" s="19"/>
      <c r="C96" s="18"/>
      <c r="D96" s="39"/>
      <c r="E96" s="39"/>
      <c r="F96" s="30"/>
      <c r="G96" s="884"/>
      <c r="H96" s="884"/>
      <c r="I96" s="884"/>
      <c r="J96" s="5"/>
      <c r="K96" s="5"/>
      <c r="L96" s="5"/>
      <c r="M96" s="5"/>
    </row>
    <row r="97" spans="1:13" ht="15.75">
      <c r="A97" s="18"/>
      <c r="B97" s="19"/>
      <c r="C97" s="18"/>
      <c r="D97" s="16" t="s">
        <v>248</v>
      </c>
      <c r="E97" s="40"/>
      <c r="F97" s="41"/>
      <c r="G97" s="894"/>
      <c r="H97" s="894"/>
      <c r="I97" s="884"/>
      <c r="J97" s="5"/>
      <c r="K97" s="5"/>
      <c r="L97" s="5"/>
      <c r="M97" s="5"/>
    </row>
    <row r="98" spans="1:13" ht="15.75">
      <c r="A98" s="18"/>
      <c r="B98" s="19"/>
      <c r="C98" s="18"/>
      <c r="D98" s="42" t="s">
        <v>249</v>
      </c>
      <c r="E98" s="42" t="s">
        <v>250</v>
      </c>
      <c r="F98" s="43"/>
      <c r="G98" s="886" t="s">
        <v>214</v>
      </c>
      <c r="H98" s="887">
        <v>1</v>
      </c>
      <c r="I98" s="884" t="s">
        <v>215</v>
      </c>
      <c r="J98" s="5"/>
      <c r="K98" s="5"/>
      <c r="L98" s="5"/>
      <c r="M98" s="5"/>
    </row>
    <row r="99" spans="1:13" ht="15.75">
      <c r="A99" s="18"/>
      <c r="B99" s="19"/>
      <c r="C99" s="18"/>
      <c r="D99" s="42" t="s">
        <v>251</v>
      </c>
      <c r="E99" s="42" t="s">
        <v>252</v>
      </c>
      <c r="F99" s="43"/>
      <c r="G99" s="886" t="s">
        <v>214</v>
      </c>
      <c r="H99" s="887">
        <v>1</v>
      </c>
      <c r="I99" s="884" t="s">
        <v>215</v>
      </c>
      <c r="J99" s="5"/>
      <c r="K99" s="5"/>
      <c r="L99" s="5"/>
      <c r="M99" s="5"/>
    </row>
    <row r="100" spans="1:13" ht="15.75">
      <c r="A100" s="18"/>
      <c r="B100" s="19"/>
      <c r="C100" s="18"/>
      <c r="D100" s="39"/>
      <c r="E100" s="39"/>
      <c r="F100" s="30"/>
      <c r="G100" s="884"/>
      <c r="H100" s="884"/>
      <c r="I100" s="884"/>
      <c r="J100" s="5"/>
      <c r="K100" s="5"/>
      <c r="L100" s="5"/>
      <c r="M100" s="5"/>
    </row>
    <row r="101" spans="1:13" ht="15.75">
      <c r="A101" s="18"/>
      <c r="B101" s="19"/>
      <c r="C101" s="18"/>
      <c r="D101" s="16" t="s">
        <v>253</v>
      </c>
      <c r="E101" s="40"/>
      <c r="F101" s="41"/>
      <c r="G101" s="894"/>
      <c r="H101" s="894"/>
      <c r="I101" s="884"/>
      <c r="J101" s="5"/>
      <c r="K101" s="5"/>
      <c r="L101" s="5"/>
      <c r="M101" s="5"/>
    </row>
    <row r="102" spans="1:13" ht="15.75">
      <c r="A102" s="18"/>
      <c r="B102" s="19"/>
      <c r="C102" s="18"/>
      <c r="D102" s="42" t="s">
        <v>249</v>
      </c>
      <c r="E102" s="42" t="s">
        <v>250</v>
      </c>
      <c r="F102" s="43"/>
      <c r="G102" s="26" t="s">
        <v>225</v>
      </c>
      <c r="H102" s="888">
        <v>1</v>
      </c>
      <c r="I102" s="884" t="s">
        <v>215</v>
      </c>
      <c r="J102" s="5"/>
      <c r="K102" s="5"/>
      <c r="L102" s="5"/>
      <c r="M102" s="5"/>
    </row>
    <row r="103" spans="1:13" ht="15.75">
      <c r="A103" s="18"/>
      <c r="B103" s="19"/>
      <c r="C103" s="18"/>
      <c r="D103" s="42" t="s">
        <v>249</v>
      </c>
      <c r="E103" s="42" t="s">
        <v>252</v>
      </c>
      <c r="F103" s="43"/>
      <c r="G103" s="26" t="s">
        <v>225</v>
      </c>
      <c r="H103" s="888">
        <v>1</v>
      </c>
      <c r="I103" s="884" t="s">
        <v>215</v>
      </c>
      <c r="J103" s="5"/>
      <c r="K103" s="5"/>
      <c r="L103" s="5"/>
      <c r="M103" s="5"/>
    </row>
    <row r="104" spans="1:13" ht="15.75">
      <c r="A104" s="18"/>
      <c r="B104" s="38"/>
      <c r="C104" s="18"/>
      <c r="D104" s="39"/>
      <c r="E104" s="39"/>
      <c r="F104" s="30"/>
      <c r="G104" s="884"/>
      <c r="H104" s="884"/>
      <c r="I104" s="884"/>
      <c r="J104" s="5"/>
      <c r="K104" s="5"/>
      <c r="L104" s="5"/>
      <c r="M104" s="5"/>
    </row>
    <row r="105" spans="1:13" ht="15.75">
      <c r="A105" s="18"/>
      <c r="B105" s="38"/>
      <c r="C105" s="18"/>
      <c r="D105" s="39"/>
      <c r="E105" s="39"/>
      <c r="F105" s="30"/>
      <c r="G105" s="884"/>
      <c r="H105" s="884"/>
      <c r="I105" s="884"/>
      <c r="J105" s="5"/>
      <c r="K105" s="5"/>
      <c r="L105" s="5"/>
      <c r="M105" s="5"/>
    </row>
    <row r="106" spans="1:13" ht="15.75">
      <c r="A106" s="44"/>
      <c r="B106" s="44"/>
      <c r="C106" s="44"/>
      <c r="D106" s="16" t="s">
        <v>254</v>
      </c>
      <c r="E106" s="16"/>
      <c r="F106" s="44"/>
      <c r="G106" s="45"/>
      <c r="H106" s="45"/>
      <c r="I106" s="45"/>
      <c r="J106" s="5"/>
      <c r="K106" s="5"/>
      <c r="L106" s="5"/>
      <c r="M106" s="5"/>
    </row>
    <row r="107" spans="1:13" ht="15.75">
      <c r="A107" s="18"/>
      <c r="B107" s="19"/>
      <c r="C107" s="18"/>
      <c r="D107" s="46"/>
      <c r="E107" s="46"/>
      <c r="F107" s="30"/>
      <c r="G107" s="18"/>
      <c r="H107" s="18"/>
      <c r="I107" s="18"/>
      <c r="J107" s="5"/>
      <c r="K107" s="5"/>
      <c r="L107" s="5"/>
      <c r="M107" s="5"/>
    </row>
    <row r="108" spans="1:13" ht="15.75">
      <c r="A108" s="18"/>
      <c r="B108" s="19"/>
      <c r="C108" s="18"/>
      <c r="D108" s="42" t="s">
        <v>255</v>
      </c>
      <c r="E108" s="42" t="s">
        <v>256</v>
      </c>
      <c r="F108" s="41" t="s">
        <v>213</v>
      </c>
      <c r="G108" s="889" t="s">
        <v>232</v>
      </c>
      <c r="H108" s="889"/>
      <c r="I108" s="884" t="s">
        <v>215</v>
      </c>
      <c r="J108" s="895"/>
      <c r="K108" s="5"/>
      <c r="L108" s="5"/>
      <c r="M108" s="5"/>
    </row>
    <row r="109" spans="1:13" ht="15.75">
      <c r="A109" s="18"/>
      <c r="B109" s="19"/>
      <c r="C109" s="18"/>
      <c r="D109" s="42" t="s">
        <v>257</v>
      </c>
      <c r="E109" s="42" t="s">
        <v>256</v>
      </c>
      <c r="F109" s="41" t="s">
        <v>213</v>
      </c>
      <c r="G109" s="889" t="s">
        <v>232</v>
      </c>
      <c r="H109" s="889"/>
      <c r="I109" s="884" t="s">
        <v>215</v>
      </c>
      <c r="J109" s="895"/>
      <c r="K109" s="5"/>
      <c r="L109" s="5"/>
      <c r="M109" s="5"/>
    </row>
    <row r="110" spans="1:13" ht="15.75">
      <c r="A110" s="18"/>
      <c r="B110" s="19"/>
      <c r="C110" s="18"/>
      <c r="D110" s="42" t="s">
        <v>258</v>
      </c>
      <c r="E110" s="42" t="s">
        <v>256</v>
      </c>
      <c r="F110" s="41" t="s">
        <v>213</v>
      </c>
      <c r="G110" s="889" t="s">
        <v>232</v>
      </c>
      <c r="H110" s="889"/>
      <c r="I110" s="884" t="s">
        <v>215</v>
      </c>
      <c r="J110" s="895"/>
      <c r="K110" s="5"/>
      <c r="L110" s="5"/>
      <c r="M110" s="5"/>
    </row>
    <row r="111" spans="1:13" ht="15.75">
      <c r="A111" s="18"/>
      <c r="B111" s="19"/>
      <c r="C111" s="18"/>
      <c r="D111" s="42" t="s">
        <v>259</v>
      </c>
      <c r="E111" s="42" t="s">
        <v>256</v>
      </c>
      <c r="F111" s="41" t="s">
        <v>213</v>
      </c>
      <c r="G111" s="889" t="s">
        <v>232</v>
      </c>
      <c r="H111" s="889"/>
      <c r="I111" s="884" t="s">
        <v>215</v>
      </c>
      <c r="J111" s="895"/>
      <c r="K111" s="5"/>
      <c r="L111" s="5"/>
      <c r="M111" s="5"/>
    </row>
    <row r="112" spans="1:13" ht="15.75">
      <c r="A112" s="18"/>
      <c r="B112" s="19"/>
      <c r="C112" s="18"/>
      <c r="D112" s="42" t="s">
        <v>260</v>
      </c>
      <c r="E112" s="42" t="s">
        <v>256</v>
      </c>
      <c r="F112" s="41" t="s">
        <v>213</v>
      </c>
      <c r="G112" s="889" t="s">
        <v>232</v>
      </c>
      <c r="H112" s="889"/>
      <c r="I112" s="884" t="s">
        <v>215</v>
      </c>
      <c r="J112" s="895"/>
      <c r="K112" s="5"/>
      <c r="L112" s="5"/>
      <c r="M112" s="5"/>
    </row>
    <row r="113" spans="1:13" ht="15.75">
      <c r="A113" s="5"/>
      <c r="B113" s="27"/>
      <c r="C113" s="5"/>
      <c r="D113" s="42" t="s">
        <v>261</v>
      </c>
      <c r="E113" s="42" t="s">
        <v>256</v>
      </c>
      <c r="F113" s="41" t="s">
        <v>213</v>
      </c>
      <c r="G113" s="889" t="s">
        <v>232</v>
      </c>
      <c r="H113" s="889"/>
      <c r="I113" s="884" t="s">
        <v>215</v>
      </c>
      <c r="J113" s="895"/>
      <c r="K113" s="5"/>
      <c r="L113" s="5"/>
      <c r="M113" s="5"/>
    </row>
    <row r="114" spans="1:13" ht="15.75">
      <c r="A114" s="5"/>
      <c r="B114" s="27"/>
      <c r="C114" s="5"/>
      <c r="D114" s="42" t="s">
        <v>262</v>
      </c>
      <c r="E114" s="42" t="s">
        <v>256</v>
      </c>
      <c r="F114" s="41" t="s">
        <v>213</v>
      </c>
      <c r="G114" s="889" t="s">
        <v>232</v>
      </c>
      <c r="H114" s="889"/>
      <c r="I114" s="884" t="s">
        <v>215</v>
      </c>
      <c r="J114" s="895"/>
      <c r="K114" s="5"/>
      <c r="L114" s="5"/>
      <c r="M114" s="5"/>
    </row>
    <row r="115" spans="1:13" ht="15.75">
      <c r="A115" s="5"/>
      <c r="B115" s="27"/>
      <c r="C115" s="5"/>
      <c r="D115" s="42" t="s">
        <v>263</v>
      </c>
      <c r="E115" s="42" t="s">
        <v>256</v>
      </c>
      <c r="F115" s="41" t="s">
        <v>213</v>
      </c>
      <c r="G115" s="889" t="s">
        <v>232</v>
      </c>
      <c r="H115" s="889"/>
      <c r="I115" s="884" t="s">
        <v>215</v>
      </c>
      <c r="J115" s="895"/>
      <c r="K115" s="5"/>
      <c r="L115" s="5"/>
      <c r="M115" s="5"/>
    </row>
    <row r="116" spans="1:13" ht="15.75">
      <c r="A116" s="5"/>
      <c r="B116" s="27"/>
      <c r="C116" s="5"/>
      <c r="D116" s="42" t="s">
        <v>264</v>
      </c>
      <c r="E116" s="42" t="s">
        <v>256</v>
      </c>
      <c r="F116" s="41" t="s">
        <v>213</v>
      </c>
      <c r="G116" s="889" t="s">
        <v>232</v>
      </c>
      <c r="H116" s="889"/>
      <c r="I116" s="884" t="s">
        <v>215</v>
      </c>
      <c r="J116" s="895"/>
      <c r="K116" s="5"/>
      <c r="L116" s="5"/>
      <c r="M116" s="5"/>
    </row>
    <row r="117" spans="1:13" ht="15.75">
      <c r="A117" s="5"/>
      <c r="B117" s="27"/>
      <c r="C117" s="5"/>
      <c r="D117" s="42" t="s">
        <v>263</v>
      </c>
      <c r="E117" s="42" t="s">
        <v>256</v>
      </c>
      <c r="F117" s="41" t="s">
        <v>265</v>
      </c>
      <c r="G117" s="889" t="s">
        <v>232</v>
      </c>
      <c r="H117" s="889"/>
      <c r="I117" s="884" t="s">
        <v>215</v>
      </c>
      <c r="J117" s="5"/>
      <c r="K117" s="5"/>
      <c r="L117" s="5"/>
      <c r="M117" s="5"/>
    </row>
    <row r="118" spans="1:13" ht="15.75">
      <c r="A118" s="5"/>
      <c r="B118" s="27"/>
      <c r="C118" s="5"/>
      <c r="D118" s="42" t="s">
        <v>255</v>
      </c>
      <c r="E118" s="42" t="s">
        <v>266</v>
      </c>
      <c r="F118" s="41" t="s">
        <v>213</v>
      </c>
      <c r="G118" s="889" t="s">
        <v>232</v>
      </c>
      <c r="H118" s="889"/>
      <c r="I118" s="884" t="s">
        <v>215</v>
      </c>
      <c r="J118" s="5"/>
      <c r="K118" s="5"/>
      <c r="L118" s="5"/>
      <c r="M118" s="5"/>
    </row>
    <row r="119" spans="1:13" ht="15.75">
      <c r="A119" s="5"/>
      <c r="B119" s="27"/>
      <c r="C119" s="5"/>
      <c r="D119" s="42" t="s">
        <v>257</v>
      </c>
      <c r="E119" s="42" t="s">
        <v>266</v>
      </c>
      <c r="F119" s="41" t="s">
        <v>213</v>
      </c>
      <c r="G119" s="889" t="s">
        <v>232</v>
      </c>
      <c r="H119" s="889"/>
      <c r="I119" s="884" t="s">
        <v>215</v>
      </c>
      <c r="J119" s="5"/>
      <c r="K119" s="5"/>
      <c r="L119" s="5"/>
      <c r="M119" s="5"/>
    </row>
    <row r="120" spans="1:13" ht="15.75">
      <c r="A120" s="5"/>
      <c r="B120" s="27"/>
      <c r="C120" s="5"/>
      <c r="D120" s="42" t="s">
        <v>258</v>
      </c>
      <c r="E120" s="42" t="s">
        <v>266</v>
      </c>
      <c r="F120" s="41" t="s">
        <v>213</v>
      </c>
      <c r="G120" s="889" t="s">
        <v>232</v>
      </c>
      <c r="H120" s="889"/>
      <c r="I120" s="884" t="s">
        <v>215</v>
      </c>
      <c r="J120" s="5"/>
      <c r="K120" s="5"/>
      <c r="L120" s="5"/>
      <c r="M120" s="5"/>
    </row>
    <row r="121" spans="1:13" ht="15.75">
      <c r="A121" s="5"/>
      <c r="B121" s="27"/>
      <c r="C121" s="5"/>
      <c r="D121" s="42" t="s">
        <v>259</v>
      </c>
      <c r="E121" s="42" t="s">
        <v>266</v>
      </c>
      <c r="F121" s="41" t="s">
        <v>213</v>
      </c>
      <c r="G121" s="889" t="s">
        <v>232</v>
      </c>
      <c r="H121" s="889"/>
      <c r="I121" s="884" t="s">
        <v>215</v>
      </c>
      <c r="J121" s="5"/>
      <c r="K121" s="5"/>
      <c r="L121" s="5"/>
      <c r="M121" s="5"/>
    </row>
    <row r="122" spans="1:13" ht="15.75">
      <c r="A122" s="5"/>
      <c r="B122" s="27"/>
      <c r="C122" s="5"/>
      <c r="D122" s="42" t="s">
        <v>260</v>
      </c>
      <c r="E122" s="42" t="s">
        <v>266</v>
      </c>
      <c r="F122" s="41" t="s">
        <v>213</v>
      </c>
      <c r="G122" s="889" t="s">
        <v>232</v>
      </c>
      <c r="H122" s="889"/>
      <c r="I122" s="884" t="s">
        <v>215</v>
      </c>
      <c r="J122" s="5"/>
      <c r="K122" s="5"/>
      <c r="L122" s="5"/>
      <c r="M122" s="5"/>
    </row>
    <row r="123" spans="1:13" ht="15.75">
      <c r="A123" s="5"/>
      <c r="B123" s="27"/>
      <c r="C123" s="5"/>
      <c r="D123" s="42" t="s">
        <v>261</v>
      </c>
      <c r="E123" s="42" t="s">
        <v>266</v>
      </c>
      <c r="F123" s="41" t="s">
        <v>213</v>
      </c>
      <c r="G123" s="889" t="s">
        <v>232</v>
      </c>
      <c r="H123" s="889"/>
      <c r="I123" s="884" t="s">
        <v>215</v>
      </c>
      <c r="J123" s="5"/>
      <c r="K123" s="5"/>
      <c r="L123" s="5"/>
      <c r="M123" s="5"/>
    </row>
    <row r="124" spans="1:13" ht="15.75">
      <c r="A124" s="5"/>
      <c r="B124" s="27"/>
      <c r="C124" s="5"/>
      <c r="D124" s="42" t="s">
        <v>262</v>
      </c>
      <c r="E124" s="42" t="s">
        <v>266</v>
      </c>
      <c r="F124" s="41" t="s">
        <v>213</v>
      </c>
      <c r="G124" s="889" t="s">
        <v>232</v>
      </c>
      <c r="H124" s="889"/>
      <c r="I124" s="884" t="s">
        <v>215</v>
      </c>
      <c r="J124" s="5"/>
      <c r="K124" s="5"/>
      <c r="L124" s="5"/>
      <c r="M124" s="5"/>
    </row>
    <row r="125" spans="1:13" ht="15.75">
      <c r="A125" s="5"/>
      <c r="B125" s="27"/>
      <c r="C125" s="5"/>
      <c r="D125" s="42" t="s">
        <v>263</v>
      </c>
      <c r="E125" s="42" t="s">
        <v>266</v>
      </c>
      <c r="F125" s="41" t="s">
        <v>213</v>
      </c>
      <c r="G125" s="889" t="s">
        <v>232</v>
      </c>
      <c r="H125" s="889"/>
      <c r="I125" s="884" t="s">
        <v>215</v>
      </c>
      <c r="J125" s="5"/>
      <c r="K125" s="5"/>
      <c r="L125" s="5"/>
      <c r="M125" s="5"/>
    </row>
    <row r="126" spans="1:13" ht="15.75">
      <c r="A126" s="5"/>
      <c r="B126" s="27"/>
      <c r="C126" s="5"/>
      <c r="D126" s="42" t="s">
        <v>264</v>
      </c>
      <c r="E126" s="42" t="s">
        <v>266</v>
      </c>
      <c r="F126" s="41" t="s">
        <v>213</v>
      </c>
      <c r="G126" s="889" t="s">
        <v>232</v>
      </c>
      <c r="H126" s="889"/>
      <c r="I126" s="884" t="s">
        <v>215</v>
      </c>
      <c r="J126" s="5"/>
      <c r="K126" s="5"/>
      <c r="L126" s="5"/>
      <c r="M126" s="5"/>
    </row>
    <row r="127" spans="1:13" ht="15.75">
      <c r="A127" s="5"/>
      <c r="B127" s="27"/>
      <c r="C127" s="5"/>
      <c r="D127" s="42" t="s">
        <v>263</v>
      </c>
      <c r="E127" s="42" t="s">
        <v>266</v>
      </c>
      <c r="F127" s="41" t="s">
        <v>265</v>
      </c>
      <c r="G127" s="889" t="s">
        <v>232</v>
      </c>
      <c r="H127" s="889"/>
      <c r="I127" s="884" t="s">
        <v>215</v>
      </c>
      <c r="J127" s="5"/>
      <c r="K127" s="5"/>
      <c r="L127" s="5"/>
      <c r="M127" s="5"/>
    </row>
    <row r="128" spans="1:13" ht="15.75">
      <c r="A128" s="5"/>
      <c r="B128" s="27"/>
      <c r="C128" s="5"/>
      <c r="D128" s="42" t="s">
        <v>255</v>
      </c>
      <c r="E128" s="42"/>
      <c r="F128" s="41" t="s">
        <v>216</v>
      </c>
      <c r="G128" s="889" t="s">
        <v>232</v>
      </c>
      <c r="H128" s="896">
        <v>1</v>
      </c>
      <c r="I128" s="884" t="s">
        <v>215</v>
      </c>
      <c r="J128" s="5"/>
      <c r="K128" s="5"/>
      <c r="L128" s="5"/>
      <c r="M128" s="5"/>
    </row>
    <row r="129" spans="1:13" ht="15.75">
      <c r="A129" s="18"/>
      <c r="B129" s="19"/>
      <c r="C129" s="18"/>
      <c r="D129" s="42" t="s">
        <v>257</v>
      </c>
      <c r="E129" s="42"/>
      <c r="F129" s="41" t="s">
        <v>216</v>
      </c>
      <c r="G129" s="889" t="s">
        <v>232</v>
      </c>
      <c r="H129" s="896">
        <v>1</v>
      </c>
      <c r="I129" s="884" t="s">
        <v>215</v>
      </c>
      <c r="J129" s="5"/>
      <c r="K129" s="5"/>
      <c r="L129" s="5"/>
      <c r="M129" s="5"/>
    </row>
    <row r="130" spans="1:13" ht="15.75">
      <c r="A130" s="18"/>
      <c r="B130" s="19"/>
      <c r="C130" s="18"/>
      <c r="D130" s="42" t="s">
        <v>258</v>
      </c>
      <c r="E130" s="42"/>
      <c r="F130" s="41" t="s">
        <v>216</v>
      </c>
      <c r="G130" s="889" t="s">
        <v>232</v>
      </c>
      <c r="H130" s="896">
        <v>1</v>
      </c>
      <c r="I130" s="884" t="s">
        <v>215</v>
      </c>
      <c r="J130" s="5"/>
      <c r="K130" s="5"/>
      <c r="L130" s="5"/>
      <c r="M130" s="5"/>
    </row>
    <row r="131" spans="1:13" ht="15.75">
      <c r="A131" s="18"/>
      <c r="B131" s="19"/>
      <c r="C131" s="18"/>
      <c r="D131" s="42" t="s">
        <v>259</v>
      </c>
      <c r="E131" s="42"/>
      <c r="F131" s="41" t="s">
        <v>216</v>
      </c>
      <c r="G131" s="889" t="s">
        <v>232</v>
      </c>
      <c r="H131" s="896">
        <v>1</v>
      </c>
      <c r="I131" s="884" t="s">
        <v>215</v>
      </c>
      <c r="J131" s="5"/>
      <c r="K131" s="5"/>
      <c r="L131" s="5"/>
      <c r="M131" s="5"/>
    </row>
    <row r="132" spans="1:13" ht="15.75">
      <c r="A132" s="18"/>
      <c r="B132" s="19"/>
      <c r="C132" s="18"/>
      <c r="D132" s="42" t="s">
        <v>260</v>
      </c>
      <c r="E132" s="42"/>
      <c r="F132" s="41" t="s">
        <v>216</v>
      </c>
      <c r="G132" s="889" t="s">
        <v>232</v>
      </c>
      <c r="H132" s="896">
        <v>1</v>
      </c>
      <c r="I132" s="884" t="s">
        <v>215</v>
      </c>
      <c r="J132" s="5"/>
      <c r="K132" s="5"/>
      <c r="L132" s="5"/>
      <c r="M132" s="5"/>
    </row>
    <row r="133" spans="1:13" ht="15.75">
      <c r="A133" s="18"/>
      <c r="B133" s="19"/>
      <c r="C133" s="18"/>
      <c r="D133" s="42" t="s">
        <v>261</v>
      </c>
      <c r="E133" s="42"/>
      <c r="F133" s="41" t="s">
        <v>216</v>
      </c>
      <c r="G133" s="889" t="s">
        <v>232</v>
      </c>
      <c r="H133" s="896">
        <v>1</v>
      </c>
      <c r="I133" s="884" t="s">
        <v>215</v>
      </c>
      <c r="J133" s="5"/>
      <c r="K133" s="5"/>
      <c r="L133" s="5"/>
      <c r="M133" s="5"/>
    </row>
    <row r="134" spans="1:13" ht="15.75">
      <c r="A134" s="18"/>
      <c r="B134" s="19"/>
      <c r="C134" s="18"/>
      <c r="D134" s="42" t="s">
        <v>262</v>
      </c>
      <c r="E134" s="42"/>
      <c r="F134" s="41" t="s">
        <v>216</v>
      </c>
      <c r="G134" s="889" t="s">
        <v>232</v>
      </c>
      <c r="H134" s="896">
        <v>1</v>
      </c>
      <c r="I134" s="884" t="s">
        <v>215</v>
      </c>
      <c r="J134" s="5"/>
      <c r="K134" s="5"/>
      <c r="L134" s="5"/>
      <c r="M134" s="5"/>
    </row>
    <row r="135" spans="1:13" ht="15.75">
      <c r="A135" s="18"/>
      <c r="B135" s="19"/>
      <c r="C135" s="18"/>
      <c r="D135" s="42" t="s">
        <v>263</v>
      </c>
      <c r="E135" s="42"/>
      <c r="F135" s="41" t="s">
        <v>216</v>
      </c>
      <c r="G135" s="889" t="s">
        <v>232</v>
      </c>
      <c r="H135" s="896">
        <v>1</v>
      </c>
      <c r="I135" s="884" t="s">
        <v>215</v>
      </c>
      <c r="J135" s="5"/>
      <c r="K135" s="5"/>
      <c r="L135" s="5"/>
      <c r="M135" s="5"/>
    </row>
    <row r="136" spans="1:13" ht="15.75">
      <c r="A136" s="18"/>
      <c r="B136" s="19"/>
      <c r="C136" s="18"/>
      <c r="D136" s="39"/>
      <c r="E136" s="39"/>
      <c r="F136" s="30"/>
      <c r="G136" s="884"/>
      <c r="H136" s="884"/>
      <c r="I136" s="884"/>
      <c r="J136" s="5"/>
      <c r="K136" s="5"/>
      <c r="L136" s="5"/>
      <c r="M136" s="5"/>
    </row>
    <row r="137" spans="1:13" ht="15.75">
      <c r="A137" s="18"/>
      <c r="B137" s="19"/>
      <c r="C137" s="18"/>
      <c r="D137" s="39"/>
      <c r="E137" s="39"/>
      <c r="F137" s="47"/>
      <c r="G137" s="884"/>
      <c r="H137" s="884"/>
      <c r="I137" s="884"/>
      <c r="J137" s="5"/>
      <c r="K137" s="5"/>
      <c r="L137" s="5"/>
      <c r="M137" s="5"/>
    </row>
    <row r="138" spans="1:13" ht="15.75">
      <c r="A138" s="18"/>
      <c r="B138" s="38"/>
      <c r="C138" s="18"/>
      <c r="D138" s="39"/>
      <c r="E138" s="39"/>
      <c r="F138" s="30"/>
      <c r="G138" s="884"/>
      <c r="H138" s="884"/>
      <c r="I138" s="884"/>
      <c r="J138" s="5"/>
      <c r="K138" s="5"/>
      <c r="L138" s="5"/>
      <c r="M138" s="5"/>
    </row>
    <row r="139" spans="1:13" ht="15.75">
      <c r="A139" s="44"/>
      <c r="B139" s="44"/>
      <c r="C139" s="44"/>
      <c r="D139" s="16" t="s">
        <v>267</v>
      </c>
      <c r="E139" s="16"/>
      <c r="F139" s="44"/>
      <c r="G139" s="45"/>
      <c r="H139" s="45"/>
      <c r="I139" s="45"/>
      <c r="J139" s="5"/>
      <c r="K139" s="5"/>
      <c r="L139" s="5"/>
      <c r="M139" s="5"/>
    </row>
    <row r="140" spans="1:13" ht="15.75">
      <c r="A140" s="18"/>
      <c r="B140" s="19"/>
      <c r="C140" s="18"/>
      <c r="D140" s="18"/>
      <c r="E140" s="18"/>
      <c r="F140" s="30"/>
      <c r="G140" s="884"/>
      <c r="H140" s="884"/>
      <c r="I140" s="884"/>
      <c r="J140" s="5"/>
      <c r="K140" s="5"/>
      <c r="L140" s="5"/>
      <c r="M140" s="5"/>
    </row>
    <row r="141" spans="1:13" ht="15.75">
      <c r="A141" s="18"/>
      <c r="B141" s="19"/>
      <c r="C141" s="18"/>
      <c r="D141" s="48" t="s">
        <v>268</v>
      </c>
      <c r="E141" s="48" t="s">
        <v>269</v>
      </c>
      <c r="F141" s="24" t="s">
        <v>235</v>
      </c>
      <c r="G141" s="889" t="s">
        <v>232</v>
      </c>
      <c r="H141" s="889"/>
      <c r="I141" s="884" t="s">
        <v>215</v>
      </c>
      <c r="J141" s="5"/>
      <c r="K141" s="5"/>
      <c r="L141" s="5"/>
      <c r="M141" s="5"/>
    </row>
    <row r="142" spans="1:13" ht="15.75">
      <c r="A142" s="18"/>
      <c r="B142" s="19"/>
      <c r="C142" s="18"/>
      <c r="D142" s="48" t="s">
        <v>268</v>
      </c>
      <c r="E142" s="48" t="s">
        <v>270</v>
      </c>
      <c r="F142" s="24" t="s">
        <v>235</v>
      </c>
      <c r="G142" s="889" t="s">
        <v>232</v>
      </c>
      <c r="H142" s="889"/>
      <c r="I142" s="884" t="s">
        <v>215</v>
      </c>
      <c r="J142" s="5"/>
      <c r="K142" s="5"/>
      <c r="L142" s="5"/>
      <c r="M142" s="5"/>
    </row>
    <row r="143" spans="1:13" ht="15.75">
      <c r="A143" s="18"/>
      <c r="B143" s="19"/>
      <c r="C143" s="18"/>
      <c r="D143" s="48" t="s">
        <v>268</v>
      </c>
      <c r="E143" s="48" t="s">
        <v>271</v>
      </c>
      <c r="F143" s="24" t="s">
        <v>235</v>
      </c>
      <c r="G143" s="889" t="s">
        <v>232</v>
      </c>
      <c r="H143" s="889"/>
      <c r="I143" s="884" t="s">
        <v>215</v>
      </c>
      <c r="J143" s="5"/>
      <c r="K143" s="5"/>
      <c r="L143" s="5"/>
      <c r="M143" s="5"/>
    </row>
    <row r="144" spans="1:13" ht="15.75">
      <c r="A144" s="18"/>
      <c r="B144" s="19"/>
      <c r="C144" s="18"/>
      <c r="D144" s="48" t="s">
        <v>268</v>
      </c>
      <c r="E144" s="48" t="s">
        <v>272</v>
      </c>
      <c r="F144" s="24" t="s">
        <v>235</v>
      </c>
      <c r="G144" s="889" t="s">
        <v>232</v>
      </c>
      <c r="H144" s="889"/>
      <c r="I144" s="884" t="s">
        <v>215</v>
      </c>
      <c r="J144" s="5"/>
      <c r="K144" s="5"/>
      <c r="L144" s="5"/>
      <c r="M144" s="5"/>
    </row>
    <row r="145" spans="1:13" ht="15.75">
      <c r="A145" s="18"/>
      <c r="B145" s="19"/>
      <c r="C145" s="18"/>
      <c r="D145" s="48" t="s">
        <v>268</v>
      </c>
      <c r="E145" s="48" t="s">
        <v>273</v>
      </c>
      <c r="F145" s="24" t="s">
        <v>235</v>
      </c>
      <c r="G145" s="889" t="s">
        <v>232</v>
      </c>
      <c r="H145" s="889"/>
      <c r="I145" s="884" t="s">
        <v>215</v>
      </c>
      <c r="J145" s="5"/>
      <c r="K145" s="5"/>
      <c r="L145" s="5"/>
      <c r="M145" s="5"/>
    </row>
    <row r="146" spans="1:13" ht="15.75">
      <c r="A146" s="18"/>
      <c r="B146" s="19"/>
      <c r="C146" s="18"/>
      <c r="D146" s="49" t="s">
        <v>274</v>
      </c>
      <c r="E146" s="48"/>
      <c r="F146" s="50" t="s">
        <v>275</v>
      </c>
      <c r="G146" s="889" t="s">
        <v>232</v>
      </c>
      <c r="H146" s="896">
        <v>1</v>
      </c>
      <c r="I146" s="884" t="s">
        <v>215</v>
      </c>
      <c r="J146" s="5"/>
      <c r="K146" s="5"/>
      <c r="L146" s="5"/>
      <c r="M146" s="5"/>
    </row>
    <row r="147" spans="1:13" ht="15.75">
      <c r="A147" s="18"/>
      <c r="B147" s="19"/>
      <c r="C147" s="18"/>
      <c r="D147" s="49" t="s">
        <v>274</v>
      </c>
      <c r="E147" s="48"/>
      <c r="F147" s="50" t="s">
        <v>216</v>
      </c>
      <c r="G147" s="889" t="s">
        <v>232</v>
      </c>
      <c r="H147" s="896">
        <v>1</v>
      </c>
      <c r="I147" s="884" t="s">
        <v>215</v>
      </c>
      <c r="J147" s="5"/>
      <c r="K147" s="5"/>
      <c r="L147" s="5"/>
      <c r="M147" s="5"/>
    </row>
    <row r="148" spans="1:13" ht="15.75">
      <c r="A148" s="18"/>
      <c r="B148" s="38"/>
      <c r="C148" s="18"/>
      <c r="D148" s="18"/>
      <c r="E148" s="18"/>
      <c r="F148" s="30"/>
      <c r="G148" s="884"/>
      <c r="H148" s="884"/>
      <c r="I148" s="884"/>
      <c r="J148" s="5"/>
      <c r="K148" s="5"/>
      <c r="L148" s="5"/>
      <c r="M148" s="5"/>
    </row>
    <row r="149" spans="1:13" ht="15.75">
      <c r="A149" s="44"/>
      <c r="B149" s="44"/>
      <c r="C149" s="44"/>
      <c r="D149" s="16" t="s">
        <v>276</v>
      </c>
      <c r="E149" s="16"/>
      <c r="F149" s="45"/>
      <c r="G149" s="45"/>
      <c r="H149" s="45"/>
      <c r="I149" s="44"/>
      <c r="J149" s="5"/>
      <c r="K149" s="5"/>
      <c r="L149" s="5"/>
      <c r="M149" s="5"/>
    </row>
    <row r="150" spans="1:13" ht="15.75">
      <c r="A150" s="18"/>
      <c r="B150" s="19"/>
      <c r="C150" s="18"/>
      <c r="D150" s="18"/>
      <c r="E150" s="18"/>
      <c r="F150" s="30"/>
      <c r="G150" s="18"/>
      <c r="H150" s="18"/>
      <c r="I150" s="18"/>
      <c r="J150" s="5"/>
      <c r="K150" s="5"/>
      <c r="L150" s="5"/>
      <c r="M150" s="5"/>
    </row>
    <row r="151" spans="1:13" ht="15.75">
      <c r="A151" s="18"/>
      <c r="B151" s="19"/>
      <c r="C151" s="18"/>
      <c r="D151" s="42" t="s">
        <v>277</v>
      </c>
      <c r="E151" s="42"/>
      <c r="F151" s="41"/>
      <c r="G151" s="886" t="s">
        <v>214</v>
      </c>
      <c r="H151" s="896">
        <v>1</v>
      </c>
      <c r="I151" s="884" t="s">
        <v>215</v>
      </c>
      <c r="J151" s="5"/>
      <c r="K151" s="5"/>
      <c r="L151" s="5"/>
      <c r="M151" s="5"/>
    </row>
    <row r="152" spans="1:13" ht="15.75">
      <c r="A152" s="18"/>
      <c r="B152" s="19"/>
      <c r="C152" s="18"/>
      <c r="D152" s="42" t="s">
        <v>278</v>
      </c>
      <c r="E152" s="42"/>
      <c r="F152" s="41"/>
      <c r="G152" s="886" t="s">
        <v>214</v>
      </c>
      <c r="H152" s="896">
        <v>1</v>
      </c>
      <c r="I152" s="884" t="s">
        <v>215</v>
      </c>
      <c r="J152" s="5"/>
      <c r="K152" s="5"/>
      <c r="L152" s="5"/>
      <c r="M152" s="5"/>
    </row>
    <row r="153" spans="1:13" ht="15.75">
      <c r="A153" s="18"/>
      <c r="B153" s="19"/>
      <c r="C153" s="18"/>
      <c r="D153" s="42" t="s">
        <v>279</v>
      </c>
      <c r="E153" s="42"/>
      <c r="F153" s="41"/>
      <c r="G153" s="886" t="s">
        <v>214</v>
      </c>
      <c r="H153" s="896">
        <v>1</v>
      </c>
      <c r="I153" s="884" t="s">
        <v>215</v>
      </c>
      <c r="J153" s="5"/>
      <c r="K153" s="5"/>
      <c r="L153" s="5"/>
      <c r="M153" s="5"/>
    </row>
    <row r="154" spans="1:13" ht="15.75">
      <c r="A154" s="18"/>
      <c r="B154" s="19"/>
      <c r="C154" s="18"/>
      <c r="D154" s="42" t="s">
        <v>280</v>
      </c>
      <c r="E154" s="42"/>
      <c r="F154" s="41"/>
      <c r="G154" s="886" t="s">
        <v>214</v>
      </c>
      <c r="H154" s="896">
        <v>1</v>
      </c>
      <c r="I154" s="884" t="s">
        <v>215</v>
      </c>
      <c r="J154" s="5"/>
      <c r="K154" s="5"/>
      <c r="L154" s="5"/>
      <c r="M154" s="5"/>
    </row>
    <row r="155" spans="1:13" ht="15.75">
      <c r="A155" s="18"/>
      <c r="B155" s="19"/>
      <c r="C155" s="18"/>
      <c r="D155" s="42" t="s">
        <v>281</v>
      </c>
      <c r="E155" s="42"/>
      <c r="F155" s="41"/>
      <c r="G155" s="886" t="s">
        <v>214</v>
      </c>
      <c r="H155" s="896">
        <v>1</v>
      </c>
      <c r="I155" s="884" t="s">
        <v>215</v>
      </c>
      <c r="J155" s="5"/>
      <c r="K155" s="5"/>
      <c r="L155" s="5"/>
      <c r="M155" s="25"/>
    </row>
    <row r="156" spans="1:13" ht="15.75">
      <c r="A156" s="18"/>
      <c r="B156" s="19"/>
      <c r="C156" s="18"/>
      <c r="D156" s="42" t="s">
        <v>282</v>
      </c>
      <c r="E156" s="42"/>
      <c r="F156" s="41"/>
      <c r="G156" s="886" t="s">
        <v>214</v>
      </c>
      <c r="H156" s="896">
        <v>1</v>
      </c>
      <c r="I156" s="884" t="s">
        <v>215</v>
      </c>
      <c r="J156" s="5"/>
      <c r="K156" s="5"/>
      <c r="L156" s="5"/>
      <c r="M156" s="5"/>
    </row>
    <row r="157" spans="1:13" ht="15.75">
      <c r="A157" s="18"/>
      <c r="B157" s="19"/>
      <c r="C157" s="18"/>
      <c r="D157" s="42" t="s">
        <v>283</v>
      </c>
      <c r="E157" s="42"/>
      <c r="F157" s="41"/>
      <c r="G157" s="886" t="s">
        <v>214</v>
      </c>
      <c r="H157" s="896">
        <v>1</v>
      </c>
      <c r="I157" s="884" t="s">
        <v>215</v>
      </c>
      <c r="J157" s="5"/>
      <c r="K157" s="5"/>
      <c r="L157" s="5"/>
      <c r="M157" s="5"/>
    </row>
    <row r="158" spans="1:13" ht="15.75">
      <c r="A158" s="18"/>
      <c r="B158" s="19"/>
      <c r="C158" s="18"/>
      <c r="D158" s="42" t="s">
        <v>284</v>
      </c>
      <c r="E158" s="42"/>
      <c r="F158" s="41"/>
      <c r="G158" s="886" t="s">
        <v>214</v>
      </c>
      <c r="H158" s="896">
        <v>1</v>
      </c>
      <c r="I158" s="884" t="s">
        <v>215</v>
      </c>
      <c r="J158" s="5"/>
      <c r="K158" s="5"/>
      <c r="L158" s="5"/>
      <c r="M158" s="5"/>
    </row>
    <row r="159" spans="1:13" ht="15.75">
      <c r="A159" s="18"/>
      <c r="B159" s="19"/>
      <c r="C159" s="18"/>
      <c r="D159" s="18"/>
      <c r="E159" s="18"/>
      <c r="F159" s="30"/>
      <c r="G159" s="51"/>
      <c r="H159" s="51"/>
      <c r="I159" s="18"/>
      <c r="J159" s="5"/>
      <c r="K159" s="5"/>
      <c r="L159" s="5"/>
      <c r="M159" s="5"/>
    </row>
    <row r="160" spans="1:13" ht="15.75">
      <c r="A160" s="18"/>
      <c r="B160" s="19"/>
      <c r="C160" s="18"/>
      <c r="D160" s="42" t="s">
        <v>285</v>
      </c>
      <c r="E160" s="42"/>
      <c r="F160" s="41"/>
      <c r="G160" s="886" t="s">
        <v>214</v>
      </c>
      <c r="H160" s="896">
        <v>1</v>
      </c>
      <c r="I160" s="884" t="s">
        <v>286</v>
      </c>
      <c r="J160" s="5"/>
      <c r="K160" s="5"/>
      <c r="L160" s="5"/>
      <c r="M160" s="5"/>
    </row>
    <row r="161" spans="1:13" ht="15.75">
      <c r="A161" s="5"/>
      <c r="B161" s="27"/>
      <c r="C161" s="5"/>
      <c r="D161" s="42" t="s">
        <v>287</v>
      </c>
      <c r="E161" s="42"/>
      <c r="F161" s="41"/>
      <c r="G161" s="886" t="s">
        <v>214</v>
      </c>
      <c r="H161" s="896">
        <v>1</v>
      </c>
      <c r="I161" s="884" t="s">
        <v>286</v>
      </c>
      <c r="J161" s="5"/>
      <c r="K161" s="5"/>
      <c r="L161" s="5"/>
      <c r="M161" s="25"/>
    </row>
    <row r="162" spans="1:13" ht="15.75">
      <c r="A162" s="5"/>
      <c r="B162" s="27"/>
      <c r="C162" s="5"/>
      <c r="D162" s="42" t="s">
        <v>288</v>
      </c>
      <c r="E162" s="42"/>
      <c r="F162" s="41"/>
      <c r="G162" s="886" t="s">
        <v>214</v>
      </c>
      <c r="H162" s="896">
        <v>1</v>
      </c>
      <c r="I162" s="884" t="s">
        <v>286</v>
      </c>
      <c r="J162" s="5"/>
      <c r="K162" s="5"/>
      <c r="L162" s="5"/>
      <c r="M162" s="25"/>
    </row>
    <row r="163" spans="1:13" ht="15.75">
      <c r="A163" s="5"/>
      <c r="B163" s="27"/>
      <c r="C163" s="5"/>
      <c r="D163" s="42" t="s">
        <v>289</v>
      </c>
      <c r="E163" s="42"/>
      <c r="F163" s="41"/>
      <c r="G163" s="886" t="s">
        <v>214</v>
      </c>
      <c r="H163" s="896">
        <v>1</v>
      </c>
      <c r="I163" s="884" t="s">
        <v>286</v>
      </c>
      <c r="J163" s="5"/>
      <c r="K163" s="5"/>
      <c r="L163" s="5"/>
      <c r="M163" s="25"/>
    </row>
    <row r="164" spans="1:13" ht="15.75">
      <c r="A164" s="5"/>
      <c r="B164" s="27"/>
      <c r="C164" s="5"/>
      <c r="D164" s="42" t="s">
        <v>290</v>
      </c>
      <c r="E164" s="42"/>
      <c r="F164" s="41"/>
      <c r="G164" s="886" t="s">
        <v>214</v>
      </c>
      <c r="H164" s="896">
        <v>1</v>
      </c>
      <c r="I164" s="884" t="s">
        <v>286</v>
      </c>
      <c r="J164" s="5"/>
      <c r="K164" s="5"/>
      <c r="L164" s="5"/>
      <c r="M164" s="5"/>
    </row>
    <row r="165" spans="1:13" ht="15.75">
      <c r="A165" s="5"/>
      <c r="B165" s="27"/>
      <c r="C165" s="5"/>
      <c r="D165" s="42" t="s">
        <v>291</v>
      </c>
      <c r="E165" s="42"/>
      <c r="F165" s="41"/>
      <c r="G165" s="886" t="s">
        <v>214</v>
      </c>
      <c r="H165" s="896">
        <v>1</v>
      </c>
      <c r="I165" s="884" t="s">
        <v>286</v>
      </c>
      <c r="J165" s="5"/>
      <c r="K165" s="5"/>
      <c r="L165" s="5"/>
      <c r="M165" s="5"/>
    </row>
    <row r="166" spans="1:13" ht="15.75">
      <c r="A166" s="5"/>
      <c r="B166" s="27"/>
      <c r="C166" s="5"/>
      <c r="D166" s="42" t="s">
        <v>292</v>
      </c>
      <c r="E166" s="42"/>
      <c r="F166" s="41"/>
      <c r="G166" s="886" t="s">
        <v>214</v>
      </c>
      <c r="H166" s="896">
        <v>1</v>
      </c>
      <c r="I166" s="884" t="s">
        <v>286</v>
      </c>
      <c r="J166" s="5"/>
      <c r="K166" s="5"/>
      <c r="L166" s="5"/>
      <c r="M166" s="5"/>
    </row>
    <row r="167" spans="1:13" ht="15.75">
      <c r="A167" s="5"/>
      <c r="B167" s="27"/>
      <c r="C167" s="5"/>
      <c r="D167" s="18"/>
      <c r="E167" s="18"/>
      <c r="F167" s="30"/>
      <c r="G167" s="52"/>
      <c r="H167" s="51"/>
      <c r="I167" s="18"/>
      <c r="J167" s="5"/>
      <c r="K167" s="5"/>
      <c r="L167" s="5"/>
      <c r="M167" s="5"/>
    </row>
    <row r="168" spans="1:13" ht="15.75">
      <c r="A168" s="5"/>
      <c r="B168" s="27"/>
      <c r="C168" s="5"/>
      <c r="D168" s="42" t="s">
        <v>293</v>
      </c>
      <c r="E168" s="42"/>
      <c r="F168" s="41"/>
      <c r="G168" s="886" t="s">
        <v>214</v>
      </c>
      <c r="H168" s="896">
        <v>1</v>
      </c>
      <c r="I168" s="884" t="s">
        <v>286</v>
      </c>
      <c r="J168" s="5"/>
      <c r="K168" s="5"/>
      <c r="L168" s="5"/>
      <c r="M168" s="5"/>
    </row>
    <row r="169" spans="1:13" ht="15.75">
      <c r="A169" s="5"/>
      <c r="B169" s="27"/>
      <c r="C169" s="5"/>
      <c r="D169" s="42" t="s">
        <v>294</v>
      </c>
      <c r="E169" s="42"/>
      <c r="F169" s="41"/>
      <c r="G169" s="886" t="s">
        <v>214</v>
      </c>
      <c r="H169" s="896">
        <v>1</v>
      </c>
      <c r="I169" s="884" t="s">
        <v>286</v>
      </c>
      <c r="J169" s="5"/>
      <c r="K169" s="5"/>
      <c r="L169" s="5"/>
      <c r="M169" s="5"/>
    </row>
    <row r="170" spans="1:13" ht="15.75">
      <c r="A170" s="5"/>
      <c r="B170" s="27"/>
      <c r="C170" s="5"/>
      <c r="D170" s="42" t="s">
        <v>295</v>
      </c>
      <c r="E170" s="42"/>
      <c r="F170" s="41"/>
      <c r="G170" s="886" t="s">
        <v>214</v>
      </c>
      <c r="H170" s="896">
        <v>1</v>
      </c>
      <c r="I170" s="884" t="s">
        <v>286</v>
      </c>
      <c r="J170" s="5"/>
      <c r="K170" s="5"/>
      <c r="L170" s="5"/>
      <c r="M170" s="5"/>
    </row>
    <row r="171" spans="1:13" ht="15.75">
      <c r="A171" s="5"/>
      <c r="B171" s="27"/>
      <c r="C171" s="5"/>
      <c r="D171" s="42" t="s">
        <v>296</v>
      </c>
      <c r="E171" s="42"/>
      <c r="F171" s="41"/>
      <c r="G171" s="886" t="s">
        <v>214</v>
      </c>
      <c r="H171" s="896">
        <v>1</v>
      </c>
      <c r="I171" s="884" t="s">
        <v>286</v>
      </c>
      <c r="J171" s="5"/>
      <c r="K171" s="5"/>
      <c r="L171" s="5"/>
      <c r="M171" s="5"/>
    </row>
    <row r="172" spans="1:13" ht="15.75">
      <c r="A172" s="5"/>
      <c r="B172" s="27"/>
      <c r="C172" s="5"/>
      <c r="D172" s="42" t="s">
        <v>297</v>
      </c>
      <c r="E172" s="42"/>
      <c r="F172" s="41"/>
      <c r="G172" s="886" t="s">
        <v>214</v>
      </c>
      <c r="H172" s="896">
        <v>1</v>
      </c>
      <c r="I172" s="884" t="s">
        <v>286</v>
      </c>
      <c r="J172" s="5"/>
      <c r="K172" s="5"/>
      <c r="L172" s="5"/>
      <c r="M172" s="5"/>
    </row>
    <row r="173" spans="1:13" ht="15.75">
      <c r="A173" s="5"/>
      <c r="B173" s="27"/>
      <c r="C173" s="5"/>
      <c r="D173" s="42" t="s">
        <v>298</v>
      </c>
      <c r="E173" s="42"/>
      <c r="F173" s="41"/>
      <c r="G173" s="886" t="s">
        <v>214</v>
      </c>
      <c r="H173" s="896">
        <v>1</v>
      </c>
      <c r="I173" s="884" t="s">
        <v>286</v>
      </c>
      <c r="J173" s="5"/>
      <c r="K173" s="5"/>
      <c r="L173" s="5"/>
      <c r="M173" s="5"/>
    </row>
    <row r="174" spans="1:13" ht="15.75">
      <c r="A174" s="5"/>
      <c r="B174" s="27"/>
      <c r="C174" s="5"/>
      <c r="D174" s="42" t="s">
        <v>299</v>
      </c>
      <c r="E174" s="42"/>
      <c r="F174" s="41"/>
      <c r="G174" s="886" t="s">
        <v>214</v>
      </c>
      <c r="H174" s="896">
        <v>1</v>
      </c>
      <c r="I174" s="884" t="s">
        <v>286</v>
      </c>
      <c r="J174" s="5"/>
      <c r="K174" s="5"/>
      <c r="L174" s="5"/>
      <c r="M174" s="5"/>
    </row>
    <row r="175" spans="1:13" ht="15.75">
      <c r="A175" s="5"/>
      <c r="B175" s="27"/>
      <c r="C175" s="5"/>
      <c r="D175" s="18"/>
      <c r="E175" s="18"/>
      <c r="F175" s="30"/>
      <c r="G175" s="52"/>
      <c r="H175" s="51"/>
      <c r="I175" s="18"/>
      <c r="J175" s="5"/>
      <c r="K175" s="5"/>
      <c r="L175" s="5"/>
      <c r="M175" s="5"/>
    </row>
    <row r="176" spans="1:13" ht="15.75">
      <c r="A176" s="5"/>
      <c r="B176" s="27"/>
      <c r="C176" s="5"/>
      <c r="D176" s="42" t="s">
        <v>300</v>
      </c>
      <c r="E176" s="42"/>
      <c r="F176" s="41"/>
      <c r="G176" s="886" t="s">
        <v>214</v>
      </c>
      <c r="H176" s="896">
        <v>1</v>
      </c>
      <c r="I176" s="884" t="s">
        <v>286</v>
      </c>
      <c r="J176" s="5"/>
      <c r="K176" s="5"/>
      <c r="L176" s="5"/>
      <c r="M176" s="5"/>
    </row>
    <row r="177" spans="1:13" ht="15.75">
      <c r="A177" s="18"/>
      <c r="B177" s="19"/>
      <c r="C177" s="18"/>
      <c r="D177" s="42" t="s">
        <v>301</v>
      </c>
      <c r="E177" s="42"/>
      <c r="F177" s="41"/>
      <c r="G177" s="886" t="s">
        <v>214</v>
      </c>
      <c r="H177" s="896">
        <v>1</v>
      </c>
      <c r="I177" s="884" t="s">
        <v>286</v>
      </c>
      <c r="J177" s="5"/>
      <c r="K177" s="5"/>
      <c r="L177" s="5"/>
      <c r="M177" s="5"/>
    </row>
    <row r="178" spans="1:13" ht="15.75">
      <c r="A178" s="18"/>
      <c r="B178" s="19"/>
      <c r="C178" s="18"/>
      <c r="D178" s="42" t="s">
        <v>302</v>
      </c>
      <c r="E178" s="42"/>
      <c r="F178" s="41"/>
      <c r="G178" s="886" t="s">
        <v>214</v>
      </c>
      <c r="H178" s="896">
        <v>1</v>
      </c>
      <c r="I178" s="884" t="s">
        <v>286</v>
      </c>
      <c r="J178" s="5"/>
      <c r="K178" s="5"/>
      <c r="L178" s="5"/>
      <c r="M178" s="5"/>
    </row>
    <row r="179" spans="1:13" ht="15.75">
      <c r="A179" s="18"/>
      <c r="B179" s="19"/>
      <c r="C179" s="18"/>
      <c r="D179" s="42" t="s">
        <v>303</v>
      </c>
      <c r="E179" s="42"/>
      <c r="F179" s="41"/>
      <c r="G179" s="886" t="s">
        <v>214</v>
      </c>
      <c r="H179" s="896">
        <v>1</v>
      </c>
      <c r="I179" s="884" t="s">
        <v>286</v>
      </c>
      <c r="J179" s="5"/>
      <c r="K179" s="5"/>
      <c r="L179" s="5"/>
      <c r="M179" s="5"/>
    </row>
    <row r="180" spans="1:13" ht="15.75">
      <c r="A180" s="18"/>
      <c r="B180" s="19"/>
      <c r="C180" s="18"/>
      <c r="D180" s="42" t="s">
        <v>304</v>
      </c>
      <c r="E180" s="42"/>
      <c r="F180" s="41"/>
      <c r="G180" s="886" t="s">
        <v>214</v>
      </c>
      <c r="H180" s="896">
        <v>1</v>
      </c>
      <c r="I180" s="884" t="s">
        <v>286</v>
      </c>
      <c r="J180" s="5"/>
      <c r="K180" s="5"/>
      <c r="L180" s="5"/>
      <c r="M180" s="5"/>
    </row>
    <row r="181" spans="1:13" ht="15.75">
      <c r="A181" s="18"/>
      <c r="B181" s="19"/>
      <c r="C181" s="18"/>
      <c r="D181" s="42" t="s">
        <v>305</v>
      </c>
      <c r="E181" s="42"/>
      <c r="F181" s="41"/>
      <c r="G181" s="886" t="s">
        <v>214</v>
      </c>
      <c r="H181" s="896">
        <v>1</v>
      </c>
      <c r="I181" s="884" t="s">
        <v>286</v>
      </c>
      <c r="J181" s="5"/>
      <c r="K181" s="5"/>
      <c r="L181" s="5"/>
      <c r="M181" s="5"/>
    </row>
    <row r="182" spans="1:13" ht="15.75">
      <c r="A182" s="18"/>
      <c r="B182" s="19"/>
      <c r="C182" s="18"/>
      <c r="D182" s="42" t="s">
        <v>306</v>
      </c>
      <c r="E182" s="42"/>
      <c r="F182" s="41"/>
      <c r="G182" s="886" t="s">
        <v>214</v>
      </c>
      <c r="H182" s="896">
        <v>1</v>
      </c>
      <c r="I182" s="884" t="s">
        <v>286</v>
      </c>
      <c r="J182" s="5"/>
      <c r="K182" s="5"/>
      <c r="L182" s="5"/>
      <c r="M182" s="5"/>
    </row>
    <row r="183" spans="1:13" ht="15.75">
      <c r="A183" s="18"/>
      <c r="B183" s="38"/>
      <c r="C183" s="18"/>
      <c r="D183" s="18"/>
      <c r="E183" s="18"/>
      <c r="F183" s="30"/>
      <c r="G183" s="18"/>
      <c r="H183" s="18"/>
      <c r="I183" s="18"/>
      <c r="J183" s="5"/>
      <c r="K183" s="5"/>
      <c r="L183" s="5"/>
      <c r="M183" s="5"/>
    </row>
    <row r="184" spans="1:13" ht="15.75">
      <c r="A184" s="44"/>
      <c r="B184" s="44"/>
      <c r="C184" s="44"/>
      <c r="D184" s="16" t="s">
        <v>307</v>
      </c>
      <c r="E184" s="16"/>
      <c r="F184" s="44"/>
      <c r="G184" s="45"/>
      <c r="H184" s="45"/>
      <c r="I184" s="45"/>
      <c r="J184" s="5"/>
      <c r="K184" s="5"/>
      <c r="L184" s="5"/>
      <c r="M184" s="5"/>
    </row>
    <row r="185" spans="1:13" ht="15.75">
      <c r="A185" s="18"/>
      <c r="B185" s="19"/>
      <c r="C185" s="18"/>
      <c r="D185" s="39"/>
      <c r="E185" s="39"/>
      <c r="F185" s="30"/>
      <c r="G185" s="884"/>
      <c r="H185" s="884"/>
      <c r="I185" s="884"/>
      <c r="J185" s="5"/>
      <c r="K185" s="5"/>
      <c r="L185" s="5"/>
      <c r="M185" s="5"/>
    </row>
    <row r="186" spans="1:13" ht="15.75">
      <c r="A186" s="18"/>
      <c r="B186" s="19"/>
      <c r="C186" s="18"/>
      <c r="D186" s="42" t="s">
        <v>308</v>
      </c>
      <c r="E186" s="42"/>
      <c r="F186" s="43"/>
      <c r="G186" s="886" t="s">
        <v>214</v>
      </c>
      <c r="H186" s="887">
        <v>1</v>
      </c>
      <c r="I186" s="884" t="s">
        <v>215</v>
      </c>
      <c r="J186" s="5"/>
      <c r="K186" s="5"/>
      <c r="L186" s="5"/>
      <c r="M186" s="5"/>
    </row>
    <row r="187" spans="1:13" ht="15.75">
      <c r="A187" s="18"/>
      <c r="B187" s="19"/>
      <c r="C187" s="18"/>
      <c r="D187" s="42" t="s">
        <v>309</v>
      </c>
      <c r="E187" s="42"/>
      <c r="F187" s="43"/>
      <c r="G187" s="886" t="s">
        <v>214</v>
      </c>
      <c r="H187" s="887">
        <v>1</v>
      </c>
      <c r="I187" s="884" t="s">
        <v>215</v>
      </c>
      <c r="J187" s="5"/>
      <c r="K187" s="5"/>
      <c r="L187" s="5"/>
      <c r="M187" s="5"/>
    </row>
    <row r="188" spans="1:13" ht="15.75">
      <c r="A188" s="18"/>
      <c r="B188" s="19"/>
      <c r="C188" s="18"/>
      <c r="D188" s="39"/>
      <c r="E188" s="39"/>
      <c r="F188" s="30"/>
      <c r="G188" s="884"/>
      <c r="H188" s="884"/>
      <c r="I188" s="884"/>
      <c r="J188" s="5"/>
      <c r="K188" s="5"/>
      <c r="L188" s="5"/>
      <c r="M188" s="5"/>
    </row>
    <row r="189" spans="1:13" ht="15.75">
      <c r="A189" s="18"/>
      <c r="B189" s="19"/>
      <c r="C189" s="18"/>
      <c r="D189" s="42" t="s">
        <v>308</v>
      </c>
      <c r="E189" s="42"/>
      <c r="F189" s="43"/>
      <c r="G189" s="26" t="s">
        <v>225</v>
      </c>
      <c r="H189" s="896">
        <v>1</v>
      </c>
      <c r="I189" s="884" t="s">
        <v>215</v>
      </c>
      <c r="J189" s="5"/>
      <c r="K189" s="5"/>
      <c r="L189" s="5"/>
      <c r="M189" s="5"/>
    </row>
    <row r="190" spans="1:13" ht="15.75">
      <c r="A190" s="18"/>
      <c r="B190" s="19"/>
      <c r="C190" s="18"/>
      <c r="D190" s="42" t="s">
        <v>309</v>
      </c>
      <c r="E190" s="42"/>
      <c r="F190" s="43"/>
      <c r="G190" s="26" t="s">
        <v>225</v>
      </c>
      <c r="H190" s="896">
        <v>1</v>
      </c>
      <c r="I190" s="884" t="s">
        <v>215</v>
      </c>
      <c r="J190" s="5"/>
      <c r="K190" s="5"/>
      <c r="L190" s="5"/>
      <c r="M190" s="5"/>
    </row>
    <row r="191" spans="1:13" ht="15.75">
      <c r="A191" s="18"/>
      <c r="B191" s="19"/>
      <c r="C191" s="18"/>
      <c r="D191" s="39"/>
      <c r="E191" s="39"/>
      <c r="F191" s="30"/>
      <c r="G191" s="884"/>
      <c r="H191" s="884"/>
      <c r="I191" s="884"/>
      <c r="J191" s="5"/>
      <c r="K191" s="5"/>
      <c r="L191" s="5"/>
      <c r="M191" s="5"/>
    </row>
    <row r="192" spans="1:13" ht="15.75">
      <c r="A192" s="18"/>
      <c r="B192" s="19"/>
      <c r="C192" s="18"/>
      <c r="D192" s="42" t="s">
        <v>310</v>
      </c>
      <c r="E192" s="42"/>
      <c r="F192" s="43"/>
      <c r="G192" s="889" t="s">
        <v>232</v>
      </c>
      <c r="H192" s="896">
        <v>1</v>
      </c>
      <c r="I192" s="884" t="s">
        <v>215</v>
      </c>
      <c r="J192" s="5"/>
      <c r="K192" s="5"/>
      <c r="L192" s="5"/>
      <c r="M192" s="5"/>
    </row>
    <row r="193" spans="1:14" ht="15.75">
      <c r="A193" s="18"/>
      <c r="B193" s="19"/>
      <c r="C193" s="18"/>
      <c r="D193" s="42" t="s">
        <v>311</v>
      </c>
      <c r="E193" s="42"/>
      <c r="F193" s="43"/>
      <c r="G193" s="889" t="s">
        <v>232</v>
      </c>
      <c r="H193" s="896">
        <v>1</v>
      </c>
      <c r="I193" s="884" t="s">
        <v>215</v>
      </c>
      <c r="J193" s="5"/>
      <c r="K193" s="5"/>
      <c r="L193" s="5"/>
      <c r="M193" s="5"/>
    </row>
    <row r="194" spans="1:14" ht="15.75">
      <c r="A194" s="18"/>
      <c r="B194" s="38"/>
      <c r="C194" s="18"/>
      <c r="D194" s="39"/>
      <c r="E194" s="39"/>
      <c r="F194" s="30"/>
      <c r="G194" s="884"/>
      <c r="H194" s="884"/>
      <c r="I194" s="884"/>
      <c r="J194" s="5"/>
      <c r="K194" s="5"/>
      <c r="L194" s="5"/>
      <c r="M194" s="5"/>
    </row>
    <row r="195" spans="1:14" ht="15.75">
      <c r="A195" s="44"/>
      <c r="B195" s="44"/>
      <c r="C195" s="44"/>
      <c r="D195" s="16" t="s">
        <v>312</v>
      </c>
      <c r="E195" s="16"/>
      <c r="F195" s="44"/>
      <c r="G195" s="45"/>
      <c r="H195" s="45"/>
      <c r="I195" s="45"/>
      <c r="J195" s="5"/>
      <c r="K195" s="5"/>
      <c r="L195" s="5"/>
      <c r="M195" s="5"/>
    </row>
    <row r="196" spans="1:14" ht="15.75">
      <c r="A196" s="18"/>
      <c r="B196" s="19"/>
      <c r="C196" s="18"/>
      <c r="D196" s="39"/>
      <c r="E196" s="39"/>
      <c r="F196" s="30"/>
      <c r="G196" s="884"/>
      <c r="H196" s="884"/>
      <c r="I196" s="884"/>
      <c r="J196" s="5"/>
      <c r="K196" s="5"/>
      <c r="L196" s="5"/>
      <c r="M196" s="5"/>
    </row>
    <row r="197" spans="1:14" ht="15.75">
      <c r="A197" s="18"/>
      <c r="B197" s="19"/>
      <c r="C197" s="18"/>
      <c r="D197" s="42" t="s">
        <v>313</v>
      </c>
      <c r="E197" s="42"/>
      <c r="F197" s="41"/>
      <c r="G197" s="886" t="s">
        <v>214</v>
      </c>
      <c r="H197" s="896">
        <v>0.01</v>
      </c>
      <c r="I197" s="897" t="s">
        <v>314</v>
      </c>
      <c r="J197" s="53"/>
      <c r="K197" s="53"/>
      <c r="L197" s="53"/>
      <c r="M197" s="53"/>
      <c r="N197" s="898"/>
    </row>
    <row r="198" spans="1:14" ht="15.75">
      <c r="A198" s="18"/>
      <c r="B198" s="19"/>
      <c r="C198" s="18"/>
      <c r="D198" s="42" t="s">
        <v>315</v>
      </c>
      <c r="E198" s="42"/>
      <c r="F198" s="41"/>
      <c r="G198" s="886" t="s">
        <v>214</v>
      </c>
      <c r="H198" s="896">
        <v>0.01</v>
      </c>
      <c r="I198" s="897" t="s">
        <v>314</v>
      </c>
      <c r="J198" s="53"/>
      <c r="K198" s="53"/>
      <c r="L198" s="53"/>
      <c r="M198" s="53"/>
      <c r="N198" s="898"/>
    </row>
    <row r="199" spans="1:14" ht="15.75">
      <c r="A199" s="18"/>
      <c r="B199" s="19"/>
      <c r="C199" s="18"/>
      <c r="D199" s="42" t="s">
        <v>316</v>
      </c>
      <c r="E199" s="42"/>
      <c r="F199" s="41"/>
      <c r="G199" s="886" t="s">
        <v>214</v>
      </c>
      <c r="H199" s="896">
        <v>0.01</v>
      </c>
      <c r="I199" s="897" t="s">
        <v>314</v>
      </c>
      <c r="J199" s="53"/>
      <c r="K199" s="53"/>
      <c r="L199" s="53"/>
      <c r="M199" s="53"/>
      <c r="N199" s="898"/>
    </row>
    <row r="200" spans="1:14" ht="15.75">
      <c r="A200" s="18"/>
      <c r="B200" s="19"/>
      <c r="C200" s="18"/>
      <c r="D200" s="42" t="s">
        <v>317</v>
      </c>
      <c r="E200" s="42"/>
      <c r="F200" s="41"/>
      <c r="G200" s="886" t="s">
        <v>214</v>
      </c>
      <c r="H200" s="896">
        <v>0.01</v>
      </c>
      <c r="I200" s="897" t="s">
        <v>314</v>
      </c>
      <c r="J200" s="53"/>
      <c r="K200" s="53"/>
      <c r="L200" s="53"/>
      <c r="M200" s="53"/>
      <c r="N200" s="898"/>
    </row>
    <row r="201" spans="1:14" ht="15.75">
      <c r="A201" s="18"/>
      <c r="B201" s="19"/>
      <c r="C201" s="18"/>
      <c r="D201" s="42" t="s">
        <v>318</v>
      </c>
      <c r="E201" s="42"/>
      <c r="F201" s="41"/>
      <c r="G201" s="886" t="s">
        <v>214</v>
      </c>
      <c r="H201" s="896">
        <v>0.01</v>
      </c>
      <c r="I201" s="897" t="s">
        <v>314</v>
      </c>
      <c r="J201" s="53"/>
      <c r="K201" s="53"/>
      <c r="L201" s="53"/>
      <c r="M201" s="53"/>
      <c r="N201" s="898"/>
    </row>
    <row r="202" spans="1:14" ht="15.75">
      <c r="A202" s="18"/>
      <c r="B202" s="19"/>
      <c r="C202" s="18"/>
      <c r="D202" s="42" t="s">
        <v>319</v>
      </c>
      <c r="E202" s="42"/>
      <c r="F202" s="41"/>
      <c r="G202" s="54" t="s">
        <v>225</v>
      </c>
      <c r="H202" s="896">
        <v>0.01</v>
      </c>
      <c r="I202" s="884" t="s">
        <v>320</v>
      </c>
      <c r="J202" s="5"/>
      <c r="K202" s="5"/>
      <c r="L202" s="5"/>
      <c r="M202" s="5"/>
    </row>
    <row r="203" spans="1:14" ht="15.75">
      <c r="A203" s="18"/>
      <c r="B203" s="19"/>
      <c r="C203" s="18"/>
      <c r="D203" s="42" t="s">
        <v>321</v>
      </c>
      <c r="E203" s="42"/>
      <c r="F203" s="41"/>
      <c r="G203" s="54" t="s">
        <v>225</v>
      </c>
      <c r="H203" s="896">
        <v>0.01</v>
      </c>
      <c r="I203" s="884" t="s">
        <v>322</v>
      </c>
      <c r="J203" s="5"/>
      <c r="K203" s="5"/>
      <c r="L203" s="5"/>
      <c r="M203" s="5"/>
    </row>
    <row r="204" spans="1:14" ht="15.75">
      <c r="A204" s="18"/>
      <c r="B204" s="19"/>
      <c r="C204" s="18"/>
      <c r="D204" s="42" t="s">
        <v>323</v>
      </c>
      <c r="E204" s="42"/>
      <c r="F204" s="41"/>
      <c r="G204" s="54" t="s">
        <v>225</v>
      </c>
      <c r="H204" s="896">
        <v>0.01</v>
      </c>
      <c r="I204" s="884" t="s">
        <v>314</v>
      </c>
      <c r="J204" s="5"/>
      <c r="K204" s="5"/>
      <c r="L204" s="5"/>
      <c r="M204" s="5"/>
    </row>
    <row r="205" spans="1:14" ht="15.75">
      <c r="A205" s="18"/>
      <c r="B205" s="19"/>
      <c r="C205" s="18"/>
      <c r="D205" s="42" t="s">
        <v>324</v>
      </c>
      <c r="E205" s="42"/>
      <c r="F205" s="41"/>
      <c r="G205" s="886" t="s">
        <v>214</v>
      </c>
      <c r="H205" s="896">
        <v>0.01</v>
      </c>
      <c r="I205" s="884" t="s">
        <v>320</v>
      </c>
      <c r="J205" s="55"/>
      <c r="K205" s="5"/>
      <c r="L205" s="5"/>
      <c r="M205" s="5"/>
    </row>
    <row r="206" spans="1:14" ht="15.75">
      <c r="A206" s="18"/>
      <c r="B206" s="19"/>
      <c r="C206" s="18"/>
      <c r="D206" s="42" t="s">
        <v>325</v>
      </c>
      <c r="E206" s="42"/>
      <c r="F206" s="41"/>
      <c r="G206" s="886" t="s">
        <v>214</v>
      </c>
      <c r="H206" s="896">
        <v>0.01</v>
      </c>
      <c r="I206" s="884" t="s">
        <v>322</v>
      </c>
      <c r="J206" s="55"/>
      <c r="K206" s="5"/>
      <c r="L206" s="5"/>
      <c r="M206" s="5"/>
    </row>
    <row r="207" spans="1:14" ht="15.75">
      <c r="A207" s="18"/>
      <c r="B207" s="19"/>
      <c r="C207" s="18"/>
      <c r="D207" s="42" t="s">
        <v>326</v>
      </c>
      <c r="E207" s="42"/>
      <c r="F207" s="41"/>
      <c r="G207" s="886" t="s">
        <v>214</v>
      </c>
      <c r="H207" s="896">
        <v>0.01</v>
      </c>
      <c r="I207" s="884" t="s">
        <v>314</v>
      </c>
      <c r="J207" s="55"/>
      <c r="K207" s="5"/>
      <c r="L207" s="5"/>
      <c r="M207" s="5"/>
    </row>
    <row r="208" spans="1:14" ht="15.75">
      <c r="A208" s="18"/>
      <c r="B208" s="19"/>
      <c r="C208" s="18"/>
      <c r="D208" s="42" t="s">
        <v>327</v>
      </c>
      <c r="E208" s="42"/>
      <c r="F208" s="43"/>
      <c r="G208" s="54" t="s">
        <v>225</v>
      </c>
      <c r="H208" s="896">
        <v>0.01</v>
      </c>
      <c r="I208" s="884" t="s">
        <v>328</v>
      </c>
      <c r="J208" s="5"/>
      <c r="K208" s="5"/>
      <c r="L208" s="5"/>
      <c r="M208" s="5"/>
    </row>
    <row r="209" spans="1:13" ht="15.75">
      <c r="A209" s="18"/>
      <c r="B209" s="38"/>
      <c r="C209" s="18"/>
      <c r="D209" s="39"/>
      <c r="E209" s="39"/>
      <c r="F209" s="56"/>
      <c r="G209" s="884"/>
      <c r="H209" s="884"/>
      <c r="I209" s="884"/>
      <c r="J209" s="5"/>
      <c r="K209" s="5"/>
      <c r="L209" s="5"/>
      <c r="M209" s="5"/>
    </row>
    <row r="210" spans="1:13" ht="15.75">
      <c r="A210" s="18"/>
      <c r="B210" s="38"/>
      <c r="C210" s="18"/>
      <c r="D210" s="39"/>
      <c r="E210" s="39"/>
      <c r="F210" s="56"/>
      <c r="G210" s="884"/>
      <c r="H210" s="884"/>
      <c r="I210" s="884"/>
      <c r="J210" s="5"/>
      <c r="K210" s="5"/>
      <c r="L210" s="5"/>
      <c r="M210" s="5"/>
    </row>
    <row r="211" spans="1:13" ht="15.75">
      <c r="A211" s="44"/>
      <c r="B211" s="44"/>
      <c r="C211" s="44"/>
      <c r="D211" s="16" t="s">
        <v>329</v>
      </c>
      <c r="E211" s="16"/>
      <c r="F211" s="44"/>
      <c r="G211" s="45"/>
      <c r="H211" s="45"/>
      <c r="I211" s="45"/>
      <c r="J211" s="5"/>
      <c r="K211" s="5"/>
      <c r="L211" s="5"/>
      <c r="M211" s="5"/>
    </row>
    <row r="212" spans="1:13" ht="15.75">
      <c r="A212" s="18"/>
      <c r="B212" s="19"/>
      <c r="C212" s="18"/>
      <c r="D212" s="18"/>
      <c r="E212" s="18"/>
      <c r="F212" s="30"/>
      <c r="G212" s="18"/>
      <c r="H212" s="18"/>
      <c r="I212" s="18"/>
      <c r="J212" s="5"/>
      <c r="K212" s="5"/>
      <c r="L212" s="5"/>
      <c r="M212" s="5"/>
    </row>
    <row r="213" spans="1:13" ht="15.75">
      <c r="A213" s="18"/>
      <c r="B213" s="19"/>
      <c r="C213" s="18"/>
      <c r="D213" s="891" t="s">
        <v>330</v>
      </c>
      <c r="E213" s="42"/>
      <c r="F213" s="41"/>
      <c r="G213" s="889" t="s">
        <v>232</v>
      </c>
      <c r="H213" s="896">
        <v>1</v>
      </c>
      <c r="I213" s="18" t="s">
        <v>331</v>
      </c>
      <c r="J213" s="5"/>
      <c r="K213" s="5"/>
      <c r="L213" s="5"/>
      <c r="M213" s="5"/>
    </row>
    <row r="214" spans="1:13" ht="15.75">
      <c r="A214" s="18"/>
      <c r="B214" s="19"/>
      <c r="C214" s="18"/>
      <c r="D214" s="891" t="s">
        <v>332</v>
      </c>
      <c r="E214" s="42"/>
      <c r="F214" s="41"/>
      <c r="G214" s="889" t="s">
        <v>232</v>
      </c>
      <c r="H214" s="896">
        <v>1</v>
      </c>
      <c r="I214" s="18" t="s">
        <v>331</v>
      </c>
      <c r="J214" s="5"/>
      <c r="K214" s="5"/>
      <c r="L214" s="5"/>
      <c r="M214" s="5"/>
    </row>
    <row r="215" spans="1:13" ht="15.75">
      <c r="A215" s="18"/>
      <c r="B215" s="19"/>
      <c r="C215" s="18"/>
      <c r="D215" s="891" t="s">
        <v>333</v>
      </c>
      <c r="E215" s="42"/>
      <c r="F215" s="41"/>
      <c r="G215" s="889" t="s">
        <v>232</v>
      </c>
      <c r="H215" s="896">
        <v>1</v>
      </c>
      <c r="I215" s="18" t="s">
        <v>331</v>
      </c>
      <c r="J215" s="5"/>
      <c r="K215" s="5"/>
      <c r="L215" s="5"/>
      <c r="M215" s="5"/>
    </row>
    <row r="216" spans="1:13" ht="15.75">
      <c r="A216" s="18"/>
      <c r="B216" s="19"/>
      <c r="C216" s="18"/>
      <c r="D216" s="891" t="s">
        <v>334</v>
      </c>
      <c r="E216" s="42"/>
      <c r="F216" s="43"/>
      <c r="G216" s="889" t="s">
        <v>232</v>
      </c>
      <c r="H216" s="896">
        <v>1</v>
      </c>
      <c r="I216" s="18" t="s">
        <v>331</v>
      </c>
      <c r="J216" s="5"/>
      <c r="K216" s="5"/>
      <c r="L216" s="5"/>
      <c r="M216" s="5"/>
    </row>
    <row r="217" spans="1:13" ht="15.75">
      <c r="A217" s="18"/>
      <c r="B217" s="38"/>
      <c r="C217" s="18"/>
      <c r="D217" s="884"/>
      <c r="E217" s="39"/>
      <c r="F217" s="56"/>
      <c r="G217" s="884"/>
      <c r="H217" s="884"/>
      <c r="I217" s="18"/>
      <c r="J217" s="5"/>
      <c r="K217" s="5"/>
      <c r="L217" s="5"/>
      <c r="M217" s="5"/>
    </row>
    <row r="218" spans="1:13" ht="15.75">
      <c r="A218" s="18"/>
      <c r="B218" s="57"/>
      <c r="C218" s="18"/>
      <c r="D218" s="20"/>
      <c r="E218" s="20"/>
      <c r="F218" s="883"/>
      <c r="G218" s="884"/>
      <c r="H218" s="884"/>
      <c r="I218" s="18"/>
      <c r="J218" s="5"/>
      <c r="K218" s="5"/>
      <c r="L218" s="5"/>
      <c r="M218" s="5"/>
    </row>
    <row r="219" spans="1:13" ht="15.75">
      <c r="A219" s="18"/>
      <c r="B219" s="57"/>
      <c r="C219" s="18"/>
      <c r="D219" s="884"/>
      <c r="E219" s="39"/>
      <c r="F219" s="56"/>
      <c r="G219" s="884"/>
      <c r="H219" s="884"/>
      <c r="I219" s="18"/>
      <c r="J219" s="5"/>
      <c r="K219" s="5"/>
      <c r="L219" s="5"/>
      <c r="M219" s="5"/>
    </row>
    <row r="220" spans="1:13" ht="15.75">
      <c r="A220" s="18"/>
      <c r="B220" s="57"/>
      <c r="C220" s="18"/>
      <c r="D220" s="884"/>
      <c r="E220" s="39"/>
      <c r="F220" s="39"/>
      <c r="G220" s="884"/>
      <c r="H220" s="884"/>
      <c r="I220" s="18"/>
      <c r="J220" s="5"/>
      <c r="K220" s="5"/>
      <c r="L220" s="5"/>
      <c r="M220" s="5"/>
    </row>
    <row r="221" spans="1:13" ht="15.75">
      <c r="A221" s="18"/>
      <c r="B221" s="57"/>
      <c r="C221" s="18"/>
      <c r="D221" s="884"/>
      <c r="E221" s="39"/>
      <c r="F221" s="39"/>
      <c r="G221" s="884"/>
      <c r="H221" s="884"/>
      <c r="I221" s="18"/>
      <c r="J221" s="5"/>
      <c r="K221" s="5"/>
      <c r="L221" s="5"/>
      <c r="M221" s="5"/>
    </row>
    <row r="222" spans="1:13" ht="15.75">
      <c r="A222" s="18"/>
      <c r="B222" s="57"/>
      <c r="C222" s="18"/>
      <c r="D222" s="884"/>
      <c r="E222" s="39"/>
      <c r="F222" s="39"/>
      <c r="G222" s="884"/>
      <c r="H222" s="884"/>
      <c r="I222" s="18"/>
      <c r="J222" s="5"/>
      <c r="K222" s="5"/>
      <c r="L222" s="5"/>
      <c r="M222" s="5"/>
    </row>
    <row r="223" spans="1:13" ht="15.75">
      <c r="A223" s="18"/>
      <c r="B223" s="38"/>
      <c r="C223" s="18"/>
      <c r="D223" s="884"/>
      <c r="E223" s="39"/>
      <c r="F223" s="39"/>
      <c r="G223" s="884"/>
      <c r="H223" s="884"/>
      <c r="I223" s="18"/>
      <c r="J223" s="5"/>
      <c r="K223" s="5"/>
      <c r="L223" s="5"/>
      <c r="M223" s="5"/>
    </row>
    <row r="224" spans="1:13" ht="15.75">
      <c r="A224" s="18"/>
      <c r="B224" s="38"/>
      <c r="C224" s="18"/>
      <c r="D224" s="884"/>
      <c r="E224" s="39"/>
      <c r="F224" s="39"/>
      <c r="G224" s="884"/>
      <c r="H224" s="884"/>
      <c r="I224" s="18"/>
      <c r="J224" s="5"/>
      <c r="K224" s="5"/>
      <c r="L224" s="5"/>
      <c r="M224" s="5"/>
    </row>
    <row r="225" spans="1:13" ht="15.75">
      <c r="A225" s="18"/>
      <c r="B225" s="38"/>
      <c r="C225" s="18"/>
      <c r="D225" s="884"/>
      <c r="E225" s="39"/>
      <c r="F225" s="39"/>
      <c r="G225" s="884"/>
      <c r="H225" s="884"/>
      <c r="I225" s="18"/>
      <c r="J225" s="5"/>
      <c r="K225" s="5"/>
      <c r="L225" s="5"/>
      <c r="M225" s="5"/>
    </row>
    <row r="226" spans="1:13" ht="15.75">
      <c r="A226" s="18"/>
      <c r="B226" s="38"/>
      <c r="C226" s="18"/>
      <c r="D226" s="884"/>
      <c r="E226" s="39"/>
      <c r="F226" s="39"/>
      <c r="G226" s="884"/>
      <c r="H226" s="884"/>
      <c r="I226" s="18"/>
      <c r="J226" s="5"/>
      <c r="K226" s="5"/>
      <c r="L226" s="5"/>
      <c r="M226" s="5"/>
    </row>
    <row r="227" spans="1:13" ht="15.75">
      <c r="A227" s="18"/>
      <c r="B227" s="38"/>
      <c r="C227" s="18"/>
      <c r="D227" s="884"/>
      <c r="E227" s="39"/>
      <c r="F227" s="47"/>
      <c r="G227" s="884"/>
      <c r="H227" s="884"/>
      <c r="I227" s="18"/>
      <c r="J227" s="5"/>
      <c r="K227" s="5"/>
      <c r="L227" s="5"/>
      <c r="M227" s="5"/>
    </row>
    <row r="228" spans="1:13" ht="15.75">
      <c r="A228" s="18"/>
      <c r="B228" s="38"/>
      <c r="C228" s="18"/>
      <c r="D228" s="884"/>
      <c r="E228" s="39"/>
      <c r="F228" s="39"/>
      <c r="G228" s="884"/>
      <c r="H228" s="884"/>
      <c r="I228" s="18"/>
      <c r="J228" s="5"/>
      <c r="K228" s="5"/>
      <c r="L228" s="5"/>
      <c r="M228" s="5"/>
    </row>
    <row r="229" spans="1:13" ht="15.75">
      <c r="A229" s="18"/>
      <c r="B229" s="38"/>
      <c r="C229" s="18"/>
      <c r="D229" s="884"/>
      <c r="E229" s="39"/>
      <c r="F229" s="39"/>
      <c r="G229" s="884"/>
      <c r="H229" s="884"/>
      <c r="I229" s="18"/>
      <c r="J229" s="5"/>
      <c r="K229" s="5"/>
      <c r="L229" s="5"/>
      <c r="M229" s="5"/>
    </row>
    <row r="230" spans="1:13" ht="15.75">
      <c r="A230" s="18"/>
      <c r="B230" s="38"/>
      <c r="C230" s="18"/>
      <c r="D230" s="884"/>
      <c r="E230" s="39"/>
      <c r="F230" s="39"/>
      <c r="G230" s="884"/>
      <c r="H230" s="884"/>
      <c r="I230" s="18"/>
      <c r="J230" s="5"/>
      <c r="K230" s="5"/>
      <c r="L230" s="5"/>
      <c r="M230" s="5"/>
    </row>
    <row r="231" spans="1:13" ht="15.75">
      <c r="A231" s="18"/>
      <c r="B231" s="38"/>
      <c r="C231" s="18"/>
      <c r="D231" s="884"/>
      <c r="E231" s="39"/>
      <c r="F231" s="39"/>
      <c r="G231" s="884"/>
      <c r="H231" s="884"/>
      <c r="I231" s="18"/>
      <c r="J231" s="5"/>
      <c r="K231" s="5"/>
      <c r="L231" s="5"/>
      <c r="M231" s="5"/>
    </row>
    <row r="232" spans="1:13" ht="15.75">
      <c r="A232" s="18"/>
      <c r="B232" s="38"/>
      <c r="C232" s="18"/>
      <c r="D232" s="884"/>
      <c r="E232" s="39"/>
      <c r="F232" s="39"/>
      <c r="G232" s="884"/>
      <c r="H232" s="884"/>
      <c r="I232" s="18"/>
      <c r="J232" s="5"/>
      <c r="K232" s="5"/>
      <c r="L232" s="5"/>
      <c r="M232" s="5"/>
    </row>
    <row r="233" spans="1:13" ht="15.75">
      <c r="A233" s="18"/>
      <c r="B233" s="38"/>
      <c r="C233" s="18"/>
      <c r="D233" s="884"/>
      <c r="E233" s="39"/>
      <c r="F233" s="39"/>
      <c r="G233" s="884"/>
      <c r="H233" s="884"/>
      <c r="I233" s="18"/>
      <c r="J233" s="5"/>
      <c r="K233" s="5"/>
      <c r="L233" s="5"/>
      <c r="M233" s="5"/>
    </row>
    <row r="234" spans="1:13" ht="15.75">
      <c r="A234" s="18"/>
      <c r="B234" s="38"/>
      <c r="C234" s="18"/>
      <c r="D234" s="884"/>
      <c r="E234" s="39"/>
      <c r="F234" s="56"/>
      <c r="G234" s="884"/>
      <c r="H234" s="884"/>
      <c r="I234" s="18"/>
      <c r="J234" s="5"/>
      <c r="K234" s="5"/>
      <c r="L234" s="5"/>
      <c r="M234" s="5"/>
    </row>
    <row r="235" spans="1:13" ht="15.75">
      <c r="A235" s="18"/>
      <c r="B235" s="38"/>
      <c r="C235" s="46"/>
      <c r="D235" s="18"/>
      <c r="E235" s="18"/>
      <c r="F235" s="30"/>
      <c r="G235" s="18"/>
      <c r="H235" s="18"/>
      <c r="I235" s="18"/>
      <c r="J235" s="5"/>
      <c r="K235" s="5"/>
      <c r="L235" s="5"/>
      <c r="M235" s="5"/>
    </row>
    <row r="236" spans="1:13" ht="15.75">
      <c r="A236" s="18"/>
      <c r="B236" s="38"/>
      <c r="C236" s="18"/>
      <c r="D236" s="18"/>
      <c r="E236" s="18"/>
      <c r="F236" s="30"/>
      <c r="G236" s="18"/>
      <c r="H236" s="18"/>
      <c r="I236" s="18"/>
      <c r="J236" s="5"/>
      <c r="K236" s="5"/>
      <c r="L236" s="5"/>
      <c r="M236" s="5"/>
    </row>
    <row r="237" spans="1:13" ht="15.75">
      <c r="A237" s="18"/>
      <c r="B237" s="38"/>
      <c r="C237" s="18"/>
      <c r="D237" s="18"/>
      <c r="E237" s="18"/>
      <c r="F237" s="30"/>
      <c r="G237" s="18"/>
      <c r="H237" s="18"/>
      <c r="I237" s="18"/>
      <c r="J237" s="5"/>
      <c r="K237" s="5"/>
      <c r="L237" s="5"/>
      <c r="M237" s="5"/>
    </row>
    <row r="238" spans="1:13" ht="15.75">
      <c r="A238" s="44"/>
      <c r="B238" s="44"/>
      <c r="C238" s="44"/>
      <c r="D238" s="16" t="s">
        <v>335</v>
      </c>
      <c r="E238" s="16"/>
      <c r="F238" s="44"/>
      <c r="G238" s="45"/>
      <c r="H238" s="45"/>
      <c r="I238" s="45"/>
      <c r="J238" s="5"/>
      <c r="K238" s="5"/>
      <c r="L238" s="5"/>
      <c r="M238" s="5"/>
    </row>
    <row r="239" spans="1:13" ht="15.75">
      <c r="A239" s="18"/>
      <c r="B239" s="19"/>
      <c r="C239" s="18"/>
      <c r="D239" s="18"/>
      <c r="E239" s="18"/>
      <c r="F239" s="30"/>
      <c r="G239" s="884"/>
      <c r="H239" s="884"/>
      <c r="I239" s="884"/>
      <c r="J239" s="5"/>
      <c r="K239" s="5"/>
      <c r="L239" s="5"/>
      <c r="M239" s="5"/>
    </row>
    <row r="240" spans="1:13" ht="15.75">
      <c r="A240" s="18"/>
      <c r="B240" s="19"/>
      <c r="C240" s="18"/>
      <c r="D240" s="18"/>
      <c r="E240" s="18"/>
      <c r="F240" s="30"/>
      <c r="G240" s="884"/>
      <c r="H240" s="884"/>
      <c r="I240" s="884"/>
      <c r="J240" s="5"/>
      <c r="K240" s="5"/>
      <c r="L240" s="5"/>
      <c r="M240" s="5"/>
    </row>
    <row r="241" spans="1:13" ht="15.75">
      <c r="A241" s="18"/>
      <c r="B241" s="19"/>
      <c r="C241" s="18"/>
      <c r="D241" s="48" t="s">
        <v>336</v>
      </c>
      <c r="E241" s="48" t="s">
        <v>337</v>
      </c>
      <c r="F241" s="24" t="s">
        <v>235</v>
      </c>
      <c r="G241" s="889" t="s">
        <v>232</v>
      </c>
      <c r="H241" s="889"/>
      <c r="I241" s="884" t="s">
        <v>215</v>
      </c>
      <c r="J241" s="5"/>
      <c r="K241" s="5"/>
      <c r="L241" s="5"/>
      <c r="M241" s="5"/>
    </row>
    <row r="242" spans="1:13" ht="15.75">
      <c r="A242" s="18"/>
      <c r="B242" s="19"/>
      <c r="C242" s="18"/>
      <c r="D242" s="48" t="s">
        <v>336</v>
      </c>
      <c r="E242" s="48" t="s">
        <v>337</v>
      </c>
      <c r="F242" s="50" t="s">
        <v>275</v>
      </c>
      <c r="G242" s="889" t="s">
        <v>232</v>
      </c>
      <c r="H242" s="896">
        <v>1</v>
      </c>
      <c r="I242" s="884" t="s">
        <v>215</v>
      </c>
      <c r="J242" s="5"/>
      <c r="K242" s="5"/>
      <c r="L242" s="5"/>
      <c r="M242" s="5"/>
    </row>
    <row r="243" spans="1:13" ht="15.75">
      <c r="A243" s="18"/>
      <c r="B243" s="19"/>
      <c r="C243" s="18"/>
      <c r="D243" s="48" t="s">
        <v>336</v>
      </c>
      <c r="E243" s="48" t="s">
        <v>337</v>
      </c>
      <c r="F243" s="50" t="s">
        <v>216</v>
      </c>
      <c r="G243" s="889" t="s">
        <v>232</v>
      </c>
      <c r="H243" s="896">
        <v>1</v>
      </c>
      <c r="I243" s="884" t="s">
        <v>215</v>
      </c>
      <c r="J243" s="5"/>
      <c r="K243" s="5"/>
      <c r="L243" s="5"/>
      <c r="M243" s="5"/>
    </row>
    <row r="244" spans="1:13" ht="15.75">
      <c r="A244" s="18"/>
      <c r="B244" s="19"/>
      <c r="C244" s="18"/>
      <c r="D244" s="48" t="s">
        <v>336</v>
      </c>
      <c r="E244" s="48" t="s">
        <v>338</v>
      </c>
      <c r="F244" s="24" t="s">
        <v>235</v>
      </c>
      <c r="G244" s="889" t="s">
        <v>232</v>
      </c>
      <c r="H244" s="889"/>
      <c r="I244" s="884" t="s">
        <v>215</v>
      </c>
      <c r="J244" s="5"/>
      <c r="K244" s="5"/>
      <c r="L244" s="5"/>
      <c r="M244" s="5"/>
    </row>
    <row r="245" spans="1:13" ht="15.75">
      <c r="A245" s="18"/>
      <c r="B245" s="19"/>
      <c r="C245" s="18"/>
      <c r="D245" s="48" t="s">
        <v>336</v>
      </c>
      <c r="E245" s="48" t="s">
        <v>338</v>
      </c>
      <c r="F245" s="50" t="s">
        <v>275</v>
      </c>
      <c r="G245" s="889" t="s">
        <v>232</v>
      </c>
      <c r="H245" s="896">
        <v>1</v>
      </c>
      <c r="I245" s="884" t="s">
        <v>215</v>
      </c>
      <c r="J245" s="5"/>
      <c r="K245" s="5"/>
      <c r="L245" s="5"/>
      <c r="M245" s="5"/>
    </row>
    <row r="246" spans="1:13" ht="15.75">
      <c r="A246" s="18"/>
      <c r="B246" s="19"/>
      <c r="C246" s="18"/>
      <c r="D246" s="48" t="s">
        <v>336</v>
      </c>
      <c r="E246" s="48" t="s">
        <v>338</v>
      </c>
      <c r="F246" s="50" t="s">
        <v>216</v>
      </c>
      <c r="G246" s="889" t="s">
        <v>232</v>
      </c>
      <c r="H246" s="896">
        <v>1</v>
      </c>
      <c r="I246" s="884" t="s">
        <v>215</v>
      </c>
      <c r="J246" s="5"/>
      <c r="K246" s="5"/>
      <c r="L246" s="5"/>
      <c r="M246" s="5"/>
    </row>
    <row r="247" spans="1:13" ht="15.75">
      <c r="A247" s="18"/>
      <c r="B247" s="38"/>
      <c r="C247" s="18"/>
      <c r="D247" s="18"/>
      <c r="E247" s="18"/>
      <c r="F247" s="30"/>
      <c r="G247" s="884"/>
      <c r="H247" s="884"/>
      <c r="I247" s="884"/>
      <c r="J247" s="5"/>
      <c r="K247" s="5"/>
      <c r="L247" s="5"/>
      <c r="M247" s="5"/>
    </row>
    <row r="248" spans="1:13" ht="15.75">
      <c r="A248" s="18"/>
      <c r="B248" s="38"/>
      <c r="C248" s="18"/>
      <c r="D248" s="18"/>
      <c r="E248" s="18"/>
      <c r="F248" s="30"/>
      <c r="G248" s="884"/>
      <c r="H248" s="884"/>
      <c r="I248" s="884"/>
      <c r="J248" s="5"/>
      <c r="K248" s="5"/>
      <c r="L248" s="5"/>
      <c r="M248" s="5"/>
    </row>
    <row r="249" spans="1:13" ht="15.75">
      <c r="A249" s="44"/>
      <c r="B249" s="44"/>
      <c r="C249" s="44"/>
      <c r="D249" s="16" t="s">
        <v>339</v>
      </c>
      <c r="E249" s="16"/>
      <c r="F249" s="44"/>
      <c r="G249" s="45"/>
      <c r="H249" s="45"/>
      <c r="I249" s="45"/>
      <c r="J249" s="5"/>
      <c r="K249" s="5"/>
      <c r="L249" s="5"/>
      <c r="M249" s="5"/>
    </row>
    <row r="250" spans="1:13" ht="15.75">
      <c r="A250" s="18"/>
      <c r="B250" s="19"/>
      <c r="C250" s="18"/>
      <c r="D250" s="18"/>
      <c r="E250" s="18"/>
      <c r="F250" s="30"/>
      <c r="G250" s="884"/>
      <c r="H250" s="884"/>
      <c r="I250" s="884"/>
      <c r="J250" s="5"/>
      <c r="K250" s="5"/>
      <c r="L250" s="5"/>
      <c r="M250" s="5"/>
    </row>
    <row r="251" spans="1:13" ht="15.75">
      <c r="A251" s="18"/>
      <c r="B251" s="38"/>
      <c r="C251" s="18"/>
      <c r="D251" s="48" t="s">
        <v>340</v>
      </c>
      <c r="E251" s="48" t="s">
        <v>337</v>
      </c>
      <c r="F251" s="24" t="s">
        <v>235</v>
      </c>
      <c r="G251" s="889" t="s">
        <v>232</v>
      </c>
      <c r="H251" s="889"/>
      <c r="I251" s="884" t="s">
        <v>215</v>
      </c>
      <c r="J251" s="5"/>
      <c r="K251" s="899"/>
      <c r="L251" s="5"/>
      <c r="M251" s="5"/>
    </row>
    <row r="252" spans="1:13" ht="15.75">
      <c r="A252" s="18"/>
      <c r="B252" s="38"/>
      <c r="C252" s="18"/>
      <c r="D252" s="48" t="s">
        <v>340</v>
      </c>
      <c r="E252" s="48" t="s">
        <v>337</v>
      </c>
      <c r="F252" s="50" t="s">
        <v>275</v>
      </c>
      <c r="G252" s="889" t="s">
        <v>232</v>
      </c>
      <c r="H252" s="896">
        <v>1</v>
      </c>
      <c r="I252" s="884" t="s">
        <v>215</v>
      </c>
      <c r="J252" s="5"/>
      <c r="K252" s="899"/>
      <c r="L252" s="5"/>
      <c r="M252" s="5"/>
    </row>
    <row r="253" spans="1:13" ht="15.75">
      <c r="A253" s="18"/>
      <c r="B253" s="38"/>
      <c r="C253" s="18"/>
      <c r="D253" s="48" t="s">
        <v>340</v>
      </c>
      <c r="E253" s="48" t="s">
        <v>337</v>
      </c>
      <c r="F253" s="50" t="s">
        <v>216</v>
      </c>
      <c r="G253" s="889" t="s">
        <v>232</v>
      </c>
      <c r="H253" s="896">
        <v>1</v>
      </c>
      <c r="I253" s="884" t="s">
        <v>215</v>
      </c>
      <c r="J253" s="5"/>
      <c r="K253" s="899"/>
      <c r="L253" s="5"/>
      <c r="M253" s="5"/>
    </row>
    <row r="254" spans="1:13" ht="15.75">
      <c r="A254" s="18"/>
      <c r="B254" s="38"/>
      <c r="C254" s="18"/>
      <c r="D254" s="48" t="s">
        <v>341</v>
      </c>
      <c r="E254" s="48" t="s">
        <v>337</v>
      </c>
      <c r="F254" s="24" t="s">
        <v>235</v>
      </c>
      <c r="G254" s="889" t="s">
        <v>232</v>
      </c>
      <c r="H254" s="889"/>
      <c r="I254" s="884" t="s">
        <v>215</v>
      </c>
      <c r="J254" s="5"/>
      <c r="K254" s="899"/>
      <c r="L254" s="5"/>
      <c r="M254" s="5"/>
    </row>
    <row r="255" spans="1:13" ht="15.75">
      <c r="A255" s="18"/>
      <c r="B255" s="38"/>
      <c r="C255" s="18"/>
      <c r="D255" s="48" t="s">
        <v>341</v>
      </c>
      <c r="E255" s="48" t="s">
        <v>337</v>
      </c>
      <c r="F255" s="50" t="s">
        <v>275</v>
      </c>
      <c r="G255" s="889" t="s">
        <v>232</v>
      </c>
      <c r="H255" s="896">
        <v>1</v>
      </c>
      <c r="I255" s="884" t="s">
        <v>215</v>
      </c>
      <c r="J255" s="5"/>
      <c r="K255" s="899"/>
      <c r="L255" s="5"/>
      <c r="M255" s="5"/>
    </row>
    <row r="256" spans="1:13" ht="15.75">
      <c r="A256" s="18"/>
      <c r="B256" s="38"/>
      <c r="C256" s="18"/>
      <c r="D256" s="48" t="s">
        <v>341</v>
      </c>
      <c r="E256" s="48" t="s">
        <v>337</v>
      </c>
      <c r="F256" s="50" t="s">
        <v>216</v>
      </c>
      <c r="G256" s="889" t="s">
        <v>232</v>
      </c>
      <c r="H256" s="896">
        <v>1</v>
      </c>
      <c r="I256" s="884" t="s">
        <v>215</v>
      </c>
      <c r="J256" s="5"/>
      <c r="K256" s="899"/>
      <c r="L256" s="5"/>
      <c r="M256" s="5"/>
    </row>
    <row r="257" spans="1:13" ht="15.75">
      <c r="A257" s="18"/>
      <c r="B257" s="38"/>
      <c r="C257" s="18"/>
      <c r="D257" s="18"/>
      <c r="E257" s="18"/>
      <c r="F257" s="30"/>
      <c r="G257" s="884"/>
      <c r="H257" s="884"/>
      <c r="I257" s="884"/>
      <c r="J257" s="5"/>
      <c r="K257" s="5"/>
      <c r="L257" s="5"/>
      <c r="M257" s="5"/>
    </row>
    <row r="258" spans="1:13" ht="15.75">
      <c r="A258" s="44"/>
      <c r="B258" s="44"/>
      <c r="C258" s="44"/>
      <c r="D258" s="16" t="s">
        <v>342</v>
      </c>
      <c r="E258" s="16"/>
      <c r="F258" s="44"/>
      <c r="G258" s="45"/>
      <c r="H258" s="45"/>
      <c r="I258" s="45"/>
      <c r="J258" s="5"/>
      <c r="K258" s="5"/>
      <c r="L258" s="5"/>
      <c r="M258" s="5"/>
    </row>
    <row r="259" spans="1:13" ht="15.75">
      <c r="A259" s="18"/>
      <c r="B259" s="19"/>
      <c r="C259" s="18"/>
      <c r="D259" s="18"/>
      <c r="E259" s="18"/>
      <c r="F259" s="30"/>
      <c r="G259" s="884"/>
      <c r="H259" s="884"/>
      <c r="I259" s="884"/>
      <c r="J259" s="5"/>
      <c r="K259" s="5"/>
      <c r="L259" s="5"/>
      <c r="M259" s="5"/>
    </row>
    <row r="260" spans="1:13" ht="15.75">
      <c r="A260" s="18"/>
      <c r="B260" s="19"/>
      <c r="C260" s="18"/>
      <c r="D260" s="29"/>
      <c r="E260" s="29"/>
      <c r="F260" s="30"/>
      <c r="G260" s="884"/>
      <c r="H260" s="884"/>
      <c r="I260" s="884"/>
      <c r="J260" s="5"/>
      <c r="K260" s="5"/>
      <c r="L260" s="5"/>
      <c r="M260" s="5"/>
    </row>
    <row r="261" spans="1:13" ht="15.75">
      <c r="A261" s="18"/>
      <c r="B261" s="19"/>
      <c r="C261" s="18"/>
      <c r="D261" s="48" t="s">
        <v>343</v>
      </c>
      <c r="E261" s="48" t="s">
        <v>344</v>
      </c>
      <c r="F261" s="24" t="s">
        <v>235</v>
      </c>
      <c r="G261" s="889" t="s">
        <v>232</v>
      </c>
      <c r="H261" s="889"/>
      <c r="I261" s="884" t="s">
        <v>215</v>
      </c>
      <c r="J261" s="5"/>
      <c r="K261" s="5"/>
      <c r="L261" s="5"/>
      <c r="M261" s="5"/>
    </row>
    <row r="262" spans="1:13" ht="15.75">
      <c r="A262" s="18"/>
      <c r="B262" s="19"/>
      <c r="C262" s="18"/>
      <c r="D262" s="48" t="s">
        <v>343</v>
      </c>
      <c r="E262" s="48" t="s">
        <v>344</v>
      </c>
      <c r="F262" s="50" t="s">
        <v>275</v>
      </c>
      <c r="G262" s="889" t="s">
        <v>232</v>
      </c>
      <c r="H262" s="889"/>
      <c r="I262" s="884" t="s">
        <v>215</v>
      </c>
      <c r="J262" s="5"/>
      <c r="K262" s="5"/>
      <c r="L262" s="5"/>
      <c r="M262" s="5"/>
    </row>
    <row r="263" spans="1:13" ht="15.75">
      <c r="A263" s="18"/>
      <c r="B263" s="19"/>
      <c r="C263" s="18"/>
      <c r="D263" s="48" t="s">
        <v>343</v>
      </c>
      <c r="E263" s="48" t="s">
        <v>344</v>
      </c>
      <c r="F263" s="50" t="s">
        <v>216</v>
      </c>
      <c r="G263" s="889" t="s">
        <v>232</v>
      </c>
      <c r="H263" s="896">
        <v>1</v>
      </c>
      <c r="I263" s="884" t="s">
        <v>215</v>
      </c>
      <c r="J263" s="5"/>
      <c r="K263" s="5"/>
      <c r="L263" s="5"/>
      <c r="M263" s="5"/>
    </row>
    <row r="264" spans="1:13" ht="15.75">
      <c r="A264" s="18"/>
      <c r="B264" s="19"/>
      <c r="C264" s="18"/>
      <c r="D264" s="18"/>
      <c r="E264" s="18"/>
      <c r="F264" s="30"/>
      <c r="G264" s="884"/>
      <c r="H264" s="884"/>
      <c r="I264" s="884"/>
      <c r="J264" s="5"/>
      <c r="K264" s="5"/>
      <c r="L264" s="5"/>
      <c r="M264" s="5"/>
    </row>
    <row r="265" spans="1:13" ht="15.75">
      <c r="A265" s="18"/>
      <c r="B265" s="19"/>
      <c r="C265" s="18"/>
      <c r="D265" s="48" t="s">
        <v>343</v>
      </c>
      <c r="E265" s="48" t="s">
        <v>345</v>
      </c>
      <c r="F265" s="24" t="s">
        <v>235</v>
      </c>
      <c r="G265" s="889" t="s">
        <v>232</v>
      </c>
      <c r="H265" s="889"/>
      <c r="I265" s="884" t="s">
        <v>215</v>
      </c>
      <c r="J265" s="5"/>
      <c r="K265" s="5"/>
      <c r="L265" s="5"/>
      <c r="M265" s="5"/>
    </row>
    <row r="266" spans="1:13" ht="15.75">
      <c r="A266" s="18"/>
      <c r="B266" s="19"/>
      <c r="C266" s="18"/>
      <c r="D266" s="48" t="s">
        <v>343</v>
      </c>
      <c r="E266" s="48" t="s">
        <v>345</v>
      </c>
      <c r="F266" s="50" t="s">
        <v>275</v>
      </c>
      <c r="G266" s="889" t="s">
        <v>232</v>
      </c>
      <c r="H266" s="889"/>
      <c r="I266" s="884" t="s">
        <v>215</v>
      </c>
      <c r="J266" s="5"/>
      <c r="K266" s="5"/>
      <c r="L266" s="5"/>
      <c r="M266" s="5"/>
    </row>
    <row r="267" spans="1:13" ht="15.75">
      <c r="A267" s="18"/>
      <c r="B267" s="19"/>
      <c r="C267" s="18"/>
      <c r="D267" s="48" t="s">
        <v>343</v>
      </c>
      <c r="E267" s="48" t="s">
        <v>345</v>
      </c>
      <c r="F267" s="50" t="s">
        <v>216</v>
      </c>
      <c r="G267" s="889" t="s">
        <v>232</v>
      </c>
      <c r="H267" s="896">
        <v>1</v>
      </c>
      <c r="I267" s="884" t="s">
        <v>215</v>
      </c>
      <c r="J267" s="5"/>
      <c r="K267" s="5"/>
      <c r="L267" s="5"/>
      <c r="M267" s="5"/>
    </row>
    <row r="268" spans="1:13" ht="15.75">
      <c r="A268" s="18"/>
      <c r="B268" s="19"/>
      <c r="C268" s="18"/>
      <c r="D268" s="18"/>
      <c r="E268" s="18"/>
      <c r="F268" s="30"/>
      <c r="G268" s="884"/>
      <c r="H268" s="884"/>
      <c r="I268" s="884"/>
      <c r="J268" s="5"/>
      <c r="K268" s="5"/>
      <c r="L268" s="5"/>
      <c r="M268" s="5"/>
    </row>
    <row r="269" spans="1:13" ht="15.75">
      <c r="A269" s="18"/>
      <c r="B269" s="19"/>
      <c r="C269" s="18"/>
      <c r="D269" s="48" t="s">
        <v>343</v>
      </c>
      <c r="E269" s="48" t="s">
        <v>346</v>
      </c>
      <c r="F269" s="50" t="s">
        <v>347</v>
      </c>
      <c r="G269" s="889" t="s">
        <v>232</v>
      </c>
      <c r="H269" s="896">
        <v>1</v>
      </c>
      <c r="I269" s="884" t="s">
        <v>215</v>
      </c>
      <c r="J269" s="5"/>
      <c r="K269" s="5"/>
      <c r="L269" s="5"/>
      <c r="M269" s="5"/>
    </row>
    <row r="270" spans="1:13" ht="15.75">
      <c r="A270" s="18"/>
      <c r="B270" s="38"/>
      <c r="C270" s="18"/>
      <c r="D270" s="18"/>
      <c r="E270" s="18"/>
      <c r="F270" s="30"/>
      <c r="G270" s="884"/>
      <c r="H270" s="884"/>
      <c r="I270" s="884"/>
      <c r="J270" s="5"/>
      <c r="K270" s="5"/>
      <c r="L270" s="5"/>
      <c r="M270" s="5"/>
    </row>
    <row r="271" spans="1:13" ht="15.75">
      <c r="A271" s="44"/>
      <c r="B271" s="44"/>
      <c r="C271" s="44"/>
      <c r="D271" s="16" t="s">
        <v>348</v>
      </c>
      <c r="E271" s="16"/>
      <c r="F271" s="44"/>
      <c r="G271" s="45"/>
      <c r="H271" s="45"/>
      <c r="I271" s="45"/>
      <c r="J271" s="5"/>
      <c r="K271" s="5"/>
      <c r="L271" s="5"/>
      <c r="M271" s="5"/>
    </row>
    <row r="272" spans="1:13" ht="15.75">
      <c r="A272" s="18"/>
      <c r="B272" s="19"/>
      <c r="C272" s="18"/>
      <c r="D272" s="18"/>
      <c r="E272" s="18"/>
      <c r="F272" s="30"/>
      <c r="G272" s="884"/>
      <c r="H272" s="884"/>
      <c r="I272" s="884"/>
      <c r="J272" s="5"/>
      <c r="K272" s="5"/>
      <c r="L272" s="5"/>
      <c r="M272" s="5"/>
    </row>
    <row r="273" spans="1:13" ht="15.75">
      <c r="A273" s="18"/>
      <c r="B273" s="19"/>
      <c r="C273" s="18"/>
      <c r="D273" s="48" t="s">
        <v>336</v>
      </c>
      <c r="E273" s="48"/>
      <c r="F273" s="24" t="s">
        <v>235</v>
      </c>
      <c r="G273" s="889" t="s">
        <v>232</v>
      </c>
      <c r="H273" s="889"/>
      <c r="I273" s="884" t="s">
        <v>215</v>
      </c>
      <c r="J273" s="5"/>
      <c r="K273" s="5"/>
      <c r="L273" s="5"/>
      <c r="M273" s="5"/>
    </row>
    <row r="274" spans="1:13" ht="15.75">
      <c r="A274" s="18"/>
      <c r="B274" s="19"/>
      <c r="C274" s="18"/>
      <c r="D274" s="48" t="s">
        <v>336</v>
      </c>
      <c r="E274" s="48"/>
      <c r="F274" s="50" t="s">
        <v>275</v>
      </c>
      <c r="G274" s="889" t="s">
        <v>232</v>
      </c>
      <c r="H274" s="889"/>
      <c r="I274" s="884" t="s">
        <v>215</v>
      </c>
      <c r="J274" s="5"/>
      <c r="K274" s="5"/>
      <c r="L274" s="5"/>
      <c r="M274" s="5"/>
    </row>
    <row r="275" spans="1:13" ht="15.75">
      <c r="A275" s="18"/>
      <c r="B275" s="19"/>
      <c r="C275" s="18"/>
      <c r="D275" s="48" t="s">
        <v>336</v>
      </c>
      <c r="E275" s="48"/>
      <c r="F275" s="50" t="s">
        <v>216</v>
      </c>
      <c r="G275" s="889" t="s">
        <v>232</v>
      </c>
      <c r="H275" s="889"/>
      <c r="I275" s="884" t="s">
        <v>215</v>
      </c>
      <c r="J275" s="5"/>
      <c r="K275" s="5"/>
      <c r="L275" s="5"/>
      <c r="M275" s="5"/>
    </row>
    <row r="276" spans="1:13" ht="15.75">
      <c r="A276" s="18"/>
      <c r="B276" s="38"/>
      <c r="C276" s="18"/>
      <c r="D276" s="18"/>
      <c r="E276" s="18"/>
      <c r="F276" s="30"/>
      <c r="G276" s="884"/>
      <c r="H276" s="884"/>
      <c r="I276" s="884"/>
      <c r="J276" s="5"/>
      <c r="K276" s="5"/>
      <c r="L276" s="5"/>
      <c r="M276" s="5"/>
    </row>
    <row r="277" spans="1:13" ht="15.75">
      <c r="A277" s="18"/>
      <c r="B277" s="38"/>
      <c r="C277" s="18"/>
      <c r="D277" s="18"/>
      <c r="E277" s="18"/>
      <c r="F277" s="30"/>
      <c r="G277" s="884"/>
      <c r="H277" s="884"/>
      <c r="I277" s="884"/>
      <c r="J277" s="5"/>
      <c r="K277" s="5"/>
      <c r="L277" s="5"/>
      <c r="M277" s="5"/>
    </row>
    <row r="278" spans="1:13" ht="15.75">
      <c r="A278" s="44"/>
      <c r="B278" s="44"/>
      <c r="C278" s="44"/>
      <c r="D278" s="16" t="s">
        <v>349</v>
      </c>
      <c r="E278" s="16"/>
      <c r="F278" s="44"/>
      <c r="G278" s="45"/>
      <c r="H278" s="45"/>
      <c r="I278" s="45"/>
      <c r="J278" s="5"/>
      <c r="K278" s="5"/>
      <c r="L278" s="5"/>
      <c r="M278" s="5"/>
    </row>
    <row r="279" spans="1:13" ht="15.75">
      <c r="A279" s="18"/>
      <c r="B279" s="19"/>
      <c r="C279" s="18"/>
      <c r="D279" s="18"/>
      <c r="E279" s="18"/>
      <c r="F279" s="30"/>
      <c r="G279" s="884"/>
      <c r="H279" s="884"/>
      <c r="I279" s="884"/>
      <c r="J279" s="5"/>
      <c r="K279" s="5"/>
      <c r="L279" s="5"/>
      <c r="M279" s="5"/>
    </row>
    <row r="280" spans="1:13" ht="15.75">
      <c r="A280" s="18"/>
      <c r="B280" s="19"/>
      <c r="C280" s="18"/>
      <c r="D280" s="48" t="s">
        <v>350</v>
      </c>
      <c r="E280" s="48"/>
      <c r="F280" s="24"/>
      <c r="G280" s="889" t="s">
        <v>232</v>
      </c>
      <c r="H280" s="896">
        <v>1</v>
      </c>
      <c r="I280" s="884" t="s">
        <v>215</v>
      </c>
      <c r="J280" s="5"/>
      <c r="K280" s="5"/>
      <c r="L280" s="5"/>
      <c r="M280" s="5"/>
    </row>
    <row r="281" spans="1:13" ht="15.75">
      <c r="A281" s="18"/>
      <c r="B281" s="19"/>
      <c r="C281" s="18"/>
      <c r="D281" s="48" t="s">
        <v>351</v>
      </c>
      <c r="E281" s="48"/>
      <c r="F281" s="50"/>
      <c r="G281" s="889" t="s">
        <v>232</v>
      </c>
      <c r="H281" s="896">
        <v>1</v>
      </c>
      <c r="I281" s="884" t="s">
        <v>215</v>
      </c>
      <c r="J281" s="5"/>
      <c r="K281" s="5"/>
      <c r="L281" s="5"/>
      <c r="M281" s="5"/>
    </row>
    <row r="282" spans="1:13" ht="15.75">
      <c r="A282" s="18"/>
      <c r="B282" s="19"/>
      <c r="C282" s="18"/>
      <c r="D282" s="48" t="s">
        <v>352</v>
      </c>
      <c r="E282" s="48"/>
      <c r="F282" s="50"/>
      <c r="G282" s="889" t="s">
        <v>232</v>
      </c>
      <c r="H282" s="896">
        <v>1</v>
      </c>
      <c r="I282" s="884" t="s">
        <v>215</v>
      </c>
      <c r="J282" s="5"/>
      <c r="K282" s="5"/>
      <c r="L282" s="5"/>
      <c r="M282" s="5"/>
    </row>
    <row r="283" spans="1:13" ht="15.75">
      <c r="A283" s="18"/>
      <c r="B283" s="19"/>
      <c r="C283" s="18"/>
      <c r="D283" s="48"/>
      <c r="E283" s="48"/>
      <c r="F283" s="50"/>
      <c r="G283" s="889"/>
      <c r="H283" s="896"/>
      <c r="I283" s="884"/>
      <c r="J283" s="5"/>
      <c r="K283" s="5"/>
      <c r="L283" s="5"/>
      <c r="M283" s="5"/>
    </row>
    <row r="284" spans="1:13" ht="15.75">
      <c r="A284" s="18"/>
      <c r="B284" s="19"/>
      <c r="C284" s="18"/>
      <c r="D284" s="900" t="s">
        <v>29</v>
      </c>
      <c r="E284" s="900"/>
      <c r="F284" s="901"/>
      <c r="G284" s="894" t="s">
        <v>232</v>
      </c>
      <c r="H284" s="896">
        <v>1</v>
      </c>
      <c r="I284" s="884" t="s">
        <v>215</v>
      </c>
      <c r="J284" s="5"/>
      <c r="K284" s="5"/>
      <c r="L284" s="5"/>
      <c r="M284" s="5"/>
    </row>
    <row r="285" spans="1:13" ht="15.75">
      <c r="A285" s="18"/>
      <c r="B285" s="19"/>
      <c r="C285" s="18"/>
      <c r="D285" s="900" t="s">
        <v>353</v>
      </c>
      <c r="E285" s="900"/>
      <c r="F285" s="901"/>
      <c r="G285" s="894" t="s">
        <v>232</v>
      </c>
      <c r="H285" s="896">
        <v>1</v>
      </c>
      <c r="I285" s="884" t="s">
        <v>215</v>
      </c>
      <c r="J285" s="5"/>
      <c r="K285" s="5"/>
      <c r="L285" s="5"/>
      <c r="M285" s="5"/>
    </row>
    <row r="286" spans="1:13" ht="15.75">
      <c r="A286" s="18"/>
      <c r="B286" s="38"/>
      <c r="C286" s="18"/>
      <c r="D286" s="58"/>
      <c r="E286" s="58"/>
      <c r="F286" s="30"/>
      <c r="G286" s="902"/>
      <c r="H286" s="902"/>
      <c r="I286" s="884"/>
      <c r="J286" s="5"/>
      <c r="K286" s="5"/>
      <c r="L286" s="5"/>
      <c r="M286" s="5"/>
    </row>
    <row r="287" spans="1:13" ht="15.75">
      <c r="A287" s="44"/>
      <c r="B287" s="44"/>
      <c r="C287" s="44"/>
      <c r="D287" s="16" t="s">
        <v>354</v>
      </c>
      <c r="E287" s="16"/>
      <c r="F287" s="44"/>
      <c r="G287" s="45"/>
      <c r="H287" s="45"/>
      <c r="I287" s="45"/>
      <c r="J287" s="5"/>
      <c r="K287" s="5"/>
      <c r="L287" s="5"/>
      <c r="M287" s="5"/>
    </row>
    <row r="288" spans="1:13" ht="15.75">
      <c r="A288" s="18"/>
      <c r="B288" s="19"/>
      <c r="C288" s="18"/>
      <c r="D288" s="18"/>
      <c r="E288" s="18"/>
      <c r="F288" s="30"/>
      <c r="G288" s="884"/>
      <c r="H288" s="884"/>
      <c r="I288" s="884"/>
      <c r="J288" s="5"/>
      <c r="K288" s="5"/>
      <c r="L288" s="5"/>
      <c r="M288" s="5"/>
    </row>
    <row r="289" spans="1:13" ht="15.75">
      <c r="A289" s="18"/>
      <c r="B289" s="19"/>
      <c r="C289" s="18"/>
      <c r="D289" s="48" t="s">
        <v>355</v>
      </c>
      <c r="E289" s="48"/>
      <c r="F289" s="24"/>
      <c r="G289" s="889" t="s">
        <v>232</v>
      </c>
      <c r="H289" s="896">
        <v>1</v>
      </c>
      <c r="I289" s="884" t="s">
        <v>215</v>
      </c>
      <c r="J289" s="5"/>
      <c r="K289" s="5"/>
      <c r="L289" s="5"/>
      <c r="M289" s="5"/>
    </row>
    <row r="290" spans="1:13" ht="15.75">
      <c r="A290" s="18"/>
      <c r="B290" s="19"/>
      <c r="C290" s="18"/>
      <c r="D290" s="48" t="s">
        <v>356</v>
      </c>
      <c r="E290" s="48"/>
      <c r="F290" s="50"/>
      <c r="G290" s="889" t="s">
        <v>232</v>
      </c>
      <c r="H290" s="896">
        <v>1</v>
      </c>
      <c r="I290" s="884" t="s">
        <v>215</v>
      </c>
      <c r="J290" s="5"/>
      <c r="K290" s="5"/>
      <c r="L290" s="5"/>
      <c r="M290" s="5"/>
    </row>
    <row r="291" spans="1:13" ht="15.75">
      <c r="A291" s="18"/>
      <c r="B291" s="19"/>
      <c r="C291" s="18"/>
      <c r="D291" s="48" t="s">
        <v>357</v>
      </c>
      <c r="E291" s="48"/>
      <c r="F291" s="50"/>
      <c r="G291" s="889" t="s">
        <v>232</v>
      </c>
      <c r="H291" s="896">
        <v>1</v>
      </c>
      <c r="I291" s="884" t="s">
        <v>215</v>
      </c>
      <c r="J291" s="5"/>
      <c r="K291" s="5"/>
      <c r="L291" s="5"/>
      <c r="M291" s="5"/>
    </row>
    <row r="292" spans="1:13" ht="15.75">
      <c r="A292" s="18"/>
      <c r="B292" s="19"/>
      <c r="C292" s="18"/>
      <c r="D292" s="903"/>
      <c r="E292" s="904"/>
      <c r="F292" s="905"/>
      <c r="G292" s="906"/>
      <c r="H292" s="906"/>
      <c r="I292" s="884"/>
      <c r="J292" s="5"/>
      <c r="K292" s="5"/>
      <c r="L292" s="5"/>
      <c r="M292" s="5"/>
    </row>
    <row r="293" spans="1:13" ht="15.75">
      <c r="A293" s="18"/>
      <c r="B293" s="19"/>
      <c r="C293" s="18"/>
      <c r="D293" s="48"/>
      <c r="E293" s="48"/>
      <c r="F293" s="50"/>
      <c r="G293" s="889" t="s">
        <v>232</v>
      </c>
      <c r="H293" s="889"/>
      <c r="I293" s="884" t="s">
        <v>215</v>
      </c>
      <c r="J293" s="5"/>
      <c r="K293" s="5"/>
      <c r="L293" s="5"/>
      <c r="M293" s="5"/>
    </row>
    <row r="294" spans="1:13" ht="15.75">
      <c r="A294" s="18"/>
      <c r="B294" s="19"/>
      <c r="C294" s="18"/>
      <c r="D294" s="48"/>
      <c r="E294" s="48"/>
      <c r="F294" s="50"/>
      <c r="G294" s="889" t="s">
        <v>232</v>
      </c>
      <c r="H294" s="889"/>
      <c r="I294" s="884" t="s">
        <v>215</v>
      </c>
      <c r="J294" s="5"/>
      <c r="K294" s="5"/>
      <c r="L294" s="5"/>
      <c r="M294" s="5"/>
    </row>
    <row r="295" spans="1:13" ht="15.75">
      <c r="A295" s="18"/>
      <c r="B295" s="38"/>
      <c r="C295" s="18"/>
      <c r="D295" s="18"/>
      <c r="E295" s="18"/>
      <c r="F295" s="30"/>
      <c r="G295" s="884"/>
      <c r="H295" s="884"/>
      <c r="I295" s="884"/>
      <c r="J295" s="5"/>
      <c r="K295" s="5"/>
      <c r="L295" s="5"/>
      <c r="M295" s="5"/>
    </row>
    <row r="296" spans="1:13" ht="15.75">
      <c r="A296" s="44"/>
      <c r="B296" s="44"/>
      <c r="C296" s="44"/>
      <c r="D296" s="16" t="s">
        <v>358</v>
      </c>
      <c r="E296" s="16"/>
      <c r="F296" s="44"/>
      <c r="G296" s="45"/>
      <c r="H296" s="45"/>
      <c r="I296" s="45"/>
      <c r="J296" s="5"/>
      <c r="K296" s="5"/>
      <c r="L296" s="5"/>
      <c r="M296" s="5"/>
    </row>
    <row r="297" spans="1:13" ht="15.75">
      <c r="A297" s="38"/>
      <c r="B297" s="19"/>
      <c r="C297" s="38"/>
      <c r="D297" s="57"/>
      <c r="E297" s="57"/>
      <c r="F297" s="57"/>
      <c r="G297" s="57"/>
      <c r="H297" s="57"/>
      <c r="I297" s="59"/>
      <c r="J297" s="25"/>
      <c r="K297" s="25"/>
      <c r="L297" s="25"/>
      <c r="M297" s="25"/>
    </row>
    <row r="298" spans="1:13" ht="15.75">
      <c r="A298" s="38"/>
      <c r="B298" s="19"/>
      <c r="C298" s="38"/>
      <c r="D298" s="58" t="s">
        <v>359</v>
      </c>
      <c r="E298" s="58"/>
      <c r="F298" s="60"/>
      <c r="G298" s="61" t="s">
        <v>232</v>
      </c>
      <c r="H298" s="61"/>
      <c r="I298" s="59"/>
      <c r="J298" s="25"/>
      <c r="K298" s="25"/>
      <c r="L298" s="25"/>
      <c r="M298" s="25"/>
    </row>
    <row r="319" spans="1:9">
      <c r="A319" s="250"/>
      <c r="B319" s="250"/>
      <c r="C319" s="252"/>
      <c r="D319" s="251" t="s">
        <v>484</v>
      </c>
      <c r="E319" s="251"/>
      <c r="F319" s="255"/>
      <c r="G319" s="256"/>
      <c r="H319" s="256"/>
      <c r="I319" s="256"/>
    </row>
    <row r="320" spans="1:9">
      <c r="B320" s="250"/>
      <c r="C320" s="254"/>
    </row>
    <row r="321" spans="1:9">
      <c r="B321" s="250"/>
      <c r="C321" s="254"/>
      <c r="D321" s="253" t="s">
        <v>485</v>
      </c>
      <c r="E321" s="253"/>
      <c r="F321" s="253" t="s">
        <v>71</v>
      </c>
      <c r="G321" s="907" t="s">
        <v>232</v>
      </c>
      <c r="H321" s="896">
        <v>1</v>
      </c>
      <c r="I321" s="59" t="s">
        <v>1345</v>
      </c>
    </row>
    <row r="322" spans="1:9">
      <c r="B322" s="250"/>
      <c r="C322" s="254"/>
      <c r="D322" s="253" t="s">
        <v>485</v>
      </c>
      <c r="E322" s="253"/>
      <c r="F322" s="253" t="s">
        <v>112</v>
      </c>
      <c r="G322" s="907" t="s">
        <v>232</v>
      </c>
      <c r="H322" s="896">
        <v>1</v>
      </c>
      <c r="I322" s="59" t="s">
        <v>1345</v>
      </c>
    </row>
    <row r="323" spans="1:9">
      <c r="B323" s="250"/>
      <c r="C323" s="254"/>
      <c r="D323" s="253" t="s">
        <v>486</v>
      </c>
      <c r="E323" s="253"/>
      <c r="F323" s="253" t="s">
        <v>71</v>
      </c>
      <c r="G323" s="907" t="s">
        <v>232</v>
      </c>
      <c r="H323" s="896">
        <v>1</v>
      </c>
      <c r="I323" s="59" t="s">
        <v>1345</v>
      </c>
    </row>
    <row r="324" spans="1:9">
      <c r="B324" s="250"/>
      <c r="C324" s="254"/>
      <c r="D324" s="253" t="s">
        <v>486</v>
      </c>
      <c r="E324" s="253"/>
      <c r="F324" s="253" t="s">
        <v>112</v>
      </c>
      <c r="G324" s="907" t="s">
        <v>232</v>
      </c>
      <c r="H324" s="896">
        <v>1</v>
      </c>
      <c r="I324" s="59" t="s">
        <v>1345</v>
      </c>
    </row>
    <row r="326" spans="1:9">
      <c r="A326" s="250"/>
      <c r="B326" s="252"/>
      <c r="C326" s="251"/>
      <c r="D326" s="251" t="s">
        <v>487</v>
      </c>
      <c r="E326" s="251"/>
      <c r="F326" s="255"/>
      <c r="G326" s="256"/>
      <c r="H326" s="256"/>
      <c r="I326" s="256"/>
    </row>
    <row r="327" spans="1:9">
      <c r="B327" s="252"/>
    </row>
    <row r="328" spans="1:9">
      <c r="B328" s="252"/>
      <c r="D328" s="258" t="s">
        <v>488</v>
      </c>
      <c r="E328" s="257"/>
      <c r="F328" s="257"/>
      <c r="G328" s="908" t="s">
        <v>232</v>
      </c>
      <c r="H328" s="896">
        <v>1</v>
      </c>
      <c r="I328" s="59" t="s">
        <v>215</v>
      </c>
    </row>
    <row r="329" spans="1:9">
      <c r="B329" s="252"/>
      <c r="D329" s="258" t="s">
        <v>489</v>
      </c>
      <c r="E329" s="257"/>
      <c r="F329" s="257"/>
      <c r="G329" s="908" t="s">
        <v>232</v>
      </c>
      <c r="H329" s="896">
        <v>1</v>
      </c>
      <c r="I329" s="59" t="s">
        <v>215</v>
      </c>
    </row>
    <row r="330" spans="1:9">
      <c r="B330" s="252"/>
      <c r="D330" s="258" t="s">
        <v>490</v>
      </c>
      <c r="E330" s="257"/>
      <c r="F330" s="257"/>
      <c r="G330" s="908" t="s">
        <v>232</v>
      </c>
      <c r="H330" s="896">
        <v>1</v>
      </c>
      <c r="I330" s="59" t="s">
        <v>215</v>
      </c>
    </row>
    <row r="331" spans="1:9">
      <c r="B331" s="252"/>
      <c r="D331" s="258" t="s">
        <v>491</v>
      </c>
      <c r="E331" s="257"/>
      <c r="F331" s="257"/>
      <c r="G331" s="908" t="s">
        <v>232</v>
      </c>
      <c r="H331" s="896">
        <v>1</v>
      </c>
      <c r="I331" s="59" t="s">
        <v>215</v>
      </c>
    </row>
    <row r="332" spans="1:9">
      <c r="B332" s="252"/>
      <c r="D332" s="258" t="s">
        <v>492</v>
      </c>
      <c r="E332" s="456"/>
      <c r="F332" s="456"/>
      <c r="G332" s="908" t="s">
        <v>232</v>
      </c>
      <c r="H332" s="896">
        <v>1</v>
      </c>
      <c r="I332" s="59" t="s">
        <v>215</v>
      </c>
    </row>
    <row r="333" spans="1:9">
      <c r="B333" s="252"/>
      <c r="D333" s="258" t="s">
        <v>493</v>
      </c>
      <c r="E333" s="456"/>
      <c r="F333" s="456"/>
      <c r="G333" s="908" t="s">
        <v>232</v>
      </c>
      <c r="H333" s="896">
        <v>1</v>
      </c>
      <c r="I333" s="59" t="s">
        <v>215</v>
      </c>
    </row>
    <row r="334" spans="1:9">
      <c r="B334" s="252"/>
      <c r="D334" s="258" t="s">
        <v>494</v>
      </c>
      <c r="E334" s="456"/>
      <c r="F334" s="456"/>
      <c r="G334" s="908" t="s">
        <v>232</v>
      </c>
      <c r="H334" s="896">
        <v>1</v>
      </c>
      <c r="I334" s="59" t="s">
        <v>215</v>
      </c>
    </row>
    <row r="335" spans="1:9">
      <c r="B335" s="252"/>
      <c r="D335" s="258" t="s">
        <v>495</v>
      </c>
      <c r="E335" s="456"/>
      <c r="F335" s="456"/>
      <c r="G335" s="908" t="s">
        <v>232</v>
      </c>
      <c r="H335" s="896">
        <v>1</v>
      </c>
      <c r="I335" s="59" t="s">
        <v>215</v>
      </c>
    </row>
  </sheetData>
  <conditionalFormatting sqref="D335">
    <cfRule type="expression" dxfId="81" priority="2">
      <formula>$I335="ja"</formula>
    </cfRule>
  </conditionalFormatting>
  <conditionalFormatting sqref="D335">
    <cfRule type="expression" dxfId="80" priority="1">
      <formula>$I335="ja"</formula>
    </cfRule>
  </conditionalFormatting>
  <conditionalFormatting sqref="D328">
    <cfRule type="expression" dxfId="79" priority="16">
      <formula>$I328="ja"</formula>
    </cfRule>
  </conditionalFormatting>
  <conditionalFormatting sqref="D328">
    <cfRule type="expression" dxfId="78" priority="15">
      <formula>$I328="ja"</formula>
    </cfRule>
  </conditionalFormatting>
  <conditionalFormatting sqref="D329">
    <cfRule type="expression" dxfId="77" priority="14">
      <formula>$I329="ja"</formula>
    </cfRule>
  </conditionalFormatting>
  <conditionalFormatting sqref="D329">
    <cfRule type="expression" dxfId="76" priority="13">
      <formula>$I329="ja"</formula>
    </cfRule>
  </conditionalFormatting>
  <conditionalFormatting sqref="D330">
    <cfRule type="expression" dxfId="75" priority="12">
      <formula>$I330="ja"</formula>
    </cfRule>
  </conditionalFormatting>
  <conditionalFormatting sqref="D330">
    <cfRule type="expression" dxfId="74" priority="11">
      <formula>$I330="ja"</formula>
    </cfRule>
  </conditionalFormatting>
  <conditionalFormatting sqref="D331">
    <cfRule type="expression" dxfId="73" priority="10">
      <formula>$I331="ja"</formula>
    </cfRule>
  </conditionalFormatting>
  <conditionalFormatting sqref="D331">
    <cfRule type="expression" dxfId="72" priority="9">
      <formula>$I331="ja"</formula>
    </cfRule>
  </conditionalFormatting>
  <conditionalFormatting sqref="D332">
    <cfRule type="expression" dxfId="71" priority="8">
      <formula>$I332="ja"</formula>
    </cfRule>
  </conditionalFormatting>
  <conditionalFormatting sqref="D332">
    <cfRule type="expression" dxfId="70" priority="7">
      <formula>$I332="ja"</formula>
    </cfRule>
  </conditionalFormatting>
  <conditionalFormatting sqref="D333">
    <cfRule type="expression" dxfId="69" priority="6">
      <formula>$I333="ja"</formula>
    </cfRule>
  </conditionalFormatting>
  <conditionalFormatting sqref="D333">
    <cfRule type="expression" dxfId="68" priority="5">
      <formula>$I333="ja"</formula>
    </cfRule>
  </conditionalFormatting>
  <conditionalFormatting sqref="D334">
    <cfRule type="expression" dxfId="67" priority="4">
      <formula>$I334="ja"</formula>
    </cfRule>
  </conditionalFormatting>
  <conditionalFormatting sqref="D334">
    <cfRule type="expression" dxfId="66" priority="3">
      <formula>$I334="ja"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6">
    <tabColor rgb="FFFFFF00"/>
  </sheetPr>
  <dimension ref="B1:J146"/>
  <sheetViews>
    <sheetView topLeftCell="A109" workbookViewId="0">
      <selection activeCell="C126" sqref="C126"/>
    </sheetView>
  </sheetViews>
  <sheetFormatPr defaultRowHeight="15"/>
  <cols>
    <col min="2" max="2" width="40.140625" style="62" customWidth="1"/>
    <col min="3" max="3" width="57.42578125" style="93" customWidth="1"/>
    <col min="4" max="4" width="21.5703125" style="93" customWidth="1"/>
    <col min="5" max="5" width="18" style="93" bestFit="1" customWidth="1"/>
    <col min="6" max="6" width="18" style="93" customWidth="1"/>
    <col min="7" max="7" width="19.7109375" style="94" bestFit="1" customWidth="1"/>
    <col min="8" max="8" width="15" style="94" bestFit="1" customWidth="1"/>
    <col min="9" max="9" width="15.85546875" customWidth="1"/>
    <col min="10" max="10" width="11.42578125" customWidth="1"/>
  </cols>
  <sheetData>
    <row r="1" spans="2:8">
      <c r="B1" s="193" t="s">
        <v>144</v>
      </c>
      <c r="C1" s="194" t="s">
        <v>1248</v>
      </c>
    </row>
    <row r="4" spans="2:8">
      <c r="C4" s="63"/>
      <c r="D4" s="63"/>
      <c r="E4" s="64"/>
      <c r="F4" s="64"/>
      <c r="G4" s="65"/>
      <c r="H4" s="65"/>
    </row>
    <row r="5" spans="2:8" ht="18">
      <c r="B5" s="66" t="s">
        <v>35</v>
      </c>
      <c r="C5" s="67"/>
      <c r="D5" s="66"/>
      <c r="E5" s="68"/>
      <c r="F5" s="68"/>
      <c r="G5" s="69"/>
      <c r="H5" s="69"/>
    </row>
    <row r="6" spans="2:8">
      <c r="B6" s="70"/>
      <c r="C6" s="71"/>
      <c r="D6" s="72"/>
      <c r="E6" s="72"/>
      <c r="F6" s="72"/>
      <c r="G6" s="65"/>
      <c r="H6" s="65"/>
    </row>
    <row r="7" spans="2:8">
      <c r="B7" s="73" t="s">
        <v>36</v>
      </c>
      <c r="C7" s="73" t="s">
        <v>37</v>
      </c>
      <c r="D7" s="73" t="s">
        <v>38</v>
      </c>
      <c r="E7" s="73" t="s">
        <v>39</v>
      </c>
      <c r="F7" s="73"/>
      <c r="G7" s="105" t="s">
        <v>145</v>
      </c>
      <c r="H7" s="105" t="s">
        <v>146</v>
      </c>
    </row>
    <row r="8" spans="2:8">
      <c r="B8" s="74" t="str">
        <f t="shared" ref="B8:B48" si="0">C8&amp;D8&amp;E8&amp;F8</f>
        <v>ADSL384/128Basic</v>
      </c>
      <c r="C8" s="75" t="s">
        <v>42</v>
      </c>
      <c r="D8" s="75" t="s">
        <v>47</v>
      </c>
      <c r="E8" s="77" t="s">
        <v>44</v>
      </c>
      <c r="F8" s="77"/>
      <c r="G8" s="925">
        <v>1000</v>
      </c>
      <c r="H8" s="925">
        <v>1000</v>
      </c>
    </row>
    <row r="9" spans="2:8">
      <c r="B9" s="74" t="str">
        <f t="shared" si="0"/>
        <v>ADSL512/256Basic</v>
      </c>
      <c r="C9" s="75" t="s">
        <v>42</v>
      </c>
      <c r="D9" s="75" t="s">
        <v>49</v>
      </c>
      <c r="E9" s="77" t="s">
        <v>44</v>
      </c>
      <c r="F9" s="77"/>
      <c r="G9" s="925">
        <v>1000</v>
      </c>
      <c r="H9" s="925">
        <v>1000</v>
      </c>
    </row>
    <row r="10" spans="2:8">
      <c r="B10" s="74" t="str">
        <f t="shared" si="0"/>
        <v>ADSL1024/512Basic</v>
      </c>
      <c r="C10" s="76" t="s">
        <v>42</v>
      </c>
      <c r="D10" s="77" t="s">
        <v>53</v>
      </c>
      <c r="E10" s="77" t="s">
        <v>44</v>
      </c>
      <c r="F10" s="77"/>
      <c r="G10" s="925">
        <v>1000</v>
      </c>
      <c r="H10" s="925">
        <v>1000</v>
      </c>
    </row>
    <row r="11" spans="2:8">
      <c r="B11" s="74" t="str">
        <f t="shared" si="0"/>
        <v>ADSL2048/512Basic</v>
      </c>
      <c r="C11" s="76" t="s">
        <v>42</v>
      </c>
      <c r="D11" s="75" t="s">
        <v>54</v>
      </c>
      <c r="E11" s="77" t="s">
        <v>44</v>
      </c>
      <c r="F11" s="77"/>
      <c r="G11" s="925">
        <v>1000</v>
      </c>
      <c r="H11" s="925">
        <v>1000</v>
      </c>
    </row>
    <row r="12" spans="2:8">
      <c r="B12" s="74" t="str">
        <f t="shared" si="0"/>
        <v>ADSL3072/512Basic</v>
      </c>
      <c r="C12" s="75" t="s">
        <v>42</v>
      </c>
      <c r="D12" s="75" t="s">
        <v>55</v>
      </c>
      <c r="E12" s="77" t="s">
        <v>44</v>
      </c>
      <c r="F12" s="77"/>
      <c r="G12" s="925">
        <v>1000</v>
      </c>
      <c r="H12" s="925">
        <v>1000</v>
      </c>
    </row>
    <row r="13" spans="2:8">
      <c r="B13" s="74" t="str">
        <f t="shared" si="0"/>
        <v>ADSL4096/1024Basic</v>
      </c>
      <c r="C13" s="75" t="s">
        <v>42</v>
      </c>
      <c r="D13" s="75" t="s">
        <v>57</v>
      </c>
      <c r="E13" s="77" t="s">
        <v>44</v>
      </c>
      <c r="F13" s="77"/>
      <c r="G13" s="925">
        <v>1000</v>
      </c>
      <c r="H13" s="925">
        <v>1000</v>
      </c>
    </row>
    <row r="14" spans="2:8">
      <c r="B14" s="74" t="str">
        <f t="shared" si="0"/>
        <v>ADSL6144/1024Basic</v>
      </c>
      <c r="C14" s="75" t="s">
        <v>42</v>
      </c>
      <c r="D14" s="75" t="s">
        <v>58</v>
      </c>
      <c r="E14" s="77" t="s">
        <v>44</v>
      </c>
      <c r="F14" s="77"/>
      <c r="G14" s="925">
        <v>1000</v>
      </c>
      <c r="H14" s="925">
        <v>1000</v>
      </c>
    </row>
    <row r="15" spans="2:8">
      <c r="B15" s="74" t="str">
        <f t="shared" si="0"/>
        <v>ADSL8000/1024Basic</v>
      </c>
      <c r="C15" s="75" t="s">
        <v>42</v>
      </c>
      <c r="D15" s="75" t="s">
        <v>60</v>
      </c>
      <c r="E15" s="77" t="s">
        <v>44</v>
      </c>
      <c r="F15" s="77"/>
      <c r="G15" s="925">
        <v>1000</v>
      </c>
      <c r="H15" s="925">
        <v>1000</v>
      </c>
    </row>
    <row r="16" spans="2:8">
      <c r="B16" s="74" t="str">
        <f t="shared" si="0"/>
        <v>ADSL12000/1024Basic</v>
      </c>
      <c r="C16" s="75" t="s">
        <v>42</v>
      </c>
      <c r="D16" s="75" t="s">
        <v>61</v>
      </c>
      <c r="E16" s="77" t="s">
        <v>44</v>
      </c>
      <c r="F16" s="77"/>
      <c r="G16" s="925">
        <v>1000</v>
      </c>
      <c r="H16" s="925">
        <v>1000</v>
      </c>
    </row>
    <row r="17" spans="2:8">
      <c r="B17" s="74" t="str">
        <f t="shared" si="0"/>
        <v>ADSL20000/1024Basic</v>
      </c>
      <c r="C17" s="75" t="s">
        <v>42</v>
      </c>
      <c r="D17" s="75" t="s">
        <v>63</v>
      </c>
      <c r="E17" s="77" t="s">
        <v>44</v>
      </c>
      <c r="F17" s="77"/>
      <c r="G17" s="925">
        <v>1000</v>
      </c>
      <c r="H17" s="925">
        <v>1000</v>
      </c>
    </row>
    <row r="18" spans="2:8">
      <c r="B18" s="74" t="str">
        <f t="shared" si="0"/>
        <v>ADSL128/128Premium</v>
      </c>
      <c r="C18" s="75" t="s">
        <v>42</v>
      </c>
      <c r="D18" s="75" t="s">
        <v>43</v>
      </c>
      <c r="E18" s="77" t="s">
        <v>70</v>
      </c>
      <c r="F18" s="77"/>
      <c r="G18" s="925">
        <v>1000</v>
      </c>
      <c r="H18" s="925">
        <v>1000</v>
      </c>
    </row>
    <row r="19" spans="2:8">
      <c r="B19" s="74" t="str">
        <f t="shared" si="0"/>
        <v>ADSL256/256Premium</v>
      </c>
      <c r="C19" s="75" t="s">
        <v>42</v>
      </c>
      <c r="D19" s="75" t="s">
        <v>48</v>
      </c>
      <c r="E19" s="77" t="s">
        <v>70</v>
      </c>
      <c r="F19" s="77"/>
      <c r="G19" s="925">
        <v>1000</v>
      </c>
      <c r="H19" s="925">
        <v>1000</v>
      </c>
    </row>
    <row r="20" spans="2:8">
      <c r="B20" s="74" t="str">
        <f t="shared" si="0"/>
        <v>ADSL512/256Premium</v>
      </c>
      <c r="C20" s="75" t="s">
        <v>42</v>
      </c>
      <c r="D20" s="75" t="s">
        <v>49</v>
      </c>
      <c r="E20" s="77" t="s">
        <v>70</v>
      </c>
      <c r="F20" s="77"/>
      <c r="G20" s="925">
        <v>1000</v>
      </c>
      <c r="H20" s="925">
        <v>1000</v>
      </c>
    </row>
    <row r="21" spans="2:8">
      <c r="B21" s="74" t="str">
        <f t="shared" si="0"/>
        <v>ADSL512/512Premium</v>
      </c>
      <c r="C21" s="75" t="s">
        <v>42</v>
      </c>
      <c r="D21" s="75" t="s">
        <v>50</v>
      </c>
      <c r="E21" s="77" t="s">
        <v>70</v>
      </c>
      <c r="F21" s="77"/>
      <c r="G21" s="925">
        <v>1000</v>
      </c>
      <c r="H21" s="925">
        <v>1000</v>
      </c>
    </row>
    <row r="22" spans="2:8">
      <c r="B22" s="74" t="str">
        <f t="shared" si="0"/>
        <v>ADSL1024/256Premium</v>
      </c>
      <c r="C22" s="75" t="s">
        <v>42</v>
      </c>
      <c r="D22" s="75" t="s">
        <v>52</v>
      </c>
      <c r="E22" s="77" t="s">
        <v>70</v>
      </c>
      <c r="F22" s="77"/>
      <c r="G22" s="925">
        <v>1000</v>
      </c>
      <c r="H22" s="925">
        <v>1000</v>
      </c>
    </row>
    <row r="23" spans="2:8">
      <c r="B23" s="74" t="str">
        <f t="shared" si="0"/>
        <v>ADSL1024/512Premium</v>
      </c>
      <c r="C23" s="76" t="s">
        <v>42</v>
      </c>
      <c r="D23" s="77" t="s">
        <v>53</v>
      </c>
      <c r="E23" s="77" t="s">
        <v>70</v>
      </c>
      <c r="F23" s="77"/>
      <c r="G23" s="925">
        <v>1000</v>
      </c>
      <c r="H23" s="925">
        <v>1000</v>
      </c>
    </row>
    <row r="24" spans="2:8">
      <c r="B24" s="74" t="str">
        <f t="shared" si="0"/>
        <v>ADSL2048/512Premium</v>
      </c>
      <c r="C24" s="76" t="s">
        <v>42</v>
      </c>
      <c r="D24" s="75" t="s">
        <v>54</v>
      </c>
      <c r="E24" s="77" t="s">
        <v>70</v>
      </c>
      <c r="F24" s="77"/>
      <c r="G24" s="925">
        <v>1000</v>
      </c>
      <c r="H24" s="925">
        <v>1000</v>
      </c>
    </row>
    <row r="25" spans="2:8">
      <c r="B25" s="74" t="str">
        <f t="shared" si="0"/>
        <v>ADSL4096/1024Premium</v>
      </c>
      <c r="C25" s="75" t="s">
        <v>42</v>
      </c>
      <c r="D25" s="75" t="s">
        <v>57</v>
      </c>
      <c r="E25" s="77" t="s">
        <v>70</v>
      </c>
      <c r="F25" s="77"/>
      <c r="G25" s="925">
        <v>1000</v>
      </c>
      <c r="H25" s="925">
        <v>1000</v>
      </c>
    </row>
    <row r="26" spans="2:8">
      <c r="B26" s="74" t="str">
        <f t="shared" si="0"/>
        <v>ADSL8000/1024Premium</v>
      </c>
      <c r="C26" s="75" t="s">
        <v>42</v>
      </c>
      <c r="D26" s="75" t="s">
        <v>60</v>
      </c>
      <c r="E26" s="77" t="s">
        <v>70</v>
      </c>
      <c r="F26" s="77"/>
      <c r="G26" s="925">
        <v>1000</v>
      </c>
      <c r="H26" s="925">
        <v>1000</v>
      </c>
    </row>
    <row r="27" spans="2:8">
      <c r="B27" s="74" t="str">
        <f t="shared" si="0"/>
        <v>ADSL12000/1024Premium</v>
      </c>
      <c r="C27" s="75" t="s">
        <v>42</v>
      </c>
      <c r="D27" s="75" t="s">
        <v>61</v>
      </c>
      <c r="E27" s="77" t="s">
        <v>70</v>
      </c>
      <c r="F27" s="77"/>
      <c r="G27" s="925">
        <v>1000</v>
      </c>
      <c r="H27" s="925">
        <v>1000</v>
      </c>
    </row>
    <row r="28" spans="2:8">
      <c r="B28" s="74" t="str">
        <f t="shared" si="0"/>
        <v>SDSL256/256Premium</v>
      </c>
      <c r="C28" s="75" t="s">
        <v>64</v>
      </c>
      <c r="D28" s="75" t="s">
        <v>48</v>
      </c>
      <c r="E28" s="77" t="s">
        <v>70</v>
      </c>
      <c r="F28" s="77"/>
      <c r="G28" s="925">
        <v>1000</v>
      </c>
      <c r="H28" s="925">
        <v>1000</v>
      </c>
    </row>
    <row r="29" spans="2:8">
      <c r="B29" s="74" t="str">
        <f t="shared" si="0"/>
        <v>SDSL512/512Premium</v>
      </c>
      <c r="C29" s="75" t="s">
        <v>64</v>
      </c>
      <c r="D29" s="75" t="s">
        <v>50</v>
      </c>
      <c r="E29" s="77" t="s">
        <v>70</v>
      </c>
      <c r="F29" s="77"/>
      <c r="G29" s="925">
        <v>1000</v>
      </c>
      <c r="H29" s="925">
        <v>1000</v>
      </c>
    </row>
    <row r="30" spans="2:8">
      <c r="B30" s="74" t="str">
        <f t="shared" si="0"/>
        <v>SDSL1024/1024Premium</v>
      </c>
      <c r="C30" s="75" t="s">
        <v>64</v>
      </c>
      <c r="D30" s="75" t="s">
        <v>66</v>
      </c>
      <c r="E30" s="77" t="s">
        <v>70</v>
      </c>
      <c r="F30" s="77"/>
      <c r="G30" s="925">
        <v>1000</v>
      </c>
      <c r="H30" s="925">
        <v>1000</v>
      </c>
    </row>
    <row r="31" spans="2:8">
      <c r="B31" s="74" t="str">
        <f t="shared" si="0"/>
        <v>SDSL1536/1536Premium</v>
      </c>
      <c r="C31" s="75" t="s">
        <v>64</v>
      </c>
      <c r="D31" s="75" t="s">
        <v>67</v>
      </c>
      <c r="E31" s="77" t="s">
        <v>70</v>
      </c>
      <c r="F31" s="77"/>
      <c r="G31" s="925">
        <v>1000</v>
      </c>
      <c r="H31" s="925">
        <v>1000</v>
      </c>
    </row>
    <row r="32" spans="2:8">
      <c r="B32" s="74" t="str">
        <f t="shared" si="0"/>
        <v>SDSL2048/2048Premium</v>
      </c>
      <c r="C32" s="75" t="s">
        <v>64</v>
      </c>
      <c r="D32" s="75" t="s">
        <v>68</v>
      </c>
      <c r="E32" s="77" t="s">
        <v>70</v>
      </c>
      <c r="F32" s="77"/>
      <c r="G32" s="925">
        <v>1000</v>
      </c>
      <c r="H32" s="925">
        <v>1000</v>
      </c>
    </row>
    <row r="33" spans="2:9">
      <c r="B33" s="74" t="str">
        <f t="shared" si="0"/>
        <v>SDSL2300/2300Premium</v>
      </c>
      <c r="C33" s="75" t="s">
        <v>64</v>
      </c>
      <c r="D33" s="75" t="s">
        <v>69</v>
      </c>
      <c r="E33" s="77" t="s">
        <v>70</v>
      </c>
      <c r="F33" s="77"/>
      <c r="G33" s="925">
        <v>1000</v>
      </c>
      <c r="H33" s="925">
        <v>1000</v>
      </c>
    </row>
    <row r="34" spans="2:9">
      <c r="B34" s="74" t="str">
        <f t="shared" si="0"/>
        <v>VDSL10240/1024Entry</v>
      </c>
      <c r="C34" s="75" t="s">
        <v>77</v>
      </c>
      <c r="D34" s="75" t="s">
        <v>85</v>
      </c>
      <c r="E34" s="79" t="s">
        <v>78</v>
      </c>
      <c r="F34" s="79"/>
      <c r="G34" s="925">
        <v>1000</v>
      </c>
      <c r="H34" s="925">
        <v>1000</v>
      </c>
    </row>
    <row r="35" spans="2:9">
      <c r="B35" s="74" t="str">
        <f t="shared" si="0"/>
        <v>VDSL20480/2048Entry</v>
      </c>
      <c r="C35" s="438" t="s">
        <v>77</v>
      </c>
      <c r="D35" s="438" t="s">
        <v>86</v>
      </c>
      <c r="E35" s="440" t="s">
        <v>78</v>
      </c>
      <c r="F35" s="79"/>
      <c r="G35" s="925">
        <v>1000</v>
      </c>
      <c r="H35" s="925">
        <v>1000</v>
      </c>
    </row>
    <row r="36" spans="2:9">
      <c r="B36" s="74" t="str">
        <f t="shared" si="0"/>
        <v>VDSL30372/3072Entry</v>
      </c>
      <c r="C36" s="438" t="s">
        <v>77</v>
      </c>
      <c r="D36" s="438" t="s">
        <v>87</v>
      </c>
      <c r="E36" s="440" t="s">
        <v>78</v>
      </c>
      <c r="F36" s="79"/>
      <c r="G36" s="925">
        <v>1000</v>
      </c>
      <c r="H36" s="925">
        <v>1000</v>
      </c>
    </row>
    <row r="37" spans="2:9">
      <c r="B37" s="74" t="str">
        <f t="shared" si="0"/>
        <v>VDSL51200/5120Entry</v>
      </c>
      <c r="C37" s="438" t="s">
        <v>77</v>
      </c>
      <c r="D37" s="438" t="s">
        <v>88</v>
      </c>
      <c r="E37" s="440" t="s">
        <v>78</v>
      </c>
      <c r="F37" s="79"/>
      <c r="G37" s="925">
        <v>1000</v>
      </c>
      <c r="H37" s="925">
        <v>1000</v>
      </c>
    </row>
    <row r="38" spans="2:9">
      <c r="B38" s="74" t="str">
        <f t="shared" si="0"/>
        <v>VDSL bonding81920/8192Entry</v>
      </c>
      <c r="C38" s="438" t="s">
        <v>222</v>
      </c>
      <c r="D38" s="438" t="s">
        <v>89</v>
      </c>
      <c r="E38" s="440" t="s">
        <v>78</v>
      </c>
      <c r="F38" s="79"/>
      <c r="G38" s="925">
        <v>1000</v>
      </c>
      <c r="H38" s="925">
        <v>1000</v>
      </c>
      <c r="I38" t="s">
        <v>1236</v>
      </c>
    </row>
    <row r="39" spans="2:9">
      <c r="B39" s="74" t="str">
        <f t="shared" si="0"/>
        <v>VDSL128/128Premium</v>
      </c>
      <c r="C39" s="438" t="s">
        <v>77</v>
      </c>
      <c r="D39" s="438" t="s">
        <v>43</v>
      </c>
      <c r="E39" s="121" t="s">
        <v>70</v>
      </c>
      <c r="F39" s="77"/>
      <c r="G39" s="925">
        <v>1000</v>
      </c>
      <c r="H39" s="925">
        <v>1000</v>
      </c>
    </row>
    <row r="40" spans="2:9">
      <c r="B40" s="74" t="str">
        <f t="shared" si="0"/>
        <v>VDSL256/256Premium</v>
      </c>
      <c r="C40" s="438" t="s">
        <v>77</v>
      </c>
      <c r="D40" s="438" t="s">
        <v>48</v>
      </c>
      <c r="E40" s="121" t="s">
        <v>70</v>
      </c>
      <c r="F40" s="77"/>
      <c r="G40" s="925">
        <v>1000</v>
      </c>
      <c r="H40" s="925">
        <v>1000</v>
      </c>
    </row>
    <row r="41" spans="2:9">
      <c r="B41" s="74" t="str">
        <f t="shared" si="0"/>
        <v>VDSL448/448Premium</v>
      </c>
      <c r="C41" s="438" t="s">
        <v>77</v>
      </c>
      <c r="D41" s="121" t="s">
        <v>79</v>
      </c>
      <c r="E41" s="121" t="s">
        <v>70</v>
      </c>
      <c r="F41" s="77"/>
      <c r="G41" s="925">
        <v>1000</v>
      </c>
      <c r="H41" s="925">
        <v>1000</v>
      </c>
    </row>
    <row r="42" spans="2:9">
      <c r="B42" s="74" t="str">
        <f t="shared" si="0"/>
        <v>VDSL640/640Premium</v>
      </c>
      <c r="C42" s="438" t="s">
        <v>77</v>
      </c>
      <c r="D42" s="438" t="s">
        <v>80</v>
      </c>
      <c r="E42" s="121" t="s">
        <v>70</v>
      </c>
      <c r="F42" s="77"/>
      <c r="G42" s="925">
        <v>1000</v>
      </c>
      <c r="H42" s="925">
        <v>1000</v>
      </c>
    </row>
    <row r="43" spans="2:9">
      <c r="B43" s="74" t="str">
        <f t="shared" si="0"/>
        <v>VDSL1024/1024Premium</v>
      </c>
      <c r="C43" s="75" t="s">
        <v>77</v>
      </c>
      <c r="D43" s="75" t="s">
        <v>66</v>
      </c>
      <c r="E43" s="77" t="s">
        <v>70</v>
      </c>
      <c r="F43" s="77"/>
      <c r="G43" s="925">
        <v>1000</v>
      </c>
      <c r="H43" s="925">
        <v>1000</v>
      </c>
    </row>
    <row r="44" spans="2:9">
      <c r="B44" s="74" t="str">
        <f t="shared" si="0"/>
        <v>VDSL2048/2048Premium</v>
      </c>
      <c r="C44" s="75" t="s">
        <v>77</v>
      </c>
      <c r="D44" s="75" t="s">
        <v>68</v>
      </c>
      <c r="E44" s="77" t="s">
        <v>70</v>
      </c>
      <c r="F44" s="77"/>
      <c r="G44" s="925">
        <v>1000</v>
      </c>
      <c r="H44" s="925">
        <v>1000</v>
      </c>
    </row>
    <row r="45" spans="2:9">
      <c r="B45" s="74" t="str">
        <f t="shared" si="0"/>
        <v>VDSL3072/3072Premium</v>
      </c>
      <c r="C45" s="75" t="s">
        <v>77</v>
      </c>
      <c r="D45" s="75" t="s">
        <v>82</v>
      </c>
      <c r="E45" s="77" t="s">
        <v>70</v>
      </c>
      <c r="F45" s="77"/>
      <c r="G45" s="925">
        <v>1000</v>
      </c>
      <c r="H45" s="925">
        <v>1000</v>
      </c>
    </row>
    <row r="46" spans="2:9">
      <c r="B46" s="74" t="str">
        <f t="shared" si="0"/>
        <v>VDSL4096/1024Premium</v>
      </c>
      <c r="C46" s="75" t="s">
        <v>77</v>
      </c>
      <c r="D46" s="75" t="s">
        <v>57</v>
      </c>
      <c r="E46" s="77" t="s">
        <v>70</v>
      </c>
      <c r="F46" s="77"/>
      <c r="G46" s="925">
        <v>1000</v>
      </c>
      <c r="H46" s="925">
        <v>1000</v>
      </c>
    </row>
    <row r="47" spans="2:9">
      <c r="B47" s="74" t="str">
        <f t="shared" si="0"/>
        <v>VDSL4096/4096Premium</v>
      </c>
      <c r="C47" s="75" t="s">
        <v>77</v>
      </c>
      <c r="D47" s="75" t="s">
        <v>83</v>
      </c>
      <c r="E47" s="77" t="s">
        <v>70</v>
      </c>
      <c r="F47" s="77"/>
      <c r="G47" s="925">
        <v>1000</v>
      </c>
      <c r="H47" s="925">
        <v>1000</v>
      </c>
    </row>
    <row r="48" spans="2:9">
      <c r="B48" s="74" t="str">
        <f t="shared" si="0"/>
        <v>VDSL8192/1024Premium</v>
      </c>
      <c r="C48" s="75" t="s">
        <v>77</v>
      </c>
      <c r="D48" s="75" t="s">
        <v>84</v>
      </c>
      <c r="E48" s="77" t="s">
        <v>70</v>
      </c>
      <c r="F48" s="77"/>
      <c r="G48" s="925">
        <v>1000</v>
      </c>
      <c r="H48" s="925">
        <v>1000</v>
      </c>
    </row>
    <row r="49" spans="2:8">
      <c r="B49" s="74" t="str">
        <f t="shared" ref="B49:B87" si="1">C49&amp;D49&amp;E49&amp;F49</f>
        <v>SA IPVPN1024/1024 tbv alarmEntry</v>
      </c>
      <c r="C49" s="75" t="s">
        <v>93</v>
      </c>
      <c r="D49" s="75" t="s">
        <v>1249</v>
      </c>
      <c r="E49" s="80" t="s">
        <v>78</v>
      </c>
      <c r="F49" s="80"/>
      <c r="G49" s="925">
        <v>1000</v>
      </c>
      <c r="H49" s="925">
        <v>1000</v>
      </c>
    </row>
    <row r="50" spans="2:8">
      <c r="B50" s="74" t="str">
        <f t="shared" si="1"/>
        <v>SA IPVPN51200/51200Entry</v>
      </c>
      <c r="C50" s="75" t="s">
        <v>93</v>
      </c>
      <c r="D50" s="75" t="s">
        <v>100</v>
      </c>
      <c r="E50" s="80" t="s">
        <v>78</v>
      </c>
      <c r="F50" s="80"/>
      <c r="G50" s="925">
        <v>1000</v>
      </c>
      <c r="H50" s="925">
        <v>1000</v>
      </c>
    </row>
    <row r="51" spans="2:8">
      <c r="B51" s="74" t="str">
        <f t="shared" si="1"/>
        <v>SA IPVPN100000/100000Entry</v>
      </c>
      <c r="C51" s="75" t="s">
        <v>93</v>
      </c>
      <c r="D51" s="75" t="s">
        <v>101</v>
      </c>
      <c r="E51" s="80" t="s">
        <v>78</v>
      </c>
      <c r="F51" s="80"/>
      <c r="G51" s="925">
        <v>1000</v>
      </c>
      <c r="H51" s="925">
        <v>1000</v>
      </c>
    </row>
    <row r="52" spans="2:8">
      <c r="B52" s="74" t="str">
        <f t="shared" si="1"/>
        <v>SA IPVPN1024/1024Premium</v>
      </c>
      <c r="C52" s="75" t="s">
        <v>93</v>
      </c>
      <c r="D52" s="75" t="s">
        <v>66</v>
      </c>
      <c r="E52" s="80" t="s">
        <v>70</v>
      </c>
      <c r="F52" s="80"/>
      <c r="G52" s="925">
        <v>1000</v>
      </c>
      <c r="H52" s="925">
        <v>1000</v>
      </c>
    </row>
    <row r="53" spans="2:8">
      <c r="B53" s="74" t="str">
        <f t="shared" si="1"/>
        <v>SA IPVPN2048/2048Premium</v>
      </c>
      <c r="C53" s="75" t="s">
        <v>93</v>
      </c>
      <c r="D53" s="75" t="s">
        <v>68</v>
      </c>
      <c r="E53" s="80" t="s">
        <v>70</v>
      </c>
      <c r="F53" s="80"/>
      <c r="G53" s="925">
        <v>1000</v>
      </c>
      <c r="H53" s="925">
        <v>1000</v>
      </c>
    </row>
    <row r="54" spans="2:8">
      <c r="B54" s="74" t="str">
        <f t="shared" si="1"/>
        <v>SA IPVPN3072/3072Premium</v>
      </c>
      <c r="C54" s="75" t="s">
        <v>93</v>
      </c>
      <c r="D54" s="75" t="s">
        <v>82</v>
      </c>
      <c r="E54" s="80" t="s">
        <v>70</v>
      </c>
      <c r="F54" s="80"/>
      <c r="G54" s="925">
        <v>1000</v>
      </c>
      <c r="H54" s="925">
        <v>1000</v>
      </c>
    </row>
    <row r="55" spans="2:8">
      <c r="B55" s="74" t="str">
        <f t="shared" si="1"/>
        <v>SA IPVPN4096/1024Premium</v>
      </c>
      <c r="C55" s="75" t="s">
        <v>93</v>
      </c>
      <c r="D55" s="75" t="s">
        <v>57</v>
      </c>
      <c r="E55" s="80" t="s">
        <v>70</v>
      </c>
      <c r="F55" s="80"/>
      <c r="G55" s="925">
        <v>1000</v>
      </c>
      <c r="H55" s="925">
        <v>1000</v>
      </c>
    </row>
    <row r="56" spans="2:8">
      <c r="B56" s="74" t="str">
        <f t="shared" si="1"/>
        <v>SA IPVPN4096/4096Premium</v>
      </c>
      <c r="C56" s="75" t="s">
        <v>93</v>
      </c>
      <c r="D56" s="75" t="s">
        <v>83</v>
      </c>
      <c r="E56" s="80" t="s">
        <v>70</v>
      </c>
      <c r="F56" s="80"/>
      <c r="G56" s="925">
        <v>1000</v>
      </c>
      <c r="H56" s="925">
        <v>1000</v>
      </c>
    </row>
    <row r="57" spans="2:8">
      <c r="B57" s="74" t="str">
        <f t="shared" si="1"/>
        <v>SA IPVPN8192/1024Premium</v>
      </c>
      <c r="C57" s="75" t="s">
        <v>93</v>
      </c>
      <c r="D57" s="75" t="s">
        <v>84</v>
      </c>
      <c r="E57" s="80" t="s">
        <v>70</v>
      </c>
      <c r="F57" s="80"/>
      <c r="G57" s="925">
        <v>1000</v>
      </c>
      <c r="H57" s="925">
        <v>1000</v>
      </c>
    </row>
    <row r="58" spans="2:8">
      <c r="B58" s="74" t="str">
        <f t="shared" si="1"/>
        <v>SA IPVPN8192/8192Premium</v>
      </c>
      <c r="C58" s="75" t="s">
        <v>93</v>
      </c>
      <c r="D58" s="75" t="s">
        <v>94</v>
      </c>
      <c r="E58" s="80" t="s">
        <v>70</v>
      </c>
      <c r="F58" s="80"/>
      <c r="G58" s="925">
        <v>1000</v>
      </c>
      <c r="H58" s="925">
        <v>1000</v>
      </c>
    </row>
    <row r="59" spans="2:8">
      <c r="B59" s="74" t="str">
        <f t="shared" si="1"/>
        <v>SA IPVPN10240/10240Premium</v>
      </c>
      <c r="C59" s="75" t="s">
        <v>93</v>
      </c>
      <c r="D59" s="75" t="s">
        <v>95</v>
      </c>
      <c r="E59" s="80" t="s">
        <v>70</v>
      </c>
      <c r="F59" s="80"/>
      <c r="G59" s="925">
        <v>1000</v>
      </c>
      <c r="H59" s="925">
        <v>1000</v>
      </c>
    </row>
    <row r="60" spans="2:8">
      <c r="B60" s="74"/>
      <c r="C60" s="75"/>
      <c r="D60" s="75"/>
      <c r="E60" s="80"/>
      <c r="F60" s="80"/>
      <c r="G60" s="909"/>
      <c r="H60" s="909"/>
    </row>
    <row r="61" spans="2:8">
      <c r="B61" s="74" t="str">
        <f t="shared" si="1"/>
        <v>ADSL128/128Add</v>
      </c>
      <c r="C61" s="75" t="s">
        <v>42</v>
      </c>
      <c r="D61" s="75" t="s">
        <v>43</v>
      </c>
      <c r="E61" s="75" t="s">
        <v>103</v>
      </c>
      <c r="F61" s="75"/>
      <c r="G61" s="925">
        <v>1000</v>
      </c>
      <c r="H61" s="925">
        <v>1000</v>
      </c>
    </row>
    <row r="62" spans="2:8">
      <c r="B62" s="74" t="str">
        <f t="shared" si="1"/>
        <v>ADSL200/200Add</v>
      </c>
      <c r="C62" s="75" t="s">
        <v>42</v>
      </c>
      <c r="D62" s="75" t="s">
        <v>106</v>
      </c>
      <c r="E62" s="75" t="s">
        <v>103</v>
      </c>
      <c r="F62" s="75"/>
      <c r="G62" s="925">
        <v>1000</v>
      </c>
      <c r="H62" s="925">
        <v>1000</v>
      </c>
    </row>
    <row r="63" spans="2:8">
      <c r="B63" s="74" t="str">
        <f t="shared" si="1"/>
        <v>ADSL224/224Add</v>
      </c>
      <c r="C63" s="75" t="s">
        <v>42</v>
      </c>
      <c r="D63" s="75" t="s">
        <v>107</v>
      </c>
      <c r="E63" s="75" t="s">
        <v>103</v>
      </c>
      <c r="F63" s="75"/>
      <c r="G63" s="925">
        <v>1000</v>
      </c>
      <c r="H63" s="925">
        <v>1000</v>
      </c>
    </row>
    <row r="64" spans="2:8">
      <c r="B64" s="74" t="str">
        <f t="shared" si="1"/>
        <v>ADSL256/256Add</v>
      </c>
      <c r="C64" s="75" t="s">
        <v>42</v>
      </c>
      <c r="D64" s="75" t="s">
        <v>48</v>
      </c>
      <c r="E64" s="75" t="s">
        <v>103</v>
      </c>
      <c r="F64" s="75"/>
      <c r="G64" s="925">
        <v>1000</v>
      </c>
      <c r="H64" s="925">
        <v>1000</v>
      </c>
    </row>
    <row r="65" spans="2:8">
      <c r="B65" s="74" t="str">
        <f t="shared" si="1"/>
        <v>ADSL352/352Add</v>
      </c>
      <c r="C65" s="75" t="s">
        <v>42</v>
      </c>
      <c r="D65" s="75" t="s">
        <v>108</v>
      </c>
      <c r="E65" s="75" t="s">
        <v>103</v>
      </c>
      <c r="F65" s="75"/>
      <c r="G65" s="925">
        <v>1000</v>
      </c>
      <c r="H65" s="925">
        <v>1000</v>
      </c>
    </row>
    <row r="66" spans="2:8">
      <c r="B66" s="74" t="str">
        <f t="shared" si="1"/>
        <v>ADSL448/448Add</v>
      </c>
      <c r="C66" s="75" t="s">
        <v>42</v>
      </c>
      <c r="D66" s="75" t="s">
        <v>79</v>
      </c>
      <c r="E66" s="75" t="s">
        <v>103</v>
      </c>
      <c r="F66" s="75"/>
      <c r="G66" s="925">
        <v>1000</v>
      </c>
      <c r="H66" s="925">
        <v>1000</v>
      </c>
    </row>
    <row r="67" spans="2:8">
      <c r="B67" s="74" t="str">
        <f t="shared" si="1"/>
        <v>ADSL512/512Add</v>
      </c>
      <c r="C67" s="75" t="s">
        <v>42</v>
      </c>
      <c r="D67" s="75" t="s">
        <v>50</v>
      </c>
      <c r="E67" s="75" t="s">
        <v>103</v>
      </c>
      <c r="F67" s="75"/>
      <c r="G67" s="925">
        <v>1000</v>
      </c>
      <c r="H67" s="925">
        <v>1000</v>
      </c>
    </row>
    <row r="68" spans="2:8">
      <c r="B68" s="74" t="str">
        <f t="shared" si="1"/>
        <v>SDSL224/224Add</v>
      </c>
      <c r="C68" s="75" t="s">
        <v>64</v>
      </c>
      <c r="D68" s="75" t="s">
        <v>107</v>
      </c>
      <c r="E68" s="75" t="s">
        <v>103</v>
      </c>
      <c r="F68" s="75"/>
      <c r="G68" s="925">
        <v>1000</v>
      </c>
      <c r="H68" s="925">
        <v>1000</v>
      </c>
    </row>
    <row r="69" spans="2:8">
      <c r="B69" s="74" t="str">
        <f t="shared" si="1"/>
        <v>SDSL256/256Add</v>
      </c>
      <c r="C69" s="75" t="s">
        <v>64</v>
      </c>
      <c r="D69" s="75" t="s">
        <v>48</v>
      </c>
      <c r="E69" s="75" t="s">
        <v>103</v>
      </c>
      <c r="F69" s="75"/>
      <c r="G69" s="925">
        <v>1000</v>
      </c>
      <c r="H69" s="925">
        <v>1000</v>
      </c>
    </row>
    <row r="70" spans="2:8">
      <c r="B70" s="74" t="str">
        <f t="shared" si="1"/>
        <v>SDSL448/448Add</v>
      </c>
      <c r="C70" s="75" t="s">
        <v>64</v>
      </c>
      <c r="D70" s="75" t="s">
        <v>79</v>
      </c>
      <c r="E70" s="75" t="s">
        <v>103</v>
      </c>
      <c r="F70" s="75"/>
      <c r="G70" s="925">
        <v>1000</v>
      </c>
      <c r="H70" s="925">
        <v>1000</v>
      </c>
    </row>
    <row r="71" spans="2:8">
      <c r="B71" s="74" t="str">
        <f t="shared" si="1"/>
        <v>SDSL512/512Add</v>
      </c>
      <c r="C71" s="75" t="s">
        <v>64</v>
      </c>
      <c r="D71" s="75" t="s">
        <v>50</v>
      </c>
      <c r="E71" s="75" t="s">
        <v>103</v>
      </c>
      <c r="F71" s="75"/>
      <c r="G71" s="925">
        <v>1000</v>
      </c>
      <c r="H71" s="925">
        <v>1000</v>
      </c>
    </row>
    <row r="72" spans="2:8">
      <c r="B72" s="74" t="str">
        <f t="shared" si="1"/>
        <v>SDSL1024/1024Add</v>
      </c>
      <c r="C72" s="75" t="s">
        <v>64</v>
      </c>
      <c r="D72" s="75" t="s">
        <v>66</v>
      </c>
      <c r="E72" s="75" t="s">
        <v>103</v>
      </c>
      <c r="F72" s="75"/>
      <c r="G72" s="925">
        <v>1000</v>
      </c>
      <c r="H72" s="925">
        <v>1000</v>
      </c>
    </row>
    <row r="73" spans="2:8">
      <c r="B73" s="74" t="str">
        <f t="shared" si="1"/>
        <v>SDSL1536/1536Add</v>
      </c>
      <c r="C73" s="75" t="s">
        <v>64</v>
      </c>
      <c r="D73" s="75" t="s">
        <v>67</v>
      </c>
      <c r="E73" s="75" t="s">
        <v>103</v>
      </c>
      <c r="F73" s="75"/>
      <c r="G73" s="925">
        <v>1000</v>
      </c>
      <c r="H73" s="925">
        <v>1000</v>
      </c>
    </row>
    <row r="74" spans="2:8">
      <c r="B74" s="74" t="str">
        <f t="shared" si="1"/>
        <v>SDSL2048/2048Add</v>
      </c>
      <c r="C74" s="75" t="s">
        <v>64</v>
      </c>
      <c r="D74" s="75" t="s">
        <v>68</v>
      </c>
      <c r="E74" s="75" t="s">
        <v>103</v>
      </c>
      <c r="F74" s="75"/>
      <c r="G74" s="925">
        <v>1000</v>
      </c>
      <c r="H74" s="925">
        <v>1000</v>
      </c>
    </row>
    <row r="75" spans="2:8">
      <c r="B75" s="74" t="str">
        <f t="shared" si="1"/>
        <v>VDSL128/128Add</v>
      </c>
      <c r="C75" s="75" t="s">
        <v>77</v>
      </c>
      <c r="D75" s="75" t="s">
        <v>43</v>
      </c>
      <c r="E75" s="75" t="s">
        <v>103</v>
      </c>
      <c r="F75" s="75"/>
      <c r="G75" s="925">
        <v>1000</v>
      </c>
      <c r="H75" s="925">
        <v>1000</v>
      </c>
    </row>
    <row r="76" spans="2:8">
      <c r="B76" s="74" t="str">
        <f t="shared" si="1"/>
        <v>VDSL256/256Add</v>
      </c>
      <c r="C76" s="75" t="s">
        <v>77</v>
      </c>
      <c r="D76" s="75" t="s">
        <v>48</v>
      </c>
      <c r="E76" s="75" t="s">
        <v>103</v>
      </c>
      <c r="F76" s="75"/>
      <c r="G76" s="925">
        <v>1000</v>
      </c>
      <c r="H76" s="925">
        <v>1000</v>
      </c>
    </row>
    <row r="77" spans="2:8">
      <c r="B77" s="74" t="str">
        <f t="shared" si="1"/>
        <v>VDSL448/448Add</v>
      </c>
      <c r="C77" s="75" t="s">
        <v>77</v>
      </c>
      <c r="D77" s="75" t="s">
        <v>79</v>
      </c>
      <c r="E77" s="75" t="s">
        <v>103</v>
      </c>
      <c r="F77" s="75"/>
      <c r="G77" s="925">
        <v>1000</v>
      </c>
      <c r="H77" s="925">
        <v>1000</v>
      </c>
    </row>
    <row r="78" spans="2:8">
      <c r="B78" s="74" t="str">
        <f t="shared" si="1"/>
        <v>VDSL640/640Add</v>
      </c>
      <c r="C78" s="75" t="s">
        <v>77</v>
      </c>
      <c r="D78" s="75" t="s">
        <v>80</v>
      </c>
      <c r="E78" s="75" t="s">
        <v>103</v>
      </c>
      <c r="F78" s="75"/>
      <c r="G78" s="925">
        <v>1000</v>
      </c>
      <c r="H78" s="925">
        <v>1000</v>
      </c>
    </row>
    <row r="79" spans="2:8">
      <c r="B79" s="74" t="str">
        <f t="shared" si="1"/>
        <v>VDSL1024/1024Add</v>
      </c>
      <c r="C79" s="75" t="s">
        <v>77</v>
      </c>
      <c r="D79" s="75" t="s">
        <v>66</v>
      </c>
      <c r="E79" s="75" t="s">
        <v>103</v>
      </c>
      <c r="F79" s="75"/>
      <c r="G79" s="925">
        <v>1000</v>
      </c>
      <c r="H79" s="925">
        <v>1000</v>
      </c>
    </row>
    <row r="80" spans="2:8">
      <c r="B80" s="74" t="str">
        <f t="shared" si="1"/>
        <v>VDSL2048/2048Add</v>
      </c>
      <c r="C80" s="75" t="s">
        <v>77</v>
      </c>
      <c r="D80" s="75" t="s">
        <v>68</v>
      </c>
      <c r="E80" s="75" t="s">
        <v>103</v>
      </c>
      <c r="F80" s="75"/>
      <c r="G80" s="925">
        <v>1000</v>
      </c>
      <c r="H80" s="925">
        <v>1000</v>
      </c>
    </row>
    <row r="81" spans="2:10">
      <c r="B81" s="74" t="str">
        <f t="shared" si="1"/>
        <v>VDSL3072/3072Add</v>
      </c>
      <c r="C81" s="75" t="s">
        <v>77</v>
      </c>
      <c r="D81" s="75" t="s">
        <v>82</v>
      </c>
      <c r="E81" s="75" t="s">
        <v>103</v>
      </c>
      <c r="F81" s="75"/>
      <c r="G81" s="925">
        <v>1000</v>
      </c>
      <c r="H81" s="925">
        <v>1000</v>
      </c>
    </row>
    <row r="82" spans="2:10">
      <c r="B82" s="74" t="str">
        <f t="shared" si="1"/>
        <v>SA IPVPN128/128Add</v>
      </c>
      <c r="C82" s="75" t="s">
        <v>93</v>
      </c>
      <c r="D82" s="75" t="s">
        <v>43</v>
      </c>
      <c r="E82" s="75" t="s">
        <v>103</v>
      </c>
      <c r="F82" s="75"/>
      <c r="G82" s="925">
        <v>1000</v>
      </c>
      <c r="H82" s="925">
        <v>1000</v>
      </c>
    </row>
    <row r="83" spans="2:10">
      <c r="B83" s="74" t="str">
        <f t="shared" si="1"/>
        <v>SA IPVPN256/256Add</v>
      </c>
      <c r="C83" s="75" t="s">
        <v>93</v>
      </c>
      <c r="D83" s="75" t="s">
        <v>48</v>
      </c>
      <c r="E83" s="75" t="s">
        <v>103</v>
      </c>
      <c r="F83" s="75"/>
      <c r="G83" s="925">
        <v>1000</v>
      </c>
      <c r="H83" s="925">
        <v>1000</v>
      </c>
    </row>
    <row r="84" spans="2:10">
      <c r="B84" s="74" t="str">
        <f t="shared" si="1"/>
        <v>SA IPVPN448/448Add</v>
      </c>
      <c r="C84" s="75" t="s">
        <v>93</v>
      </c>
      <c r="D84" s="75" t="s">
        <v>79</v>
      </c>
      <c r="E84" s="75" t="s">
        <v>103</v>
      </c>
      <c r="F84" s="75"/>
      <c r="G84" s="925">
        <v>1000</v>
      </c>
      <c r="H84" s="925">
        <v>1000</v>
      </c>
    </row>
    <row r="85" spans="2:10">
      <c r="B85" s="74" t="str">
        <f t="shared" si="1"/>
        <v>SA IPVPN640/640Add</v>
      </c>
      <c r="C85" s="75" t="s">
        <v>93</v>
      </c>
      <c r="D85" s="75" t="s">
        <v>80</v>
      </c>
      <c r="E85" s="75" t="s">
        <v>103</v>
      </c>
      <c r="F85" s="75"/>
      <c r="G85" s="925">
        <v>1000</v>
      </c>
      <c r="H85" s="925">
        <v>1000</v>
      </c>
    </row>
    <row r="86" spans="2:10">
      <c r="B86" s="74" t="str">
        <f t="shared" si="1"/>
        <v>SA IPVPN1024/1024Add</v>
      </c>
      <c r="C86" s="75" t="s">
        <v>93</v>
      </c>
      <c r="D86" s="75" t="s">
        <v>66</v>
      </c>
      <c r="E86" s="75" t="s">
        <v>103</v>
      </c>
      <c r="F86" s="75"/>
      <c r="G86" s="925">
        <v>1000</v>
      </c>
      <c r="H86" s="925">
        <v>1000</v>
      </c>
    </row>
    <row r="87" spans="2:10">
      <c r="B87" s="74" t="str">
        <f t="shared" si="1"/>
        <v>SA IPVPN2048/2048Add</v>
      </c>
      <c r="C87" s="75" t="s">
        <v>93</v>
      </c>
      <c r="D87" s="75" t="s">
        <v>68</v>
      </c>
      <c r="E87" s="75" t="s">
        <v>103</v>
      </c>
      <c r="F87" s="75"/>
      <c r="G87" s="925">
        <v>1000</v>
      </c>
      <c r="H87" s="925">
        <v>1000</v>
      </c>
    </row>
    <row r="88" spans="2:10">
      <c r="B88" s="74" t="str">
        <f t="shared" ref="B88:B90" si="2">C88&amp;D88&amp;E88&amp;F88</f>
        <v>SA IPVPN3072/3072Add</v>
      </c>
      <c r="C88" s="75" t="s">
        <v>93</v>
      </c>
      <c r="D88" s="75" t="s">
        <v>82</v>
      </c>
      <c r="E88" s="75" t="s">
        <v>103</v>
      </c>
      <c r="F88" s="75"/>
      <c r="G88" s="925">
        <v>1000</v>
      </c>
      <c r="H88" s="925">
        <v>1000</v>
      </c>
    </row>
    <row r="89" spans="2:10">
      <c r="B89" s="74" t="str">
        <f t="shared" si="2"/>
        <v>SA IPVPN4096/4096Add</v>
      </c>
      <c r="C89" s="75" t="s">
        <v>93</v>
      </c>
      <c r="D89" s="75" t="s">
        <v>83</v>
      </c>
      <c r="E89" s="75" t="s">
        <v>103</v>
      </c>
      <c r="F89" s="75"/>
      <c r="G89" s="925">
        <v>1000</v>
      </c>
      <c r="H89" s="925">
        <v>1000</v>
      </c>
    </row>
    <row r="90" spans="2:10">
      <c r="B90" s="74" t="str">
        <f t="shared" si="2"/>
        <v>SA IPVPN8192/8192Add</v>
      </c>
      <c r="C90" s="75" t="s">
        <v>93</v>
      </c>
      <c r="D90" s="75" t="s">
        <v>94</v>
      </c>
      <c r="E90" s="75" t="s">
        <v>103</v>
      </c>
      <c r="F90" s="75"/>
      <c r="G90" s="925">
        <v>1000</v>
      </c>
      <c r="H90" s="925">
        <v>1000</v>
      </c>
    </row>
    <row r="91" spans="2:10">
      <c r="B91" s="81"/>
      <c r="C91" s="71"/>
      <c r="D91" s="63"/>
      <c r="E91" s="63"/>
      <c r="F91" s="63"/>
      <c r="G91" s="82"/>
      <c r="H91" s="82"/>
    </row>
    <row r="92" spans="2:10">
      <c r="B92" s="81"/>
      <c r="C92" s="71"/>
      <c r="D92" s="63"/>
      <c r="E92" s="63"/>
      <c r="F92" s="63"/>
      <c r="G92" s="82"/>
      <c r="H92" s="82"/>
    </row>
    <row r="93" spans="2:10">
      <c r="B93" s="81"/>
      <c r="C93" s="71"/>
      <c r="D93" s="63"/>
      <c r="E93" s="63"/>
      <c r="F93" s="63"/>
      <c r="G93" s="82"/>
      <c r="H93" s="82"/>
    </row>
    <row r="94" spans="2:10" ht="18">
      <c r="B94" s="83" t="s">
        <v>118</v>
      </c>
      <c r="C94" s="71"/>
      <c r="D94" s="63"/>
      <c r="E94" s="63"/>
      <c r="F94" s="63"/>
      <c r="G94" s="82"/>
      <c r="H94" s="82"/>
    </row>
    <row r="95" spans="2:10">
      <c r="B95" s="70"/>
      <c r="C95" s="91"/>
      <c r="D95" s="72"/>
      <c r="E95" s="72"/>
      <c r="F95" s="72"/>
      <c r="G95" s="92"/>
      <c r="H95" s="92"/>
    </row>
    <row r="96" spans="2:10">
      <c r="B96" s="73" t="s">
        <v>36</v>
      </c>
      <c r="C96" s="73" t="s">
        <v>37</v>
      </c>
      <c r="D96" s="71"/>
      <c r="E96" s="93" t="s">
        <v>148</v>
      </c>
      <c r="F96" s="71" t="s">
        <v>149</v>
      </c>
      <c r="G96" s="105" t="s">
        <v>145</v>
      </c>
      <c r="H96" s="73" t="s">
        <v>146</v>
      </c>
      <c r="J96" s="106" t="s">
        <v>150</v>
      </c>
    </row>
    <row r="97" spans="2:10">
      <c r="B97" s="74" t="str">
        <f t="shared" ref="B97:B106" si="3">C97&amp;D97&amp;E97&amp;F97</f>
        <v>ADSLnieuwunshared</v>
      </c>
      <c r="C97" s="75" t="s">
        <v>42</v>
      </c>
      <c r="D97" s="77"/>
      <c r="E97" s="75" t="s">
        <v>125</v>
      </c>
      <c r="F97" s="77" t="s">
        <v>128</v>
      </c>
      <c r="G97" s="925">
        <v>1000</v>
      </c>
      <c r="H97" s="925">
        <v>1000</v>
      </c>
      <c r="J97" t="s">
        <v>151</v>
      </c>
    </row>
    <row r="98" spans="2:10">
      <c r="B98" s="74" t="str">
        <f t="shared" si="3"/>
        <v>VDSLnieuwunshared</v>
      </c>
      <c r="C98" s="438" t="s">
        <v>77</v>
      </c>
      <c r="D98" s="121"/>
      <c r="E98" s="438" t="s">
        <v>125</v>
      </c>
      <c r="F98" s="121" t="s">
        <v>128</v>
      </c>
      <c r="G98" s="925">
        <v>1000</v>
      </c>
      <c r="H98" s="925">
        <v>1000</v>
      </c>
      <c r="J98" t="s">
        <v>151</v>
      </c>
    </row>
    <row r="99" spans="2:10">
      <c r="B99" s="74" t="str">
        <f t="shared" si="3"/>
        <v>VDSL bondingnieuwunshared</v>
      </c>
      <c r="C99" s="438" t="s">
        <v>222</v>
      </c>
      <c r="D99" s="121"/>
      <c r="E99" s="438" t="s">
        <v>125</v>
      </c>
      <c r="F99" s="121" t="s">
        <v>128</v>
      </c>
      <c r="G99" s="925">
        <v>1000</v>
      </c>
      <c r="H99" s="925">
        <v>1000</v>
      </c>
    </row>
    <row r="100" spans="2:10">
      <c r="B100" s="74" t="str">
        <f t="shared" si="3"/>
        <v>SDSLnieuwunshared</v>
      </c>
      <c r="C100" s="438" t="s">
        <v>64</v>
      </c>
      <c r="D100" s="121"/>
      <c r="E100" s="438" t="s">
        <v>125</v>
      </c>
      <c r="F100" s="121" t="s">
        <v>128</v>
      </c>
      <c r="G100" s="925">
        <v>1000</v>
      </c>
      <c r="H100" s="925">
        <v>1000</v>
      </c>
      <c r="J100" t="s">
        <v>152</v>
      </c>
    </row>
    <row r="101" spans="2:10">
      <c r="B101" s="74" t="str">
        <f t="shared" si="3"/>
        <v>SA IPVPNnieuwunshared</v>
      </c>
      <c r="C101" s="438" t="s">
        <v>93</v>
      </c>
      <c r="D101" s="121"/>
      <c r="E101" s="438" t="s">
        <v>125</v>
      </c>
      <c r="F101" s="121" t="s">
        <v>128</v>
      </c>
      <c r="G101" s="925">
        <v>1000</v>
      </c>
      <c r="H101" s="925">
        <v>1000</v>
      </c>
      <c r="J101" t="s">
        <v>153</v>
      </c>
    </row>
    <row r="102" spans="2:10">
      <c r="B102" s="74" t="str">
        <f t="shared" si="3"/>
        <v>VDSLbestaandunshared</v>
      </c>
      <c r="C102" s="75" t="s">
        <v>77</v>
      </c>
      <c r="D102" s="77"/>
      <c r="E102" s="75" t="s">
        <v>124</v>
      </c>
      <c r="F102" s="77" t="s">
        <v>128</v>
      </c>
      <c r="G102" s="925">
        <v>1000</v>
      </c>
      <c r="H102" s="925">
        <v>1000</v>
      </c>
      <c r="J102" t="s">
        <v>154</v>
      </c>
    </row>
    <row r="103" spans="2:10">
      <c r="B103" s="74" t="str">
        <f t="shared" si="3"/>
        <v>ADSLbestaandunshared</v>
      </c>
      <c r="C103" s="75" t="s">
        <v>42</v>
      </c>
      <c r="D103" s="77"/>
      <c r="E103" s="75" t="s">
        <v>124</v>
      </c>
      <c r="F103" s="77" t="s">
        <v>128</v>
      </c>
      <c r="G103" s="925">
        <v>1000</v>
      </c>
      <c r="H103" s="925">
        <v>1000</v>
      </c>
      <c r="J103" t="s">
        <v>155</v>
      </c>
    </row>
    <row r="104" spans="2:10">
      <c r="B104" s="74" t="str">
        <f t="shared" si="3"/>
        <v>SDSLbestaandunshared</v>
      </c>
      <c r="C104" s="75" t="s">
        <v>64</v>
      </c>
      <c r="D104" s="77"/>
      <c r="E104" s="75" t="s">
        <v>124</v>
      </c>
      <c r="F104" s="77" t="s">
        <v>128</v>
      </c>
      <c r="G104" s="925">
        <v>1000</v>
      </c>
      <c r="H104" s="925">
        <v>1000</v>
      </c>
      <c r="J104" t="s">
        <v>156</v>
      </c>
    </row>
    <row r="105" spans="2:10">
      <c r="B105" s="74" t="str">
        <f t="shared" si="3"/>
        <v>VDSLbestaandshared</v>
      </c>
      <c r="C105" s="75" t="s">
        <v>77</v>
      </c>
      <c r="D105" s="77"/>
      <c r="E105" s="75" t="s">
        <v>124</v>
      </c>
      <c r="F105" s="77" t="s">
        <v>127</v>
      </c>
      <c r="G105" s="925">
        <v>1000</v>
      </c>
      <c r="H105" s="925">
        <v>1000</v>
      </c>
      <c r="J105" t="s">
        <v>157</v>
      </c>
    </row>
    <row r="106" spans="2:10">
      <c r="B106" s="74" t="str">
        <f t="shared" si="3"/>
        <v>ADSLbestaandshared</v>
      </c>
      <c r="C106" s="75" t="s">
        <v>42</v>
      </c>
      <c r="D106" s="77"/>
      <c r="E106" s="75" t="s">
        <v>124</v>
      </c>
      <c r="F106" s="77" t="s">
        <v>127</v>
      </c>
      <c r="G106" s="925">
        <v>1000</v>
      </c>
      <c r="H106" s="925">
        <v>1000</v>
      </c>
      <c r="J106" t="s">
        <v>158</v>
      </c>
    </row>
    <row r="107" spans="2:10">
      <c r="B107" s="74"/>
      <c r="C107" s="75"/>
      <c r="D107" s="77"/>
      <c r="E107" s="75"/>
      <c r="F107"/>
      <c r="G107"/>
      <c r="H107"/>
    </row>
    <row r="108" spans="2:10" ht="18">
      <c r="B108" s="83" t="s">
        <v>129</v>
      </c>
      <c r="C108" s="71"/>
      <c r="D108" s="63"/>
      <c r="E108" s="63"/>
      <c r="F108" s="63"/>
      <c r="G108" s="82"/>
      <c r="H108" s="82"/>
    </row>
    <row r="109" spans="2:10">
      <c r="B109" s="84"/>
      <c r="C109" s="71"/>
      <c r="D109" s="71"/>
      <c r="E109" s="71"/>
      <c r="F109" s="71"/>
      <c r="G109" s="65"/>
      <c r="H109" s="65"/>
    </row>
    <row r="110" spans="2:10" ht="25.5">
      <c r="B110" s="73" t="s">
        <v>36</v>
      </c>
      <c r="C110" s="73" t="s">
        <v>37</v>
      </c>
      <c r="D110" s="73" t="s">
        <v>39</v>
      </c>
      <c r="E110" s="73" t="s">
        <v>130</v>
      </c>
      <c r="F110" s="73"/>
      <c r="G110" s="105" t="s">
        <v>145</v>
      </c>
      <c r="H110" s="73" t="s">
        <v>146</v>
      </c>
    </row>
    <row r="111" spans="2:10">
      <c r="B111" s="74" t="str">
        <f t="shared" ref="B111:B134" si="4">C111&amp;D111&amp;E111&amp;F111</f>
        <v>ADSLPremiumwinkeluren</v>
      </c>
      <c r="C111" s="75" t="s">
        <v>42</v>
      </c>
      <c r="D111" s="77" t="s">
        <v>70</v>
      </c>
      <c r="E111" s="75" t="s">
        <v>131</v>
      </c>
      <c r="F111" s="75"/>
      <c r="G111" s="925">
        <v>1000</v>
      </c>
      <c r="H111" s="925">
        <v>1000</v>
      </c>
    </row>
    <row r="112" spans="2:10">
      <c r="B112" s="74" t="str">
        <f t="shared" si="4"/>
        <v>ADSLBasic7x24</v>
      </c>
      <c r="C112" s="75" t="s">
        <v>42</v>
      </c>
      <c r="D112" s="77" t="s">
        <v>44</v>
      </c>
      <c r="E112" s="75" t="s">
        <v>34</v>
      </c>
      <c r="F112" s="75"/>
      <c r="G112" s="925">
        <v>1000</v>
      </c>
      <c r="H112" s="925">
        <v>1000</v>
      </c>
    </row>
    <row r="113" spans="2:9">
      <c r="B113" s="74" t="str">
        <f t="shared" si="4"/>
        <v>ADSLPremium7x24</v>
      </c>
      <c r="C113" s="75" t="s">
        <v>42</v>
      </c>
      <c r="D113" s="77" t="s">
        <v>70</v>
      </c>
      <c r="E113" s="75" t="s">
        <v>34</v>
      </c>
      <c r="F113" s="75"/>
      <c r="G113" s="925">
        <v>1000</v>
      </c>
      <c r="H113" s="925">
        <v>1000</v>
      </c>
    </row>
    <row r="114" spans="2:9">
      <c r="B114" s="74" t="str">
        <f t="shared" ref="B114:B117" si="5">C114&amp;D114&amp;E114&amp;F114</f>
        <v>SDSLBasicwinkeluren</v>
      </c>
      <c r="C114" s="75" t="s">
        <v>64</v>
      </c>
      <c r="D114" s="77" t="s">
        <v>44</v>
      </c>
      <c r="E114" s="75" t="s">
        <v>131</v>
      </c>
      <c r="F114" s="75"/>
      <c r="G114" s="925">
        <v>1000</v>
      </c>
      <c r="H114" s="925">
        <v>1000</v>
      </c>
    </row>
    <row r="115" spans="2:9">
      <c r="B115" s="74" t="str">
        <f t="shared" si="5"/>
        <v>SDSLPremiumwinkeluren</v>
      </c>
      <c r="C115" s="75" t="s">
        <v>64</v>
      </c>
      <c r="D115" s="77" t="s">
        <v>70</v>
      </c>
      <c r="E115" s="75" t="s">
        <v>131</v>
      </c>
      <c r="F115" s="75"/>
      <c r="G115" s="925">
        <v>1000</v>
      </c>
      <c r="H115" s="925">
        <v>1000</v>
      </c>
    </row>
    <row r="116" spans="2:9">
      <c r="B116" s="74" t="str">
        <f t="shared" si="5"/>
        <v>SDSLBasic7x24</v>
      </c>
      <c r="C116" s="75" t="s">
        <v>64</v>
      </c>
      <c r="D116" s="77" t="s">
        <v>44</v>
      </c>
      <c r="E116" s="75" t="s">
        <v>34</v>
      </c>
      <c r="F116" s="75"/>
      <c r="G116" s="925">
        <v>1000</v>
      </c>
      <c r="H116" s="925">
        <v>1000</v>
      </c>
    </row>
    <row r="117" spans="2:9">
      <c r="B117" s="74" t="str">
        <f t="shared" si="5"/>
        <v>SDSLPremium7x24</v>
      </c>
      <c r="C117" s="75" t="s">
        <v>64</v>
      </c>
      <c r="D117" s="77" t="s">
        <v>70</v>
      </c>
      <c r="E117" s="75" t="s">
        <v>34</v>
      </c>
      <c r="F117" s="75"/>
      <c r="G117" s="925">
        <v>1000</v>
      </c>
      <c r="H117" s="925">
        <v>1000</v>
      </c>
    </row>
    <row r="118" spans="2:9">
      <c r="B118" s="74" t="str">
        <f t="shared" si="4"/>
        <v>VDSLEntry7x24</v>
      </c>
      <c r="C118" s="438" t="s">
        <v>77</v>
      </c>
      <c r="D118" s="121" t="s">
        <v>78</v>
      </c>
      <c r="E118" s="438" t="s">
        <v>34</v>
      </c>
      <c r="F118" s="75"/>
      <c r="G118" s="925">
        <v>1000</v>
      </c>
      <c r="H118" s="925">
        <v>1000</v>
      </c>
    </row>
    <row r="119" spans="2:9">
      <c r="B119" s="74" t="str">
        <f t="shared" si="4"/>
        <v>VDSLPremium7x24</v>
      </c>
      <c r="C119" s="438" t="s">
        <v>77</v>
      </c>
      <c r="D119" s="121" t="s">
        <v>70</v>
      </c>
      <c r="E119" s="438" t="s">
        <v>34</v>
      </c>
      <c r="F119" s="75"/>
      <c r="G119" s="925">
        <v>1000</v>
      </c>
      <c r="H119" s="925">
        <v>1000</v>
      </c>
    </row>
    <row r="120" spans="2:9">
      <c r="B120" s="74" t="str">
        <f t="shared" si="4"/>
        <v>VDSL BondingEntry7x24</v>
      </c>
      <c r="C120" s="438" t="s">
        <v>170</v>
      </c>
      <c r="D120" s="121" t="s">
        <v>78</v>
      </c>
      <c r="E120" s="438" t="s">
        <v>34</v>
      </c>
      <c r="F120" s="75"/>
      <c r="G120" s="925">
        <v>1000</v>
      </c>
      <c r="H120" s="925">
        <v>1000</v>
      </c>
    </row>
    <row r="121" spans="2:9">
      <c r="B121" s="74" t="str">
        <f t="shared" si="4"/>
        <v>VDSL BondingPremium7x24</v>
      </c>
      <c r="C121" s="438" t="s">
        <v>170</v>
      </c>
      <c r="D121" s="121" t="s">
        <v>70</v>
      </c>
      <c r="E121" s="438" t="s">
        <v>34</v>
      </c>
      <c r="F121" s="75"/>
      <c r="G121" s="925">
        <v>1000</v>
      </c>
      <c r="H121" s="925">
        <v>1000</v>
      </c>
    </row>
    <row r="122" spans="2:9">
      <c r="B122" s="74" t="str">
        <f t="shared" si="4"/>
        <v>SA IPVPNEntry7x24</v>
      </c>
      <c r="C122" s="438" t="s">
        <v>93</v>
      </c>
      <c r="D122" s="121" t="s">
        <v>78</v>
      </c>
      <c r="E122" s="438" t="s">
        <v>34</v>
      </c>
      <c r="F122" s="438"/>
      <c r="G122" s="925">
        <v>1000</v>
      </c>
      <c r="H122" s="925">
        <v>1000</v>
      </c>
      <c r="I122" s="203"/>
    </row>
    <row r="123" spans="2:9">
      <c r="B123" s="74" t="str">
        <f t="shared" si="4"/>
        <v>SA IPVPNPremium7x24</v>
      </c>
      <c r="C123" s="438" t="s">
        <v>93</v>
      </c>
      <c r="D123" s="121" t="s">
        <v>70</v>
      </c>
      <c r="E123" s="438" t="s">
        <v>34</v>
      </c>
      <c r="F123" s="438"/>
      <c r="G123" s="925">
        <v>1000</v>
      </c>
      <c r="H123" s="925">
        <v>1000</v>
      </c>
      <c r="I123" s="203"/>
    </row>
    <row r="124" spans="2:9">
      <c r="B124" s="74"/>
      <c r="C124" s="75"/>
      <c r="D124" s="77"/>
      <c r="E124" s="77"/>
      <c r="F124" s="77"/>
      <c r="G124" s="77"/>
      <c r="H124" s="77"/>
      <c r="I124" s="77"/>
    </row>
    <row r="125" spans="2:9">
      <c r="B125" s="74" t="str">
        <f t="shared" si="4"/>
        <v>ADSLEntrykantooruren</v>
      </c>
      <c r="C125" s="75" t="s">
        <v>42</v>
      </c>
      <c r="D125" s="77" t="s">
        <v>78</v>
      </c>
      <c r="E125" s="75" t="s">
        <v>1250</v>
      </c>
      <c r="F125" s="75"/>
      <c r="G125" s="925">
        <v>1000</v>
      </c>
      <c r="H125" s="925">
        <v>1000</v>
      </c>
    </row>
    <row r="126" spans="2:9">
      <c r="B126" s="74" t="str">
        <f t="shared" si="4"/>
        <v>ADSLPremiumkantooruren</v>
      </c>
      <c r="C126" s="75" t="s">
        <v>42</v>
      </c>
      <c r="D126" s="77" t="s">
        <v>70</v>
      </c>
      <c r="E126" s="75" t="s">
        <v>1250</v>
      </c>
      <c r="F126" s="75"/>
      <c r="G126" s="925">
        <v>1000</v>
      </c>
      <c r="H126" s="925">
        <v>1000</v>
      </c>
    </row>
    <row r="127" spans="2:9">
      <c r="B127" s="74" t="str">
        <f t="shared" si="4"/>
        <v>SDSLEntrykantooruren</v>
      </c>
      <c r="C127" s="75" t="s">
        <v>64</v>
      </c>
      <c r="D127" s="77" t="s">
        <v>78</v>
      </c>
      <c r="E127" s="75" t="s">
        <v>1250</v>
      </c>
      <c r="F127" s="75"/>
      <c r="G127" s="925">
        <v>1000</v>
      </c>
      <c r="H127" s="925">
        <v>1000</v>
      </c>
    </row>
    <row r="128" spans="2:9">
      <c r="B128" s="74" t="str">
        <f t="shared" si="4"/>
        <v>SDSLPremiumkantooruren</v>
      </c>
      <c r="C128" s="75" t="s">
        <v>64</v>
      </c>
      <c r="D128" s="77" t="s">
        <v>70</v>
      </c>
      <c r="E128" s="75" t="s">
        <v>1250</v>
      </c>
      <c r="F128" s="75"/>
      <c r="G128" s="925">
        <v>1000</v>
      </c>
      <c r="H128" s="925">
        <v>1000</v>
      </c>
    </row>
    <row r="129" spans="2:8">
      <c r="B129" s="74" t="str">
        <f t="shared" si="4"/>
        <v>VDSLEntrykantooruren</v>
      </c>
      <c r="C129" s="75" t="s">
        <v>77</v>
      </c>
      <c r="D129" s="77" t="s">
        <v>78</v>
      </c>
      <c r="E129" s="75" t="s">
        <v>1250</v>
      </c>
      <c r="F129" s="75"/>
      <c r="G129" s="925">
        <v>1000</v>
      </c>
      <c r="H129" s="925">
        <v>1000</v>
      </c>
    </row>
    <row r="130" spans="2:8">
      <c r="B130" s="74" t="str">
        <f t="shared" si="4"/>
        <v>VDSLPremiumkantooruren</v>
      </c>
      <c r="C130" s="75" t="s">
        <v>77</v>
      </c>
      <c r="D130" s="77" t="s">
        <v>70</v>
      </c>
      <c r="E130" s="75" t="s">
        <v>1250</v>
      </c>
      <c r="F130" s="75"/>
      <c r="G130" s="925">
        <v>1000</v>
      </c>
      <c r="H130" s="925">
        <v>1000</v>
      </c>
    </row>
    <row r="131" spans="2:8">
      <c r="B131" s="74" t="str">
        <f t="shared" si="4"/>
        <v>VDSL BondingEntrykantooruren</v>
      </c>
      <c r="C131" s="75" t="s">
        <v>170</v>
      </c>
      <c r="D131" s="77" t="s">
        <v>78</v>
      </c>
      <c r="E131" s="75" t="s">
        <v>1250</v>
      </c>
      <c r="F131" s="75"/>
      <c r="G131" s="925">
        <v>1000</v>
      </c>
      <c r="H131" s="925">
        <v>1000</v>
      </c>
    </row>
    <row r="132" spans="2:8">
      <c r="B132" s="74" t="str">
        <f t="shared" si="4"/>
        <v>VDSL BondingPremiumkantooruren</v>
      </c>
      <c r="C132" s="75" t="s">
        <v>170</v>
      </c>
      <c r="D132" s="77" t="s">
        <v>70</v>
      </c>
      <c r="E132" s="75" t="s">
        <v>1250</v>
      </c>
      <c r="F132" s="75"/>
      <c r="G132" s="925">
        <v>1000</v>
      </c>
      <c r="H132" s="925">
        <v>1000</v>
      </c>
    </row>
    <row r="133" spans="2:8">
      <c r="B133" s="74" t="str">
        <f t="shared" si="4"/>
        <v>SA IPVPNEntrykantooruren</v>
      </c>
      <c r="C133" s="75" t="s">
        <v>93</v>
      </c>
      <c r="D133" s="77" t="s">
        <v>78</v>
      </c>
      <c r="E133" s="75" t="s">
        <v>1250</v>
      </c>
      <c r="F133" s="75"/>
      <c r="G133" s="925">
        <v>1000</v>
      </c>
      <c r="H133" s="925">
        <v>1000</v>
      </c>
    </row>
    <row r="134" spans="2:8">
      <c r="B134" s="74" t="str">
        <f t="shared" si="4"/>
        <v>SA IPVPNPremiumkantooruren</v>
      </c>
      <c r="C134" s="75" t="s">
        <v>93</v>
      </c>
      <c r="D134" s="77" t="s">
        <v>70</v>
      </c>
      <c r="E134" s="75" t="s">
        <v>1250</v>
      </c>
      <c r="F134" s="75"/>
      <c r="G134" s="925">
        <v>1000</v>
      </c>
      <c r="H134" s="925">
        <v>1000</v>
      </c>
    </row>
    <row r="135" spans="2:8">
      <c r="B135" s="74"/>
      <c r="C135" s="75"/>
      <c r="D135" s="77"/>
      <c r="E135" s="75"/>
      <c r="F135"/>
      <c r="G135"/>
      <c r="H135"/>
    </row>
    <row r="136" spans="2:8">
      <c r="B136" s="74"/>
      <c r="C136" s="75"/>
      <c r="D136" s="77"/>
      <c r="E136" s="75"/>
      <c r="F136"/>
      <c r="G136"/>
      <c r="H136"/>
    </row>
    <row r="137" spans="2:8">
      <c r="B137" s="74"/>
      <c r="C137" s="75"/>
      <c r="D137" s="77"/>
      <c r="E137" s="75"/>
      <c r="F137"/>
      <c r="G137"/>
      <c r="H137"/>
    </row>
    <row r="138" spans="2:8">
      <c r="B138" s="74"/>
      <c r="C138" s="75"/>
      <c r="D138" s="77"/>
      <c r="E138" s="75"/>
      <c r="F138"/>
      <c r="G138"/>
      <c r="H138"/>
    </row>
    <row r="139" spans="2:8">
      <c r="B139" s="74"/>
      <c r="C139" s="75"/>
      <c r="D139" s="77"/>
      <c r="E139" s="75"/>
      <c r="F139"/>
      <c r="G139"/>
      <c r="H139"/>
    </row>
    <row r="140" spans="2:8">
      <c r="B140" s="74"/>
      <c r="C140" s="75"/>
      <c r="D140" s="77"/>
      <c r="E140" s="75"/>
      <c r="F140"/>
      <c r="G140"/>
      <c r="H140"/>
    </row>
    <row r="141" spans="2:8">
      <c r="B141" s="74"/>
      <c r="C141" s="75"/>
      <c r="D141" s="77"/>
      <c r="E141" s="75"/>
      <c r="F141"/>
      <c r="G141"/>
      <c r="H141"/>
    </row>
    <row r="142" spans="2:8">
      <c r="B142" s="74"/>
      <c r="C142" s="75"/>
      <c r="D142" s="77"/>
      <c r="E142" s="75"/>
      <c r="F142"/>
      <c r="G142"/>
      <c r="H142"/>
    </row>
    <row r="143" spans="2:8">
      <c r="B143" s="74"/>
      <c r="C143" s="75"/>
      <c r="D143" s="77"/>
      <c r="E143" s="75"/>
      <c r="F143"/>
      <c r="G143"/>
      <c r="H143"/>
    </row>
    <row r="144" spans="2:8">
      <c r="B144" s="74"/>
      <c r="C144" s="75"/>
      <c r="D144" s="77"/>
      <c r="E144" s="75"/>
      <c r="F144"/>
      <c r="G144"/>
      <c r="H144"/>
    </row>
    <row r="145" spans="2:8">
      <c r="B145" s="74"/>
      <c r="C145" s="75"/>
      <c r="D145" s="77"/>
      <c r="E145" s="75"/>
      <c r="F145"/>
      <c r="G145"/>
      <c r="H145"/>
    </row>
    <row r="146" spans="2:8">
      <c r="B146" s="85"/>
      <c r="C146" s="63"/>
      <c r="D146" s="86"/>
      <c r="E146" s="86"/>
      <c r="F146" s="86"/>
      <c r="G146" s="87"/>
      <c r="H146" s="65"/>
    </row>
  </sheetData>
  <autoFilter ref="B7:I146"/>
  <conditionalFormatting sqref="G61:H90 H9:H59">
    <cfRule type="expression" dxfId="65" priority="57" stopIfTrue="1">
      <formula>#REF!=""</formula>
    </cfRule>
    <cfRule type="expression" dxfId="64" priority="58" stopIfTrue="1">
      <formula>C11=""</formula>
    </cfRule>
  </conditionalFormatting>
  <conditionalFormatting sqref="G28:G59 G19:G24 G10:G17">
    <cfRule type="expression" dxfId="63" priority="55" stopIfTrue="1">
      <formula>#REF!=""</formula>
    </cfRule>
    <cfRule type="expression" dxfId="62" priority="56" stopIfTrue="1">
      <formula>C12=""</formula>
    </cfRule>
  </conditionalFormatting>
  <conditionalFormatting sqref="G18 G8">
    <cfRule type="expression" dxfId="61" priority="49" stopIfTrue="1">
      <formula>#REF!=""</formula>
    </cfRule>
    <cfRule type="expression" dxfId="60" priority="50" stopIfTrue="1">
      <formula>C9=""</formula>
    </cfRule>
  </conditionalFormatting>
  <conditionalFormatting sqref="G25">
    <cfRule type="expression" dxfId="59" priority="45" stopIfTrue="1">
      <formula>#REF!=""</formula>
    </cfRule>
    <cfRule type="expression" dxfId="58" priority="46" stopIfTrue="1">
      <formula>C26=""</formula>
    </cfRule>
  </conditionalFormatting>
  <conditionalFormatting sqref="G97:H106">
    <cfRule type="expression" dxfId="57" priority="15" stopIfTrue="1">
      <formula>#REF!=""</formula>
    </cfRule>
    <cfRule type="expression" dxfId="56" priority="16" stopIfTrue="1">
      <formula>C99=""</formula>
    </cfRule>
  </conditionalFormatting>
  <conditionalFormatting sqref="H100:H101">
    <cfRule type="expression" dxfId="55" priority="13" stopIfTrue="1">
      <formula>#REF!=""</formula>
    </cfRule>
    <cfRule type="expression" dxfId="54" priority="14" stopIfTrue="1">
      <formula>D102=""</formula>
    </cfRule>
  </conditionalFormatting>
  <conditionalFormatting sqref="G101:G103">
    <cfRule type="expression" dxfId="53" priority="11" stopIfTrue="1">
      <formula>#REF!=""</formula>
    </cfRule>
    <cfRule type="expression" dxfId="52" priority="12" stopIfTrue="1">
      <formula>C103=""</formula>
    </cfRule>
  </conditionalFormatting>
  <conditionalFormatting sqref="G26:G27 G9">
    <cfRule type="expression" dxfId="51" priority="59" stopIfTrue="1">
      <formula>#REF!=""</formula>
    </cfRule>
    <cfRule type="expression" dxfId="50" priority="60" stopIfTrue="1">
      <formula>#REF!=""</formula>
    </cfRule>
  </conditionalFormatting>
  <conditionalFormatting sqref="H8">
    <cfRule type="expression" dxfId="49" priority="61" stopIfTrue="1">
      <formula>#REF!=""</formula>
    </cfRule>
    <cfRule type="expression" dxfId="48" priority="62" stopIfTrue="1">
      <formula>#REF!=""</formula>
    </cfRule>
  </conditionalFormatting>
  <conditionalFormatting sqref="G111:H123">
    <cfRule type="expression" dxfId="47" priority="3" stopIfTrue="1">
      <formula>#REF!=""</formula>
    </cfRule>
    <cfRule type="expression" dxfId="46" priority="4" stopIfTrue="1">
      <formula>C113=""</formula>
    </cfRule>
  </conditionalFormatting>
  <conditionalFormatting sqref="G125:H134">
    <cfRule type="expression" dxfId="45" priority="1" stopIfTrue="1">
      <formula>#REF!=""</formula>
    </cfRule>
    <cfRule type="expression" dxfId="44" priority="2" stopIfTrue="1">
      <formula>C127=""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7">
    <tabColor rgb="FFFFFF00"/>
  </sheetPr>
  <dimension ref="A1:K214"/>
  <sheetViews>
    <sheetView zoomScale="85" zoomScaleNormal="85" workbookViewId="0">
      <selection activeCell="E23" sqref="E23"/>
    </sheetView>
  </sheetViews>
  <sheetFormatPr defaultRowHeight="15"/>
  <cols>
    <col min="1" max="1" width="7.5703125" customWidth="1"/>
    <col min="2" max="2" width="54.5703125" style="115" bestFit="1" customWidth="1"/>
    <col min="3" max="3" width="16.5703125" style="100" bestFit="1" customWidth="1"/>
    <col min="4" max="4" width="22.85546875" style="100" bestFit="1" customWidth="1"/>
    <col min="5" max="5" width="19.28515625" style="100" bestFit="1" customWidth="1"/>
    <col min="6" max="6" width="17.7109375" style="100" customWidth="1"/>
    <col min="7" max="7" width="10.5703125" style="104" bestFit="1" customWidth="1"/>
    <col min="8" max="8" width="13.85546875" style="104" customWidth="1"/>
    <col min="9" max="9" width="16.28515625" style="104" customWidth="1"/>
    <col min="10" max="10" width="59.28515625" customWidth="1"/>
  </cols>
  <sheetData>
    <row r="1" spans="2:11">
      <c r="B1" s="193" t="s">
        <v>160</v>
      </c>
      <c r="C1" s="673" t="s">
        <v>1739</v>
      </c>
      <c r="D1" s="673" t="s">
        <v>1740</v>
      </c>
      <c r="E1" s="193"/>
    </row>
    <row r="2" spans="2:11">
      <c r="B2" s="193" t="s">
        <v>161</v>
      </c>
      <c r="C2" s="673" t="s">
        <v>1741</v>
      </c>
      <c r="D2" s="673" t="s">
        <v>1740</v>
      </c>
      <c r="E2" s="193"/>
      <c r="F2" s="96"/>
      <c r="G2" s="96"/>
      <c r="H2" s="96"/>
      <c r="I2" s="96"/>
    </row>
    <row r="3" spans="2:11">
      <c r="B3" s="96"/>
      <c r="C3" s="96"/>
      <c r="E3" s="97"/>
      <c r="F3" s="96"/>
      <c r="G3" s="96"/>
      <c r="H3" s="96"/>
      <c r="I3" s="96"/>
    </row>
    <row r="4" spans="2:11">
      <c r="B4" s="96"/>
      <c r="C4" s="96"/>
      <c r="D4" s="96"/>
      <c r="E4" s="96"/>
      <c r="F4" s="96"/>
      <c r="G4" s="98"/>
      <c r="H4" s="98"/>
      <c r="I4" s="98"/>
    </row>
    <row r="5" spans="2:11" ht="18">
      <c r="B5" s="83" t="s">
        <v>162</v>
      </c>
      <c r="D5" s="89"/>
      <c r="E5" s="88"/>
      <c r="F5" s="89"/>
      <c r="G5" s="90"/>
      <c r="H5" s="90"/>
      <c r="I5" s="90"/>
    </row>
    <row r="6" spans="2:11">
      <c r="B6" s="113"/>
      <c r="C6" s="91"/>
      <c r="D6" s="72"/>
      <c r="E6" s="72"/>
      <c r="F6" s="92"/>
      <c r="G6"/>
      <c r="H6"/>
      <c r="I6" s="92"/>
    </row>
    <row r="7" spans="2:11">
      <c r="B7" s="111" t="s">
        <v>40</v>
      </c>
      <c r="C7" s="99" t="s">
        <v>120</v>
      </c>
      <c r="D7" s="105" t="s">
        <v>37</v>
      </c>
      <c r="E7" s="94" t="s">
        <v>148</v>
      </c>
      <c r="F7" s="65" t="s">
        <v>149</v>
      </c>
      <c r="G7" s="105" t="s">
        <v>145</v>
      </c>
      <c r="H7" s="73" t="s">
        <v>163</v>
      </c>
      <c r="I7" s="105" t="s">
        <v>164</v>
      </c>
      <c r="J7" s="270" t="s">
        <v>150</v>
      </c>
    </row>
    <row r="8" spans="2:11">
      <c r="B8" s="112" t="str">
        <f t="shared" ref="B8:B26" si="0">C8&amp;D8&amp;E8&amp;F8</f>
        <v>WBA CM EthernetADSLunshared</v>
      </c>
      <c r="C8" s="76" t="s">
        <v>121</v>
      </c>
      <c r="D8" s="75" t="s">
        <v>42</v>
      </c>
      <c r="E8" s="118"/>
      <c r="F8" s="77" t="s">
        <v>128</v>
      </c>
      <c r="G8" s="931">
        <v>13.09</v>
      </c>
      <c r="H8" s="102"/>
      <c r="I8" s="102"/>
      <c r="J8" s="203" t="s">
        <v>1706</v>
      </c>
    </row>
    <row r="9" spans="2:11">
      <c r="B9" s="112" t="str">
        <f t="shared" si="0"/>
        <v>WBA CM EthernetVDSLunshared</v>
      </c>
      <c r="C9" s="76" t="s">
        <v>121</v>
      </c>
      <c r="D9" s="75" t="s">
        <v>77</v>
      </c>
      <c r="E9" s="118"/>
      <c r="F9" s="77" t="s">
        <v>128</v>
      </c>
      <c r="G9" s="195">
        <f>G8</f>
        <v>13.09</v>
      </c>
      <c r="H9" s="116"/>
      <c r="I9" s="116"/>
      <c r="J9" s="203" t="s">
        <v>1706</v>
      </c>
    </row>
    <row r="10" spans="2:11">
      <c r="B10" s="112" t="str">
        <f t="shared" si="0"/>
        <v>WBA CM EthernetSDSLunshared</v>
      </c>
      <c r="C10" s="76" t="s">
        <v>121</v>
      </c>
      <c r="D10" s="75" t="s">
        <v>64</v>
      </c>
      <c r="E10" s="118"/>
      <c r="F10" s="77" t="s">
        <v>128</v>
      </c>
      <c r="G10" s="931">
        <v>33.729999999999997</v>
      </c>
      <c r="H10" s="102"/>
      <c r="I10" s="102"/>
      <c r="J10" s="203" t="s">
        <v>166</v>
      </c>
    </row>
    <row r="11" spans="2:11">
      <c r="B11" s="112" t="str">
        <f t="shared" si="0"/>
        <v>WBA CM EthernetFttHunshared</v>
      </c>
      <c r="C11" s="76" t="s">
        <v>121</v>
      </c>
      <c r="D11" s="75" t="s">
        <v>119</v>
      </c>
      <c r="E11" s="118"/>
      <c r="F11" s="77" t="s">
        <v>128</v>
      </c>
      <c r="G11" s="931">
        <v>19.13</v>
      </c>
      <c r="H11" s="102"/>
      <c r="I11" s="102"/>
      <c r="J11" s="203" t="s">
        <v>167</v>
      </c>
    </row>
    <row r="12" spans="2:11">
      <c r="B12" s="112" t="str">
        <f t="shared" si="0"/>
        <v>WBA CM EthernetFttOunshared</v>
      </c>
      <c r="C12" s="76" t="s">
        <v>121</v>
      </c>
      <c r="D12" s="75" t="s">
        <v>168</v>
      </c>
      <c r="E12" s="118"/>
      <c r="F12" s="77" t="s">
        <v>128</v>
      </c>
      <c r="G12" s="931">
        <v>97.18</v>
      </c>
      <c r="H12" s="102"/>
      <c r="I12" s="102"/>
      <c r="J12" s="203" t="s">
        <v>169</v>
      </c>
    </row>
    <row r="13" spans="2:11">
      <c r="B13" s="112" t="str">
        <f t="shared" si="0"/>
        <v>WBA CM EthernetVDSL Bondingunshared</v>
      </c>
      <c r="C13" s="76" t="s">
        <v>121</v>
      </c>
      <c r="D13" s="75" t="s">
        <v>170</v>
      </c>
      <c r="E13" s="118"/>
      <c r="F13" s="77" t="s">
        <v>128</v>
      </c>
      <c r="G13" s="931">
        <v>19.82</v>
      </c>
      <c r="H13" s="102"/>
      <c r="I13" s="102"/>
      <c r="J13" s="203" t="s">
        <v>171</v>
      </c>
    </row>
    <row r="14" spans="2:11">
      <c r="B14" s="112" t="str">
        <f t="shared" si="0"/>
        <v>WBA CM EthernetVDSLshared</v>
      </c>
      <c r="C14" s="76" t="s">
        <v>121</v>
      </c>
      <c r="D14" s="75" t="s">
        <v>77</v>
      </c>
      <c r="E14" s="118"/>
      <c r="F14" s="77" t="s">
        <v>127</v>
      </c>
      <c r="G14" s="931">
        <v>5.36</v>
      </c>
      <c r="H14" s="102"/>
      <c r="I14" s="102"/>
      <c r="J14" s="203" t="s">
        <v>1707</v>
      </c>
    </row>
    <row r="15" spans="2:11" s="119" customFormat="1">
      <c r="B15" s="112" t="str">
        <f t="shared" si="0"/>
        <v>WBA CM EthernetADSLshared</v>
      </c>
      <c r="C15" s="76" t="s">
        <v>121</v>
      </c>
      <c r="D15" s="75" t="s">
        <v>42</v>
      </c>
      <c r="E15" s="118"/>
      <c r="F15" s="77" t="s">
        <v>127</v>
      </c>
      <c r="G15" s="195">
        <f>G14</f>
        <v>5.36</v>
      </c>
      <c r="H15" s="120"/>
      <c r="I15" s="120"/>
      <c r="J15" s="915" t="s">
        <v>1707</v>
      </c>
    </row>
    <row r="16" spans="2:11">
      <c r="B16" s="112" t="str">
        <f t="shared" si="0"/>
        <v>WBA CM EthernetADSLNew line</v>
      </c>
      <c r="C16" s="76" t="s">
        <v>121</v>
      </c>
      <c r="D16" s="75" t="s">
        <v>42</v>
      </c>
      <c r="E16" s="75" t="s">
        <v>126</v>
      </c>
      <c r="F16" s="77"/>
      <c r="G16" s="102"/>
      <c r="H16" s="102">
        <v>25</v>
      </c>
      <c r="I16" s="102">
        <f>25</f>
        <v>25</v>
      </c>
      <c r="J16" s="916" t="s">
        <v>173</v>
      </c>
      <c r="K16" s="100" t="s">
        <v>174</v>
      </c>
    </row>
    <row r="17" spans="1:11">
      <c r="B17" s="112" t="str">
        <f t="shared" si="0"/>
        <v>WBA CM EthernetVDSLNew line</v>
      </c>
      <c r="C17" s="76" t="s">
        <v>121</v>
      </c>
      <c r="D17" s="75" t="s">
        <v>77</v>
      </c>
      <c r="E17" s="75" t="s">
        <v>126</v>
      </c>
      <c r="F17" s="77"/>
      <c r="G17" s="116"/>
      <c r="H17" s="195">
        <f>H16</f>
        <v>25</v>
      </c>
      <c r="I17" s="195">
        <f>I16</f>
        <v>25</v>
      </c>
      <c r="J17" s="100" t="s">
        <v>173</v>
      </c>
      <c r="K17" s="100" t="s">
        <v>174</v>
      </c>
    </row>
    <row r="18" spans="1:11">
      <c r="B18" s="112" t="str">
        <f t="shared" si="0"/>
        <v>WBA CM EthernetSDSLNew line</v>
      </c>
      <c r="C18" s="76" t="s">
        <v>121</v>
      </c>
      <c r="D18" s="75" t="s">
        <v>64</v>
      </c>
      <c r="E18" s="75" t="s">
        <v>126</v>
      </c>
      <c r="F18" s="77"/>
      <c r="G18" s="116"/>
      <c r="H18" s="195">
        <f t="shared" ref="H18:I18" si="1">H17</f>
        <v>25</v>
      </c>
      <c r="I18" s="195">
        <f t="shared" si="1"/>
        <v>25</v>
      </c>
      <c r="J18" s="100" t="s">
        <v>173</v>
      </c>
      <c r="K18" s="100" t="s">
        <v>174</v>
      </c>
    </row>
    <row r="19" spans="1:11">
      <c r="B19" s="112" t="str">
        <f t="shared" si="0"/>
        <v>WBA CM EthernetADSLTelco-telco en WSO-WSO</v>
      </c>
      <c r="C19" s="76" t="s">
        <v>121</v>
      </c>
      <c r="D19" s="75" t="s">
        <v>42</v>
      </c>
      <c r="E19" s="75" t="s">
        <v>1240</v>
      </c>
      <c r="F19" s="77"/>
      <c r="G19" s="102"/>
      <c r="H19" s="102">
        <v>17</v>
      </c>
      <c r="I19" s="102">
        <v>25</v>
      </c>
      <c r="J19" s="100" t="s">
        <v>1237</v>
      </c>
      <c r="K19" s="100" t="s">
        <v>174</v>
      </c>
    </row>
    <row r="20" spans="1:11">
      <c r="B20" s="112" t="str">
        <f t="shared" si="0"/>
        <v xml:space="preserve">WBA CM EthernetVDSLTelco-telco en WSO-WSO </v>
      </c>
      <c r="C20" s="76" t="s">
        <v>121</v>
      </c>
      <c r="D20" s="75" t="s">
        <v>77</v>
      </c>
      <c r="E20" s="75" t="s">
        <v>1240</v>
      </c>
      <c r="F20" s="77" t="s">
        <v>1532</v>
      </c>
      <c r="G20" s="116"/>
      <c r="H20" s="195">
        <f>H19</f>
        <v>17</v>
      </c>
      <c r="I20" s="195">
        <f>I19</f>
        <v>25</v>
      </c>
      <c r="J20" s="100" t="s">
        <v>1237</v>
      </c>
      <c r="K20" s="100" t="s">
        <v>174</v>
      </c>
    </row>
    <row r="21" spans="1:11">
      <c r="B21" s="112" t="str">
        <f t="shared" si="0"/>
        <v>WBA CM EthernetSDSLTelco-telco en WSO-WSO</v>
      </c>
      <c r="C21" s="76" t="s">
        <v>121</v>
      </c>
      <c r="D21" s="75" t="s">
        <v>64</v>
      </c>
      <c r="E21" s="75" t="s">
        <v>1240</v>
      </c>
      <c r="F21" s="77"/>
      <c r="G21" s="116"/>
      <c r="H21" s="195">
        <f t="shared" ref="H21:I21" si="2">H20</f>
        <v>17</v>
      </c>
      <c r="I21" s="195">
        <f t="shared" si="2"/>
        <v>25</v>
      </c>
      <c r="J21" s="100" t="s">
        <v>1237</v>
      </c>
      <c r="K21" s="100" t="s">
        <v>174</v>
      </c>
    </row>
    <row r="22" spans="1:11">
      <c r="B22" s="112" t="str">
        <f t="shared" si="0"/>
        <v>WBA CM EthernetFttHNew line</v>
      </c>
      <c r="C22" s="76" t="s">
        <v>121</v>
      </c>
      <c r="D22" s="75" t="s">
        <v>119</v>
      </c>
      <c r="E22" s="75" t="s">
        <v>126</v>
      </c>
      <c r="F22" s="77"/>
      <c r="G22" s="102"/>
      <c r="H22" s="102">
        <v>25</v>
      </c>
      <c r="I22" s="102">
        <f>25</f>
        <v>25</v>
      </c>
      <c r="J22" s="100" t="s">
        <v>175</v>
      </c>
      <c r="K22" s="100" t="s">
        <v>174</v>
      </c>
    </row>
    <row r="23" spans="1:11">
      <c r="B23" s="112" t="str">
        <f t="shared" si="0"/>
        <v>WBA CM EthernetFttHNew linenvt</v>
      </c>
      <c r="C23" s="76" t="s">
        <v>121</v>
      </c>
      <c r="D23" s="75" t="s">
        <v>119</v>
      </c>
      <c r="E23" s="75" t="s">
        <v>126</v>
      </c>
      <c r="F23" s="77" t="s">
        <v>115</v>
      </c>
      <c r="G23" s="102"/>
      <c r="H23" s="102">
        <v>51.52</v>
      </c>
      <c r="I23" s="102">
        <f>25</f>
        <v>25</v>
      </c>
      <c r="J23" s="100" t="s">
        <v>176</v>
      </c>
      <c r="K23" s="100" t="s">
        <v>174</v>
      </c>
    </row>
    <row r="24" spans="1:11">
      <c r="B24" s="112" t="str">
        <f t="shared" si="0"/>
        <v>WBA CM EthernetFttONew line</v>
      </c>
      <c r="C24" s="76" t="s">
        <v>121</v>
      </c>
      <c r="D24" s="75" t="s">
        <v>168</v>
      </c>
      <c r="E24" s="75" t="s">
        <v>126</v>
      </c>
      <c r="F24" s="77"/>
      <c r="G24" s="102"/>
      <c r="H24" s="101">
        <v>667.13</v>
      </c>
      <c r="I24" s="101">
        <v>102.43</v>
      </c>
      <c r="J24" s="100" t="s">
        <v>177</v>
      </c>
      <c r="K24" s="100" t="s">
        <v>178</v>
      </c>
    </row>
    <row r="25" spans="1:11">
      <c r="A25" s="203"/>
      <c r="B25" s="112" t="str">
        <f t="shared" si="0"/>
        <v>WBA CM EthernetVDSL BondingNew line</v>
      </c>
      <c r="C25" s="76" t="s">
        <v>121</v>
      </c>
      <c r="D25" s="75" t="s">
        <v>170</v>
      </c>
      <c r="E25" s="75" t="s">
        <v>126</v>
      </c>
      <c r="F25" s="77"/>
      <c r="G25" s="260"/>
      <c r="H25" s="195">
        <f>H17</f>
        <v>25</v>
      </c>
      <c r="I25" s="195">
        <f>I17</f>
        <v>25</v>
      </c>
      <c r="J25" s="261" t="s">
        <v>499</v>
      </c>
      <c r="K25" s="100"/>
    </row>
    <row r="26" spans="1:11">
      <c r="B26" s="112" t="str">
        <f t="shared" si="0"/>
        <v>WBA CM Ethernetnvt</v>
      </c>
      <c r="C26" s="76" t="s">
        <v>121</v>
      </c>
      <c r="D26" s="75" t="s">
        <v>115</v>
      </c>
      <c r="E26" s="75"/>
      <c r="F26" s="77"/>
      <c r="G26" s="102"/>
      <c r="H26" s="102"/>
      <c r="I26" s="102">
        <v>25</v>
      </c>
      <c r="J26" s="100" t="s">
        <v>179</v>
      </c>
      <c r="K26" s="100"/>
    </row>
    <row r="27" spans="1:11">
      <c r="B27" s="112"/>
      <c r="C27" s="76"/>
      <c r="D27" s="75"/>
      <c r="E27" s="75"/>
      <c r="F27" s="77"/>
      <c r="G27" s="102"/>
      <c r="H27" s="102"/>
      <c r="I27" s="102"/>
      <c r="J27" s="100"/>
      <c r="K27" s="100"/>
    </row>
    <row r="28" spans="1:11">
      <c r="B28" s="112" t="str">
        <f t="shared" ref="B28:B45" si="3">C28&amp;D28&amp;E28&amp;F28</f>
        <v>WBA ZM EthernetADSLunshared</v>
      </c>
      <c r="C28" s="76" t="s">
        <v>122</v>
      </c>
      <c r="D28" s="75" t="s">
        <v>42</v>
      </c>
      <c r="E28" s="118"/>
      <c r="F28" s="77" t="s">
        <v>128</v>
      </c>
      <c r="G28" s="101">
        <v>11.2</v>
      </c>
      <c r="H28" s="102"/>
      <c r="I28" s="102"/>
      <c r="J28" t="s">
        <v>165</v>
      </c>
      <c r="K28" s="100"/>
    </row>
    <row r="29" spans="1:11">
      <c r="B29" s="112" t="str">
        <f t="shared" si="3"/>
        <v>WBA ZM EthernetVDSLunshared</v>
      </c>
      <c r="C29" s="76" t="s">
        <v>122</v>
      </c>
      <c r="D29" s="75" t="s">
        <v>77</v>
      </c>
      <c r="E29" s="118"/>
      <c r="F29" s="77" t="s">
        <v>128</v>
      </c>
      <c r="G29" s="195">
        <f>G28</f>
        <v>11.2</v>
      </c>
      <c r="H29" s="116"/>
      <c r="I29" s="116"/>
      <c r="J29" t="s">
        <v>165</v>
      </c>
      <c r="K29" s="100"/>
    </row>
    <row r="30" spans="1:11">
      <c r="B30" s="112" t="str">
        <f t="shared" si="3"/>
        <v>WBA ZM EthernetSDSLunshared</v>
      </c>
      <c r="C30" s="76" t="s">
        <v>122</v>
      </c>
      <c r="D30" s="75" t="s">
        <v>64</v>
      </c>
      <c r="E30" s="118"/>
      <c r="F30" s="77" t="s">
        <v>128</v>
      </c>
      <c r="G30" s="102">
        <v>22.1</v>
      </c>
      <c r="H30" s="102"/>
      <c r="I30" s="102"/>
      <c r="J30" t="s">
        <v>166</v>
      </c>
      <c r="K30" s="100"/>
    </row>
    <row r="31" spans="1:11">
      <c r="B31" s="112" t="str">
        <f t="shared" si="3"/>
        <v>WBA ZM EthernetFttHunshared</v>
      </c>
      <c r="C31" s="76" t="s">
        <v>122</v>
      </c>
      <c r="D31" s="75" t="s">
        <v>119</v>
      </c>
      <c r="E31" s="118"/>
      <c r="F31" s="77" t="s">
        <v>128</v>
      </c>
      <c r="G31" s="102">
        <v>19</v>
      </c>
      <c r="H31" s="102"/>
      <c r="I31" s="102"/>
      <c r="J31" t="s">
        <v>167</v>
      </c>
      <c r="K31" s="100"/>
    </row>
    <row r="32" spans="1:11">
      <c r="B32" s="112" t="str">
        <f t="shared" si="3"/>
        <v>WBA ZM EthernetFttOunshared</v>
      </c>
      <c r="C32" s="76" t="s">
        <v>122</v>
      </c>
      <c r="D32" s="75" t="s">
        <v>168</v>
      </c>
      <c r="E32" s="118"/>
      <c r="F32" s="77" t="s">
        <v>128</v>
      </c>
      <c r="G32" s="101">
        <v>96.21</v>
      </c>
      <c r="H32" s="102"/>
      <c r="I32" s="102"/>
      <c r="J32" t="s">
        <v>169</v>
      </c>
      <c r="K32" s="100"/>
    </row>
    <row r="33" spans="1:11">
      <c r="B33" s="112" t="str">
        <f t="shared" si="3"/>
        <v>WBA ZM EthernetVDSL Bondingunshared</v>
      </c>
      <c r="C33" s="76" t="s">
        <v>122</v>
      </c>
      <c r="D33" s="75" t="s">
        <v>170</v>
      </c>
      <c r="E33" s="118"/>
      <c r="F33" s="77" t="s">
        <v>128</v>
      </c>
      <c r="G33" s="102">
        <v>17.34</v>
      </c>
      <c r="H33" s="102"/>
      <c r="I33" s="102"/>
      <c r="J33" t="s">
        <v>171</v>
      </c>
      <c r="K33" s="100"/>
    </row>
    <row r="34" spans="1:11">
      <c r="B34" s="112" t="str">
        <f t="shared" si="3"/>
        <v>WBA ZM EthernetVDSLshared</v>
      </c>
      <c r="C34" s="76" t="s">
        <v>122</v>
      </c>
      <c r="D34" s="75" t="s">
        <v>77</v>
      </c>
      <c r="E34" s="118"/>
      <c r="F34" s="77" t="s">
        <v>127</v>
      </c>
      <c r="G34" s="101">
        <v>2.88</v>
      </c>
      <c r="H34" s="102"/>
      <c r="I34" s="102"/>
      <c r="J34" t="s">
        <v>172</v>
      </c>
      <c r="K34" s="100"/>
    </row>
    <row r="35" spans="1:11">
      <c r="B35" s="112" t="str">
        <f t="shared" si="3"/>
        <v>WBA ZM EthernetADSLshared</v>
      </c>
      <c r="C35" s="76" t="s">
        <v>122</v>
      </c>
      <c r="D35" s="75" t="s">
        <v>42</v>
      </c>
      <c r="E35" s="118"/>
      <c r="F35" s="77" t="s">
        <v>127</v>
      </c>
      <c r="G35" s="195">
        <f>G34</f>
        <v>2.88</v>
      </c>
      <c r="H35" s="120"/>
      <c r="I35" s="120"/>
      <c r="J35" s="119" t="s">
        <v>172</v>
      </c>
      <c r="K35" s="100"/>
    </row>
    <row r="36" spans="1:11">
      <c r="B36" s="112" t="str">
        <f t="shared" si="3"/>
        <v>WBA ZM EthernetADSLNew line</v>
      </c>
      <c r="C36" s="76" t="s">
        <v>122</v>
      </c>
      <c r="D36" s="75" t="s">
        <v>42</v>
      </c>
      <c r="E36" s="75" t="s">
        <v>126</v>
      </c>
      <c r="F36" s="77"/>
      <c r="G36" s="102"/>
      <c r="H36" s="102">
        <v>24</v>
      </c>
      <c r="I36" s="102">
        <f>25</f>
        <v>25</v>
      </c>
      <c r="J36" s="100" t="s">
        <v>173</v>
      </c>
      <c r="K36" s="100" t="s">
        <v>174</v>
      </c>
    </row>
    <row r="37" spans="1:11">
      <c r="B37" s="112" t="str">
        <f t="shared" si="3"/>
        <v>WBA ZM EthernetVDSLNew line</v>
      </c>
      <c r="C37" s="76" t="s">
        <v>122</v>
      </c>
      <c r="D37" s="75" t="s">
        <v>77</v>
      </c>
      <c r="E37" s="75" t="s">
        <v>126</v>
      </c>
      <c r="F37" s="77"/>
      <c r="G37" s="116"/>
      <c r="H37" s="195">
        <f>H36</f>
        <v>24</v>
      </c>
      <c r="I37" s="195">
        <f t="shared" ref="I37:I39" si="4">I36</f>
        <v>25</v>
      </c>
      <c r="J37" s="100" t="s">
        <v>173</v>
      </c>
      <c r="K37" s="100" t="s">
        <v>174</v>
      </c>
    </row>
    <row r="38" spans="1:11">
      <c r="B38" s="112" t="str">
        <f t="shared" si="3"/>
        <v>WBA ZM EthernetSDSLNew line</v>
      </c>
      <c r="C38" s="76" t="s">
        <v>122</v>
      </c>
      <c r="D38" s="75" t="s">
        <v>64</v>
      </c>
      <c r="E38" s="75" t="s">
        <v>126</v>
      </c>
      <c r="F38" s="77"/>
      <c r="G38" s="116"/>
      <c r="H38" s="195">
        <f t="shared" ref="H38:H39" si="5">H37</f>
        <v>24</v>
      </c>
      <c r="I38" s="195">
        <f t="shared" si="4"/>
        <v>25</v>
      </c>
      <c r="J38" s="100" t="s">
        <v>173</v>
      </c>
      <c r="K38" s="100" t="s">
        <v>174</v>
      </c>
    </row>
    <row r="39" spans="1:11">
      <c r="B39" s="112" t="str">
        <f t="shared" si="3"/>
        <v>WBA ZM EthernetFttHNew line</v>
      </c>
      <c r="C39" s="76" t="s">
        <v>122</v>
      </c>
      <c r="D39" s="75" t="s">
        <v>119</v>
      </c>
      <c r="E39" s="75" t="s">
        <v>126</v>
      </c>
      <c r="F39" s="77"/>
      <c r="G39" s="116"/>
      <c r="H39" s="195">
        <f t="shared" si="5"/>
        <v>24</v>
      </c>
      <c r="I39" s="195">
        <f t="shared" si="4"/>
        <v>25</v>
      </c>
      <c r="J39" s="100" t="s">
        <v>173</v>
      </c>
      <c r="K39" s="100" t="s">
        <v>174</v>
      </c>
    </row>
    <row r="40" spans="1:11">
      <c r="B40" s="112" t="str">
        <f t="shared" si="3"/>
        <v>WBA ZM EthernetADSLTelco-telco en WSO-WSO</v>
      </c>
      <c r="C40" s="76" t="s">
        <v>122</v>
      </c>
      <c r="D40" s="75" t="s">
        <v>42</v>
      </c>
      <c r="E40" s="75" t="s">
        <v>1240</v>
      </c>
      <c r="F40" s="77"/>
      <c r="G40" s="102"/>
      <c r="H40" s="102">
        <v>16</v>
      </c>
      <c r="I40" s="102">
        <v>25</v>
      </c>
      <c r="J40" s="100" t="s">
        <v>1237</v>
      </c>
      <c r="K40" s="100" t="s">
        <v>174</v>
      </c>
    </row>
    <row r="41" spans="1:11">
      <c r="B41" s="112" t="str">
        <f t="shared" si="3"/>
        <v>WBA ZM EthernetVDSLTelco-telco en WSO-WSO</v>
      </c>
      <c r="C41" s="76" t="s">
        <v>122</v>
      </c>
      <c r="D41" s="75" t="s">
        <v>77</v>
      </c>
      <c r="E41" s="75" t="s">
        <v>1240</v>
      </c>
      <c r="F41" s="77"/>
      <c r="G41" s="116"/>
      <c r="H41" s="195">
        <f>H40</f>
        <v>16</v>
      </c>
      <c r="I41" s="195">
        <f t="shared" ref="I41:I42" si="6">I40</f>
        <v>25</v>
      </c>
      <c r="J41" s="100" t="s">
        <v>1237</v>
      </c>
      <c r="K41" s="100" t="s">
        <v>174</v>
      </c>
    </row>
    <row r="42" spans="1:11">
      <c r="B42" s="112" t="str">
        <f t="shared" si="3"/>
        <v>WBA ZM EthernetSDSLTelco-telco en WSO-WSO</v>
      </c>
      <c r="C42" s="76" t="s">
        <v>122</v>
      </c>
      <c r="D42" s="75" t="s">
        <v>64</v>
      </c>
      <c r="E42" s="75" t="s">
        <v>1240</v>
      </c>
      <c r="F42" s="77"/>
      <c r="G42" s="116"/>
      <c r="H42" s="195">
        <f t="shared" ref="H42" si="7">H41</f>
        <v>16</v>
      </c>
      <c r="I42" s="195">
        <f t="shared" si="6"/>
        <v>25</v>
      </c>
      <c r="J42" s="100" t="s">
        <v>1237</v>
      </c>
      <c r="K42" s="100" t="s">
        <v>174</v>
      </c>
    </row>
    <row r="43" spans="1:11">
      <c r="A43" s="203"/>
      <c r="B43" s="112" t="str">
        <f t="shared" si="3"/>
        <v>WBA ZM EthernetVDSL BondingNew line</v>
      </c>
      <c r="C43" s="76" t="s">
        <v>122</v>
      </c>
      <c r="D43" s="75" t="s">
        <v>170</v>
      </c>
      <c r="E43" s="75" t="s">
        <v>126</v>
      </c>
      <c r="F43" s="77"/>
      <c r="G43" s="260"/>
      <c r="H43" s="195">
        <f>H37</f>
        <v>24</v>
      </c>
      <c r="I43" s="195">
        <f>I37</f>
        <v>25</v>
      </c>
      <c r="J43" s="261" t="s">
        <v>499</v>
      </c>
      <c r="K43" s="100"/>
    </row>
    <row r="44" spans="1:11">
      <c r="A44" s="203"/>
      <c r="B44" s="112" t="str">
        <f t="shared" si="3"/>
        <v>WBA ZM EthernetFttONew line</v>
      </c>
      <c r="C44" s="76" t="s">
        <v>122</v>
      </c>
      <c r="D44" s="75" t="s">
        <v>168</v>
      </c>
      <c r="E44" s="75" t="s">
        <v>126</v>
      </c>
      <c r="F44" s="77"/>
      <c r="G44" s="260"/>
      <c r="H44" s="195">
        <v>667.13</v>
      </c>
      <c r="I44" s="195">
        <v>102.43</v>
      </c>
      <c r="J44" s="261"/>
      <c r="K44" s="100"/>
    </row>
    <row r="45" spans="1:11">
      <c r="B45" s="112" t="str">
        <f t="shared" si="3"/>
        <v>WBA ZM Ethernetnvt</v>
      </c>
      <c r="C45" s="76" t="s">
        <v>122</v>
      </c>
      <c r="D45" s="75" t="s">
        <v>115</v>
      </c>
      <c r="E45" s="75"/>
      <c r="F45" s="77"/>
      <c r="G45" s="102"/>
      <c r="H45" s="102"/>
      <c r="I45" s="102">
        <v>25</v>
      </c>
      <c r="J45" s="100" t="s">
        <v>179</v>
      </c>
      <c r="K45" s="100"/>
    </row>
    <row r="46" spans="1:11">
      <c r="B46" s="114"/>
      <c r="C46" s="75"/>
      <c r="D46" s="77"/>
      <c r="E46" s="75"/>
      <c r="G46" s="117"/>
      <c r="I46" s="117"/>
    </row>
    <row r="47" spans="1:11">
      <c r="B47" s="114"/>
      <c r="C47" s="75"/>
      <c r="D47" s="77"/>
      <c r="E47" s="75"/>
      <c r="G47" s="117"/>
      <c r="I47" s="117"/>
    </row>
    <row r="48" spans="1:11">
      <c r="B48" s="112" t="str">
        <f t="shared" ref="B48:B61" si="8">C48&amp;D48&amp;E48&amp;F48</f>
        <v>WBA CM EthernetADSL/VDSL/SDSLNLS type 1 ZTL/DHZ TL</v>
      </c>
      <c r="C48" s="76" t="s">
        <v>121</v>
      </c>
      <c r="D48" s="77" t="s">
        <v>1296</v>
      </c>
      <c r="E48" s="75" t="s">
        <v>1274</v>
      </c>
      <c r="G48" s="102"/>
      <c r="H48" s="101">
        <v>0</v>
      </c>
      <c r="I48" s="102"/>
      <c r="J48" t="s">
        <v>1251</v>
      </c>
      <c r="K48" t="s">
        <v>1273</v>
      </c>
    </row>
    <row r="49" spans="2:11">
      <c r="B49" s="112" t="str">
        <f t="shared" si="8"/>
        <v>WBA CM EthernetADSL/VDSL/SDSLNLS type 1</v>
      </c>
      <c r="C49" s="76" t="s">
        <v>121</v>
      </c>
      <c r="D49" s="77" t="s">
        <v>1296</v>
      </c>
      <c r="E49" s="75" t="s">
        <v>431</v>
      </c>
      <c r="G49" s="102"/>
      <c r="H49" s="101">
        <v>40</v>
      </c>
      <c r="I49" s="102"/>
      <c r="J49" t="s">
        <v>1252</v>
      </c>
      <c r="K49" t="s">
        <v>1273</v>
      </c>
    </row>
    <row r="50" spans="2:11">
      <c r="B50" s="112" t="str">
        <f t="shared" si="8"/>
        <v>WBA CM EthernetADSL/VDSL/SDSLNLS 1 DHZ Kruisdraden</v>
      </c>
      <c r="C50" s="76" t="s">
        <v>121</v>
      </c>
      <c r="D50" s="77" t="s">
        <v>1296</v>
      </c>
      <c r="E50" s="75" t="s">
        <v>1275</v>
      </c>
      <c r="G50" s="102"/>
      <c r="H50" s="101">
        <v>28.37</v>
      </c>
      <c r="I50" s="102"/>
      <c r="J50" t="s">
        <v>1253</v>
      </c>
      <c r="K50" t="s">
        <v>1273</v>
      </c>
    </row>
    <row r="51" spans="2:11">
      <c r="B51" s="112" t="str">
        <f t="shared" si="8"/>
        <v>WBA CM EthernetADSL/VDSL/SDSLNLS 1 DHZ Kruisdraden &amp; TL</v>
      </c>
      <c r="C51" s="76" t="s">
        <v>121</v>
      </c>
      <c r="D51" s="77" t="s">
        <v>1296</v>
      </c>
      <c r="E51" s="75" t="s">
        <v>1276</v>
      </c>
      <c r="G51" s="102"/>
      <c r="H51" s="101">
        <v>-23.26</v>
      </c>
      <c r="I51" s="102"/>
      <c r="J51" t="s">
        <v>1254</v>
      </c>
      <c r="K51" t="s">
        <v>1273</v>
      </c>
    </row>
    <row r="52" spans="2:11">
      <c r="B52" s="112" t="str">
        <f t="shared" si="8"/>
        <v>WBA CM EthernetADSL/VDSL/SDSLNLS type 2</v>
      </c>
      <c r="C52" s="76" t="s">
        <v>121</v>
      </c>
      <c r="D52" s="77" t="s">
        <v>1296</v>
      </c>
      <c r="E52" s="75" t="s">
        <v>432</v>
      </c>
      <c r="G52" s="102"/>
      <c r="H52" s="101">
        <v>343.6</v>
      </c>
      <c r="I52" s="102"/>
      <c r="J52" t="s">
        <v>1255</v>
      </c>
      <c r="K52" t="s">
        <v>1273</v>
      </c>
    </row>
    <row r="53" spans="2:11">
      <c r="B53" s="112" t="str">
        <f t="shared" si="8"/>
        <v>WBA CM EthernetADSL/VDSL/SDSLNLS 2 DHZ TL</v>
      </c>
      <c r="C53" s="76" t="s">
        <v>121</v>
      </c>
      <c r="D53" s="77" t="s">
        <v>1296</v>
      </c>
      <c r="E53" s="75" t="s">
        <v>1277</v>
      </c>
      <c r="G53" s="102"/>
      <c r="H53" s="101">
        <v>291.97000000000003</v>
      </c>
      <c r="I53" s="102"/>
      <c r="J53" t="s">
        <v>1256</v>
      </c>
      <c r="K53" t="s">
        <v>1273</v>
      </c>
    </row>
    <row r="54" spans="2:11">
      <c r="B54" s="112" t="str">
        <f t="shared" si="8"/>
        <v>WBA CM EthernetADSL/VDSL/SDSLNLS 2 DHZ Kruisdraden</v>
      </c>
      <c r="C54" s="76" t="s">
        <v>121</v>
      </c>
      <c r="D54" s="77" t="s">
        <v>1296</v>
      </c>
      <c r="E54" s="75" t="s">
        <v>1278</v>
      </c>
      <c r="G54" s="102"/>
      <c r="H54" s="101">
        <v>331.97</v>
      </c>
      <c r="I54" s="102"/>
      <c r="J54" t="s">
        <v>1257</v>
      </c>
      <c r="K54" t="s">
        <v>1273</v>
      </c>
    </row>
    <row r="55" spans="2:11">
      <c r="B55" s="112" t="str">
        <f t="shared" si="8"/>
        <v>WBA CM EthernetADSL/VDSL/SDSLNLS 2 DHZ Kruisdraden &amp; TL</v>
      </c>
      <c r="C55" s="76" t="s">
        <v>121</v>
      </c>
      <c r="D55" s="77" t="s">
        <v>1296</v>
      </c>
      <c r="E55" s="75" t="s">
        <v>1279</v>
      </c>
      <c r="G55" s="102"/>
      <c r="H55" s="101">
        <v>280.33999999999997</v>
      </c>
      <c r="I55" s="102"/>
      <c r="J55" t="s">
        <v>1258</v>
      </c>
      <c r="K55" t="s">
        <v>1273</v>
      </c>
    </row>
    <row r="56" spans="2:11">
      <c r="B56" s="112" t="str">
        <f t="shared" si="8"/>
        <v>WBA CM EthernetADSL/VDSL/SDSLNLS type 3</v>
      </c>
      <c r="C56" s="76" t="s">
        <v>121</v>
      </c>
      <c r="D56" s="77" t="s">
        <v>1296</v>
      </c>
      <c r="E56" s="75" t="s">
        <v>433</v>
      </c>
      <c r="G56" s="102"/>
      <c r="H56" s="101">
        <v>506.4</v>
      </c>
      <c r="I56" s="102"/>
      <c r="J56" t="s">
        <v>1259</v>
      </c>
      <c r="K56" t="s">
        <v>1273</v>
      </c>
    </row>
    <row r="57" spans="2:11">
      <c r="B57" s="112" t="str">
        <f t="shared" si="8"/>
        <v>WBA CM EthernetADSL/VDSL/SDSLNLS 3 DHZ TL</v>
      </c>
      <c r="C57" s="76" t="s">
        <v>121</v>
      </c>
      <c r="D57" s="77" t="s">
        <v>1296</v>
      </c>
      <c r="E57" s="75" t="s">
        <v>1280</v>
      </c>
      <c r="G57" s="102"/>
      <c r="H57" s="101">
        <v>454.78</v>
      </c>
      <c r="I57" s="102"/>
      <c r="J57" t="s">
        <v>1260</v>
      </c>
      <c r="K57" t="s">
        <v>1273</v>
      </c>
    </row>
    <row r="58" spans="2:11">
      <c r="B58" s="112" t="str">
        <f t="shared" si="8"/>
        <v>WBA CM EthernetADSL/VDSL/SDSLNLS 3 DHZ Kruisdraden</v>
      </c>
      <c r="C58" s="76" t="s">
        <v>121</v>
      </c>
      <c r="D58" s="77" t="s">
        <v>1296</v>
      </c>
      <c r="E58" s="75" t="s">
        <v>1281</v>
      </c>
      <c r="G58" s="102"/>
      <c r="H58" s="101">
        <v>494.79</v>
      </c>
      <c r="I58" s="102"/>
      <c r="J58" t="s">
        <v>1261</v>
      </c>
      <c r="K58" t="s">
        <v>1273</v>
      </c>
    </row>
    <row r="59" spans="2:11">
      <c r="B59" s="112" t="str">
        <f t="shared" si="8"/>
        <v>WBA CM EthernetADSL/VDSL/SDSLNLS 3 DHZ Kruisdraden &amp; TL</v>
      </c>
      <c r="C59" s="76" t="s">
        <v>121</v>
      </c>
      <c r="D59" s="77" t="s">
        <v>1296</v>
      </c>
      <c r="E59" s="75" t="s">
        <v>1282</v>
      </c>
      <c r="G59" s="102"/>
      <c r="H59" s="101">
        <v>443.17</v>
      </c>
      <c r="I59" s="102"/>
      <c r="J59" t="s">
        <v>1262</v>
      </c>
      <c r="K59" t="s">
        <v>1273</v>
      </c>
    </row>
    <row r="60" spans="2:11">
      <c r="B60" s="112" t="str">
        <f t="shared" si="8"/>
        <v>WBA CM EthernetADSL/VDSL/SDSLWCD</v>
      </c>
      <c r="C60" s="76" t="s">
        <v>121</v>
      </c>
      <c r="D60" s="77" t="s">
        <v>1296</v>
      </c>
      <c r="E60" s="75" t="s">
        <v>1283</v>
      </c>
      <c r="G60" s="102"/>
      <c r="H60" s="101">
        <v>34</v>
      </c>
      <c r="I60" s="102"/>
      <c r="J60" t="s">
        <v>1263</v>
      </c>
      <c r="K60" t="s">
        <v>1273</v>
      </c>
    </row>
    <row r="61" spans="2:11">
      <c r="B61" s="112" t="str">
        <f t="shared" si="8"/>
        <v>WBA CM EthernetADSL/VDSL/SDSLDHZ "Nazorg en Service"</v>
      </c>
      <c r="C61" s="76" t="s">
        <v>121</v>
      </c>
      <c r="D61" s="77" t="s">
        <v>1296</v>
      </c>
      <c r="E61" s="75" t="s">
        <v>1284</v>
      </c>
      <c r="G61" s="102"/>
      <c r="H61" s="101">
        <v>-39.549999999999997</v>
      </c>
      <c r="I61" s="102"/>
      <c r="J61" t="s">
        <v>1264</v>
      </c>
      <c r="K61" t="s">
        <v>1273</v>
      </c>
    </row>
    <row r="62" spans="2:11">
      <c r="B62" s="114"/>
      <c r="C62" s="76"/>
      <c r="D62" s="77"/>
      <c r="E62" s="75"/>
      <c r="G62" s="117"/>
      <c r="I62" s="117"/>
    </row>
    <row r="63" spans="2:11">
      <c r="B63" s="114"/>
      <c r="C63" s="76"/>
      <c r="D63" s="77"/>
      <c r="E63" s="75"/>
      <c r="G63" s="117"/>
      <c r="I63" s="117"/>
    </row>
    <row r="64" spans="2:11">
      <c r="B64" s="114"/>
      <c r="C64" s="76"/>
      <c r="D64" s="77"/>
      <c r="E64" s="75"/>
      <c r="G64" s="117"/>
      <c r="I64" s="117"/>
    </row>
    <row r="65" spans="2:11">
      <c r="B65" s="112" t="str">
        <f t="shared" ref="B65:B68" si="9">C65&amp;D65&amp;E65&amp;F65</f>
        <v>WBA CM EthernetVDSL BondingNLS type 1</v>
      </c>
      <c r="C65" s="76" t="s">
        <v>121</v>
      </c>
      <c r="D65" s="75" t="s">
        <v>170</v>
      </c>
      <c r="E65" s="75" t="s">
        <v>431</v>
      </c>
      <c r="G65" s="102"/>
      <c r="H65" s="101">
        <v>149.44999999999999</v>
      </c>
      <c r="I65" s="102"/>
      <c r="J65" t="s">
        <v>1265</v>
      </c>
      <c r="K65" t="s">
        <v>1273</v>
      </c>
    </row>
    <row r="66" spans="2:11">
      <c r="B66" s="112" t="str">
        <f t="shared" si="9"/>
        <v>WBA CM EthernetVDSL BondingNLS type 2/3</v>
      </c>
      <c r="C66" s="76" t="s">
        <v>121</v>
      </c>
      <c r="D66" s="75" t="s">
        <v>170</v>
      </c>
      <c r="E66" s="75" t="s">
        <v>434</v>
      </c>
      <c r="G66" s="102"/>
      <c r="H66" s="101">
        <v>620.59</v>
      </c>
      <c r="I66" s="102"/>
      <c r="J66" t="s">
        <v>1266</v>
      </c>
      <c r="K66" t="s">
        <v>1273</v>
      </c>
    </row>
    <row r="67" spans="2:11">
      <c r="B67" s="112" t="str">
        <f t="shared" si="9"/>
        <v>WBA CM EthernetVDSL BondingNLS type 1 DHZ</v>
      </c>
      <c r="C67" s="76" t="s">
        <v>121</v>
      </c>
      <c r="D67" s="75" t="s">
        <v>170</v>
      </c>
      <c r="E67" s="75" t="s">
        <v>435</v>
      </c>
      <c r="G67" s="102"/>
      <c r="H67" s="101">
        <v>41.1</v>
      </c>
      <c r="I67" s="102"/>
      <c r="J67" t="s">
        <v>1267</v>
      </c>
      <c r="K67" t="s">
        <v>1273</v>
      </c>
    </row>
    <row r="68" spans="2:11">
      <c r="B68" s="112" t="str">
        <f t="shared" si="9"/>
        <v>WBA CM EthernetVDSL BondingNLS type 2/3 DHZ</v>
      </c>
      <c r="C68" s="76" t="s">
        <v>121</v>
      </c>
      <c r="D68" s="75" t="s">
        <v>170</v>
      </c>
      <c r="E68" s="75" t="s">
        <v>436</v>
      </c>
      <c r="G68" s="102"/>
      <c r="H68" s="101">
        <v>511.23</v>
      </c>
      <c r="I68" s="102"/>
      <c r="J68" t="s">
        <v>1268</v>
      </c>
      <c r="K68" t="s">
        <v>1273</v>
      </c>
    </row>
    <row r="69" spans="2:11">
      <c r="B69" s="114"/>
      <c r="C69" s="76"/>
      <c r="D69" s="77"/>
      <c r="E69" s="75"/>
      <c r="G69" s="117"/>
      <c r="I69" s="117"/>
    </row>
    <row r="70" spans="2:11">
      <c r="B70" s="114"/>
      <c r="C70" s="76"/>
      <c r="D70" s="77"/>
      <c r="E70" s="75"/>
      <c r="G70" s="117"/>
      <c r="I70" s="117"/>
    </row>
    <row r="71" spans="2:11">
      <c r="B71" s="114"/>
      <c r="C71" s="76"/>
      <c r="D71" s="77"/>
      <c r="E71" s="75"/>
      <c r="G71" s="117"/>
      <c r="I71" s="117"/>
    </row>
    <row r="72" spans="2:11">
      <c r="B72" s="112" t="str">
        <f t="shared" ref="B72:B76" si="10">C72&amp;D72&amp;E72&amp;F72</f>
        <v>WBA CM EthernetFttHNLS type 6, 9</v>
      </c>
      <c r="C72" s="76" t="s">
        <v>121</v>
      </c>
      <c r="D72" s="75" t="s">
        <v>119</v>
      </c>
      <c r="E72" s="75" t="s">
        <v>1285</v>
      </c>
      <c r="G72" s="102"/>
      <c r="H72" s="101">
        <v>0</v>
      </c>
      <c r="I72" s="102"/>
      <c r="J72" t="s">
        <v>1269</v>
      </c>
      <c r="K72" t="s">
        <v>1273</v>
      </c>
    </row>
    <row r="73" spans="2:11">
      <c r="B73" s="112" t="str">
        <f t="shared" si="10"/>
        <v>WBA CM EthernetFttHNLS type 7</v>
      </c>
      <c r="C73" s="76" t="s">
        <v>121</v>
      </c>
      <c r="D73" s="75" t="s">
        <v>119</v>
      </c>
      <c r="E73" s="75" t="s">
        <v>1286</v>
      </c>
      <c r="G73" s="102"/>
      <c r="H73" s="101">
        <v>0</v>
      </c>
      <c r="I73" s="102"/>
      <c r="J73" t="s">
        <v>1270</v>
      </c>
      <c r="K73" t="s">
        <v>1273</v>
      </c>
    </row>
    <row r="74" spans="2:11">
      <c r="B74" s="112" t="str">
        <f t="shared" si="10"/>
        <v>WBA CM EthernetFttHNLS type 8</v>
      </c>
      <c r="C74" s="76" t="s">
        <v>121</v>
      </c>
      <c r="D74" s="75" t="s">
        <v>119</v>
      </c>
      <c r="E74" s="75" t="s">
        <v>1287</v>
      </c>
      <c r="G74" s="102"/>
      <c r="H74" s="101">
        <v>0</v>
      </c>
      <c r="I74" s="102"/>
      <c r="J74" t="s">
        <v>1271</v>
      </c>
      <c r="K74" t="s">
        <v>1273</v>
      </c>
    </row>
    <row r="75" spans="2:11">
      <c r="B75" s="112" t="str">
        <f t="shared" si="10"/>
        <v>WBA CM EthernetFttHDHZ Nazorg &amp; Service</v>
      </c>
      <c r="C75" s="76" t="s">
        <v>121</v>
      </c>
      <c r="D75" s="75" t="s">
        <v>119</v>
      </c>
      <c r="E75" s="75" t="s">
        <v>1742</v>
      </c>
      <c r="G75" s="102"/>
      <c r="H75" s="101">
        <v>-35</v>
      </c>
      <c r="I75" s="102"/>
    </row>
    <row r="76" spans="2:11">
      <c r="B76" s="112" t="str">
        <f t="shared" si="10"/>
        <v>WBA CM EthernetFttHNT install NWAP</v>
      </c>
      <c r="C76" s="76" t="s">
        <v>121</v>
      </c>
      <c r="D76" s="75" t="s">
        <v>119</v>
      </c>
      <c r="E76" s="75" t="s">
        <v>1708</v>
      </c>
      <c r="G76" s="102"/>
      <c r="H76" s="101">
        <v>45</v>
      </c>
      <c r="I76" s="102"/>
    </row>
    <row r="77" spans="2:11">
      <c r="B77" s="112" t="str">
        <f>C77&amp;D77&amp;E77&amp;F77</f>
        <v>WBA CM EthernetFttHNLS type 21, 23, 24</v>
      </c>
      <c r="C77" s="76" t="s">
        <v>121</v>
      </c>
      <c r="D77" s="75" t="s">
        <v>119</v>
      </c>
      <c r="E77" s="75" t="s">
        <v>1288</v>
      </c>
      <c r="G77" s="102"/>
      <c r="H77" s="101">
        <v>0</v>
      </c>
      <c r="I77" s="102"/>
      <c r="J77" t="s">
        <v>1272</v>
      </c>
      <c r="K77" t="s">
        <v>1273</v>
      </c>
    </row>
    <row r="78" spans="2:11">
      <c r="B78" s="114"/>
      <c r="C78" s="75"/>
      <c r="D78" s="77"/>
      <c r="E78" s="75"/>
      <c r="G78" s="117"/>
      <c r="I78" s="117"/>
    </row>
    <row r="79" spans="2:11">
      <c r="B79" s="114"/>
      <c r="C79" s="75"/>
      <c r="D79" s="77"/>
      <c r="E79" s="75"/>
      <c r="G79" s="117"/>
      <c r="I79" s="117"/>
    </row>
    <row r="80" spans="2:11">
      <c r="B80" s="112" t="str">
        <f t="shared" ref="B80:B93" si="11">C80&amp;D80&amp;E80&amp;F80</f>
        <v>WBA ZM EthernetADSL/VDSL/SDSLNLS type 1 ZTL/DHZ TL</v>
      </c>
      <c r="C80" s="76" t="s">
        <v>122</v>
      </c>
      <c r="D80" s="77" t="s">
        <v>1296</v>
      </c>
      <c r="E80" s="75" t="s">
        <v>1274</v>
      </c>
      <c r="G80" s="102"/>
      <c r="H80" s="101">
        <v>0</v>
      </c>
      <c r="I80" s="102"/>
      <c r="J80" t="s">
        <v>1251</v>
      </c>
      <c r="K80" t="s">
        <v>1273</v>
      </c>
    </row>
    <row r="81" spans="2:11">
      <c r="B81" s="112" t="str">
        <f t="shared" si="11"/>
        <v>WBA ZM EthernetADSL/VDSL/SDSLNLS type 1</v>
      </c>
      <c r="C81" s="76" t="s">
        <v>122</v>
      </c>
      <c r="D81" s="77" t="s">
        <v>1296</v>
      </c>
      <c r="E81" s="75" t="s">
        <v>431</v>
      </c>
      <c r="G81" s="102"/>
      <c r="H81" s="101">
        <v>40</v>
      </c>
      <c r="I81" s="102"/>
      <c r="J81" t="s">
        <v>1252</v>
      </c>
      <c r="K81" t="s">
        <v>1273</v>
      </c>
    </row>
    <row r="82" spans="2:11">
      <c r="B82" s="112" t="str">
        <f t="shared" si="11"/>
        <v>WBA ZM EthernetADSL/VDSL/SDSLNLS 1 DHZ Kruisdraden</v>
      </c>
      <c r="C82" s="76" t="s">
        <v>122</v>
      </c>
      <c r="D82" s="77" t="s">
        <v>1296</v>
      </c>
      <c r="E82" s="75" t="s">
        <v>1275</v>
      </c>
      <c r="G82" s="102"/>
      <c r="H82" s="101">
        <v>28.37</v>
      </c>
      <c r="I82" s="102"/>
      <c r="J82" t="s">
        <v>1253</v>
      </c>
      <c r="K82" t="s">
        <v>1273</v>
      </c>
    </row>
    <row r="83" spans="2:11">
      <c r="B83" s="112" t="str">
        <f t="shared" si="11"/>
        <v>WBA ZM EthernetADSL/VDSL/SDSLNLS 1 DHZ Kruisdraden &amp; TL</v>
      </c>
      <c r="C83" s="76" t="s">
        <v>122</v>
      </c>
      <c r="D83" s="77" t="s">
        <v>1296</v>
      </c>
      <c r="E83" s="75" t="s">
        <v>1276</v>
      </c>
      <c r="G83" s="102"/>
      <c r="H83" s="101">
        <v>-23.26</v>
      </c>
      <c r="I83" s="102"/>
      <c r="J83" t="s">
        <v>1254</v>
      </c>
      <c r="K83" t="s">
        <v>1273</v>
      </c>
    </row>
    <row r="84" spans="2:11">
      <c r="B84" s="112" t="str">
        <f t="shared" si="11"/>
        <v>WBA ZM EthernetADSL/VDSL/SDSLNLS type 2</v>
      </c>
      <c r="C84" s="76" t="s">
        <v>122</v>
      </c>
      <c r="D84" s="77" t="s">
        <v>1296</v>
      </c>
      <c r="E84" s="75" t="s">
        <v>432</v>
      </c>
      <c r="G84" s="102"/>
      <c r="H84" s="101">
        <v>308</v>
      </c>
      <c r="I84" s="102"/>
      <c r="J84" t="s">
        <v>1255</v>
      </c>
      <c r="K84" t="s">
        <v>1273</v>
      </c>
    </row>
    <row r="85" spans="2:11">
      <c r="B85" s="112" t="str">
        <f t="shared" si="11"/>
        <v>WBA ZM EthernetADSL/VDSL/SDSLNLS 2 DHZ TL</v>
      </c>
      <c r="C85" s="76" t="s">
        <v>122</v>
      </c>
      <c r="D85" s="77" t="s">
        <v>1296</v>
      </c>
      <c r="E85" s="75" t="s">
        <v>1277</v>
      </c>
      <c r="G85" s="102"/>
      <c r="H85" s="101">
        <v>256.37</v>
      </c>
      <c r="I85" s="102"/>
      <c r="J85" t="s">
        <v>1256</v>
      </c>
      <c r="K85" t="s">
        <v>1273</v>
      </c>
    </row>
    <row r="86" spans="2:11">
      <c r="B86" s="112" t="str">
        <f t="shared" si="11"/>
        <v>WBA ZM EthernetADSL/VDSL/SDSLNLS 2 DHZ Kruisdraden</v>
      </c>
      <c r="C86" s="76" t="s">
        <v>122</v>
      </c>
      <c r="D86" s="77" t="s">
        <v>1296</v>
      </c>
      <c r="E86" s="75" t="s">
        <v>1278</v>
      </c>
      <c r="G86" s="102"/>
      <c r="H86" s="101">
        <v>296.37</v>
      </c>
      <c r="I86" s="102"/>
      <c r="J86" t="s">
        <v>1257</v>
      </c>
      <c r="K86" t="s">
        <v>1273</v>
      </c>
    </row>
    <row r="87" spans="2:11">
      <c r="B87" s="112" t="str">
        <f t="shared" si="11"/>
        <v>WBA ZM EthernetADSL/VDSL/SDSLNLS 2 DHZ Kruisdraden &amp; TL</v>
      </c>
      <c r="C87" s="76" t="s">
        <v>122</v>
      </c>
      <c r="D87" s="77" t="s">
        <v>1296</v>
      </c>
      <c r="E87" s="75" t="s">
        <v>1279</v>
      </c>
      <c r="G87" s="102"/>
      <c r="H87" s="101">
        <v>244.74</v>
      </c>
      <c r="I87" s="102"/>
      <c r="J87" t="s">
        <v>1258</v>
      </c>
      <c r="K87" t="s">
        <v>1273</v>
      </c>
    </row>
    <row r="88" spans="2:11">
      <c r="B88" s="112" t="str">
        <f t="shared" si="11"/>
        <v>WBA ZM EthernetADSL/VDSL/SDSLNLS type 3</v>
      </c>
      <c r="C88" s="76" t="s">
        <v>122</v>
      </c>
      <c r="D88" s="77" t="s">
        <v>1296</v>
      </c>
      <c r="E88" s="75" t="s">
        <v>433</v>
      </c>
      <c r="G88" s="102"/>
      <c r="H88" s="101">
        <v>506.4</v>
      </c>
      <c r="I88" s="102"/>
      <c r="J88" t="s">
        <v>1259</v>
      </c>
      <c r="K88" t="s">
        <v>1273</v>
      </c>
    </row>
    <row r="89" spans="2:11">
      <c r="B89" s="112" t="str">
        <f t="shared" si="11"/>
        <v>WBA ZM EthernetADSL/VDSL/SDSLNLS 3 DHZ TL</v>
      </c>
      <c r="C89" s="76" t="s">
        <v>122</v>
      </c>
      <c r="D89" s="77" t="s">
        <v>1296</v>
      </c>
      <c r="E89" s="75" t="s">
        <v>1280</v>
      </c>
      <c r="G89" s="102"/>
      <c r="H89" s="101">
        <v>454.78</v>
      </c>
      <c r="I89" s="102"/>
      <c r="J89" t="s">
        <v>1260</v>
      </c>
      <c r="K89" t="s">
        <v>1273</v>
      </c>
    </row>
    <row r="90" spans="2:11">
      <c r="B90" s="112" t="str">
        <f t="shared" si="11"/>
        <v>WBA ZM EthernetADSL/VDSL/SDSLNLS 3 DHZ Kruisdraden</v>
      </c>
      <c r="C90" s="76" t="s">
        <v>122</v>
      </c>
      <c r="D90" s="77" t="s">
        <v>1296</v>
      </c>
      <c r="E90" s="75" t="s">
        <v>1281</v>
      </c>
      <c r="G90" s="102"/>
      <c r="H90" s="101">
        <v>494.79</v>
      </c>
      <c r="I90" s="102"/>
      <c r="J90" t="s">
        <v>1261</v>
      </c>
      <c r="K90" t="s">
        <v>1273</v>
      </c>
    </row>
    <row r="91" spans="2:11">
      <c r="B91" s="112" t="str">
        <f t="shared" si="11"/>
        <v>WBA ZM EthernetADSL/VDSL/SDSLNLS 3 DHZ Kruisdraden &amp; TL</v>
      </c>
      <c r="C91" s="76" t="s">
        <v>122</v>
      </c>
      <c r="D91" s="77" t="s">
        <v>1296</v>
      </c>
      <c r="E91" s="75" t="s">
        <v>1282</v>
      </c>
      <c r="G91" s="102"/>
      <c r="H91" s="101">
        <v>443.17</v>
      </c>
      <c r="I91" s="102"/>
      <c r="J91" t="s">
        <v>1262</v>
      </c>
      <c r="K91" t="s">
        <v>1273</v>
      </c>
    </row>
    <row r="92" spans="2:11">
      <c r="B92" s="112" t="str">
        <f t="shared" si="11"/>
        <v>WBA ZM EthernetADSL/VDSL/SDSLWCD</v>
      </c>
      <c r="C92" s="76" t="s">
        <v>122</v>
      </c>
      <c r="D92" s="77" t="s">
        <v>1296</v>
      </c>
      <c r="E92" s="75" t="s">
        <v>1283</v>
      </c>
      <c r="G92" s="102"/>
      <c r="H92" s="101">
        <v>34</v>
      </c>
      <c r="I92" s="102"/>
      <c r="J92" t="s">
        <v>1263</v>
      </c>
      <c r="K92" t="s">
        <v>1273</v>
      </c>
    </row>
    <row r="93" spans="2:11">
      <c r="B93" s="112" t="str">
        <f t="shared" si="11"/>
        <v>WBA ZM EthernetADSL/VDSL/SDSLDHZ "Nazorg en Service"</v>
      </c>
      <c r="C93" s="76" t="s">
        <v>122</v>
      </c>
      <c r="D93" s="77" t="s">
        <v>1296</v>
      </c>
      <c r="E93" s="75" t="s">
        <v>1284</v>
      </c>
      <c r="G93" s="102"/>
      <c r="H93" s="101">
        <v>-39.549999999999997</v>
      </c>
      <c r="I93" s="102"/>
      <c r="J93" t="s">
        <v>1264</v>
      </c>
      <c r="K93" t="s">
        <v>1273</v>
      </c>
    </row>
    <row r="94" spans="2:11">
      <c r="B94" s="114"/>
      <c r="C94" s="75"/>
      <c r="D94" s="77"/>
      <c r="E94" s="75"/>
      <c r="G94" s="117"/>
      <c r="I94" s="117"/>
    </row>
    <row r="95" spans="2:11">
      <c r="B95" s="114"/>
      <c r="C95" s="75"/>
      <c r="D95" s="77"/>
      <c r="E95" s="75"/>
      <c r="G95" s="117"/>
      <c r="I95" s="117"/>
    </row>
    <row r="96" spans="2:11">
      <c r="B96" s="114"/>
      <c r="C96" s="75"/>
      <c r="D96" s="77"/>
      <c r="E96" s="75"/>
      <c r="G96" s="117"/>
      <c r="I96" s="117"/>
    </row>
    <row r="97" spans="2:11">
      <c r="B97" s="112" t="str">
        <f t="shared" ref="B97:B100" si="12">C97&amp;D97&amp;E97&amp;F97</f>
        <v>WBA ZM EthernetVDSL BondingNLS type 1</v>
      </c>
      <c r="C97" s="76" t="s">
        <v>122</v>
      </c>
      <c r="D97" s="75" t="s">
        <v>170</v>
      </c>
      <c r="E97" s="75" t="s">
        <v>431</v>
      </c>
      <c r="G97" s="102"/>
      <c r="H97" s="101">
        <v>149.44999999999999</v>
      </c>
      <c r="I97" s="102"/>
      <c r="J97" t="s">
        <v>1265</v>
      </c>
      <c r="K97" t="s">
        <v>1273</v>
      </c>
    </row>
    <row r="98" spans="2:11">
      <c r="B98" s="112" t="str">
        <f t="shared" si="12"/>
        <v>WBA ZM EthernetVDSL BondingNLS type 2/3</v>
      </c>
      <c r="C98" s="76" t="s">
        <v>122</v>
      </c>
      <c r="D98" s="75" t="s">
        <v>170</v>
      </c>
      <c r="E98" s="75" t="s">
        <v>434</v>
      </c>
      <c r="G98" s="102"/>
      <c r="H98" s="101">
        <v>620.59</v>
      </c>
      <c r="I98" s="102"/>
      <c r="J98" t="s">
        <v>1266</v>
      </c>
      <c r="K98" t="s">
        <v>1273</v>
      </c>
    </row>
    <row r="99" spans="2:11">
      <c r="B99" s="112" t="str">
        <f t="shared" si="12"/>
        <v>WBA ZM EthernetVDSL BondingNLS type 1 DHZ</v>
      </c>
      <c r="C99" s="76" t="s">
        <v>122</v>
      </c>
      <c r="D99" s="75" t="s">
        <v>170</v>
      </c>
      <c r="E99" s="75" t="s">
        <v>435</v>
      </c>
      <c r="G99" s="102"/>
      <c r="H99" s="101">
        <v>41.1</v>
      </c>
      <c r="I99" s="102"/>
      <c r="J99" t="s">
        <v>1267</v>
      </c>
      <c r="K99" t="s">
        <v>1273</v>
      </c>
    </row>
    <row r="100" spans="2:11">
      <c r="B100" s="112" t="str">
        <f t="shared" si="12"/>
        <v>WBA ZM EthernetVDSL BondingNLS type 2/3 DHZ</v>
      </c>
      <c r="C100" s="76" t="s">
        <v>122</v>
      </c>
      <c r="D100" s="75" t="s">
        <v>170</v>
      </c>
      <c r="E100" s="75" t="s">
        <v>436</v>
      </c>
      <c r="G100" s="102"/>
      <c r="H100" s="101">
        <v>511.23</v>
      </c>
      <c r="I100" s="102"/>
      <c r="J100" t="s">
        <v>1268</v>
      </c>
      <c r="K100" t="s">
        <v>1273</v>
      </c>
    </row>
    <row r="101" spans="2:11">
      <c r="B101" s="114"/>
      <c r="C101" s="75"/>
      <c r="D101" s="77"/>
      <c r="E101" s="75"/>
      <c r="G101" s="117"/>
      <c r="I101" s="117"/>
    </row>
    <row r="102" spans="2:11">
      <c r="B102" s="114"/>
      <c r="C102" s="75"/>
      <c r="D102" s="77"/>
      <c r="E102" s="75"/>
      <c r="G102" s="117"/>
      <c r="I102" s="117"/>
    </row>
    <row r="103" spans="2:11">
      <c r="B103" s="114"/>
      <c r="C103" s="75"/>
      <c r="D103" s="77"/>
      <c r="E103" s="75"/>
      <c r="G103" s="117"/>
      <c r="I103" s="117"/>
    </row>
    <row r="104" spans="2:11">
      <c r="B104" s="112" t="str">
        <f t="shared" ref="B104:B109" si="13">C104&amp;D104&amp;E104&amp;F104</f>
        <v>WBA ZM EthernetFttHNLS type 6, 9</v>
      </c>
      <c r="C104" s="76" t="s">
        <v>122</v>
      </c>
      <c r="D104" s="75" t="s">
        <v>119</v>
      </c>
      <c r="E104" s="75" t="s">
        <v>1285</v>
      </c>
      <c r="G104" s="102"/>
      <c r="H104" s="101">
        <v>0</v>
      </c>
      <c r="I104" s="102"/>
      <c r="J104" t="s">
        <v>1269</v>
      </c>
      <c r="K104" t="s">
        <v>1273</v>
      </c>
    </row>
    <row r="105" spans="2:11">
      <c r="B105" s="112" t="str">
        <f t="shared" si="13"/>
        <v>WBA ZM EthernetFttHNLS type 7</v>
      </c>
      <c r="C105" s="76" t="s">
        <v>122</v>
      </c>
      <c r="D105" s="75" t="s">
        <v>119</v>
      </c>
      <c r="E105" s="75" t="s">
        <v>1286</v>
      </c>
      <c r="G105" s="102"/>
      <c r="H105" s="101">
        <v>0</v>
      </c>
      <c r="I105" s="102"/>
      <c r="J105" t="s">
        <v>1270</v>
      </c>
      <c r="K105" t="s">
        <v>1273</v>
      </c>
    </row>
    <row r="106" spans="2:11">
      <c r="B106" s="112" t="str">
        <f t="shared" si="13"/>
        <v>WBA ZM EthernetFttHNLS type 8</v>
      </c>
      <c r="C106" s="76" t="s">
        <v>122</v>
      </c>
      <c r="D106" s="75" t="s">
        <v>119</v>
      </c>
      <c r="E106" s="75" t="s">
        <v>1287</v>
      </c>
      <c r="G106" s="102"/>
      <c r="H106" s="101">
        <v>0</v>
      </c>
      <c r="I106" s="102"/>
      <c r="J106" t="s">
        <v>1271</v>
      </c>
      <c r="K106" t="s">
        <v>1273</v>
      </c>
    </row>
    <row r="107" spans="2:11">
      <c r="B107" s="112" t="str">
        <f>C107&amp;D107&amp;E107&amp;F107</f>
        <v>WBA ZM EthernetFttHNT install LWAP</v>
      </c>
      <c r="C107" s="76" t="s">
        <v>122</v>
      </c>
      <c r="D107" s="75" t="s">
        <v>119</v>
      </c>
      <c r="E107" s="75" t="s">
        <v>1709</v>
      </c>
      <c r="G107" s="102"/>
      <c r="H107" s="101">
        <v>38.53</v>
      </c>
      <c r="I107" s="102"/>
      <c r="J107" t="s">
        <v>1710</v>
      </c>
      <c r="K107" t="s">
        <v>1273</v>
      </c>
    </row>
    <row r="108" spans="2:11">
      <c r="B108" s="112" t="str">
        <f>C108&amp;D108&amp;E108&amp;F108</f>
        <v>WBA ZM EthernetFttHDHZ Nazorg &amp; Service</v>
      </c>
      <c r="C108" s="76" t="s">
        <v>122</v>
      </c>
      <c r="D108" s="75" t="s">
        <v>119</v>
      </c>
      <c r="E108" s="75" t="s">
        <v>1742</v>
      </c>
      <c r="G108" s="102"/>
      <c r="H108" s="101">
        <v>-35</v>
      </c>
      <c r="I108" s="102"/>
    </row>
    <row r="109" spans="2:11">
      <c r="B109" s="112" t="str">
        <f t="shared" si="13"/>
        <v>WBA ZM EthernetFttHNLS type 21, 23, 24</v>
      </c>
      <c r="C109" s="76" t="s">
        <v>122</v>
      </c>
      <c r="D109" s="75" t="s">
        <v>119</v>
      </c>
      <c r="E109" s="75" t="s">
        <v>1288</v>
      </c>
      <c r="G109" s="102"/>
      <c r="H109" s="101">
        <v>0</v>
      </c>
      <c r="I109" s="102"/>
      <c r="J109" t="s">
        <v>1272</v>
      </c>
      <c r="K109" t="s">
        <v>1273</v>
      </c>
    </row>
    <row r="110" spans="2:11">
      <c r="B110" s="114"/>
      <c r="C110" s="75"/>
      <c r="D110" s="77"/>
      <c r="E110" s="75"/>
      <c r="G110" s="117"/>
      <c r="I110" s="117"/>
    </row>
    <row r="111" spans="2:11">
      <c r="B111" s="114"/>
      <c r="C111" s="75"/>
      <c r="D111" s="77"/>
      <c r="E111" s="75"/>
      <c r="G111" s="117"/>
      <c r="I111" s="117"/>
    </row>
    <row r="112" spans="2:11" ht="18">
      <c r="B112" s="66" t="s">
        <v>180</v>
      </c>
      <c r="C112" s="67"/>
      <c r="D112" s="66"/>
      <c r="E112" s="68"/>
      <c r="F112" s="69"/>
      <c r="G112" s="69"/>
      <c r="H112"/>
      <c r="I112"/>
    </row>
    <row r="113" spans="1:10">
      <c r="B113" s="70"/>
      <c r="C113" s="71"/>
      <c r="D113" s="72"/>
      <c r="E113" s="72"/>
      <c r="F113" s="65"/>
      <c r="G113" s="65"/>
      <c r="H113"/>
      <c r="I113"/>
    </row>
    <row r="114" spans="1:10">
      <c r="B114" s="111" t="s">
        <v>40</v>
      </c>
      <c r="C114" s="99" t="s">
        <v>120</v>
      </c>
      <c r="D114" s="99" t="s">
        <v>38</v>
      </c>
      <c r="E114" s="99" t="s">
        <v>181</v>
      </c>
      <c r="F114" s="99" t="s">
        <v>182</v>
      </c>
      <c r="G114" s="932" t="s">
        <v>145</v>
      </c>
      <c r="H114" s="932" t="s">
        <v>163</v>
      </c>
      <c r="I114" s="932" t="s">
        <v>164</v>
      </c>
    </row>
    <row r="115" spans="1:10">
      <c r="B115" s="112" t="str">
        <f>C115&amp;D115&amp;E115&amp;F115</f>
        <v>WBA CM Ethernet&lt;= 512 kbps/&lt;= 256 kbpsentrynational</v>
      </c>
      <c r="C115" s="76" t="s">
        <v>121</v>
      </c>
      <c r="D115" s="76" t="s">
        <v>45</v>
      </c>
      <c r="E115" s="76" t="s">
        <v>46</v>
      </c>
      <c r="F115" s="76" t="s">
        <v>114</v>
      </c>
      <c r="G115" s="101">
        <v>3.02</v>
      </c>
      <c r="H115" s="101">
        <v>0</v>
      </c>
      <c r="I115" s="101">
        <v>5</v>
      </c>
      <c r="J115" t="s">
        <v>183</v>
      </c>
    </row>
    <row r="116" spans="1:10">
      <c r="B116" s="112" t="str">
        <f t="shared" ref="B116:B164" si="14">C116&amp;D116&amp;E116&amp;F116</f>
        <v>WBA CM Ethernet&lt;= 2 Mbps/&lt;= 512 kbpsentrynational</v>
      </c>
      <c r="C116" s="76" t="s">
        <v>121</v>
      </c>
      <c r="D116" s="76" t="s">
        <v>51</v>
      </c>
      <c r="E116" s="76" t="s">
        <v>46</v>
      </c>
      <c r="F116" s="76" t="s">
        <v>114</v>
      </c>
      <c r="G116" s="101">
        <v>3.02</v>
      </c>
      <c r="H116" s="195">
        <f>H115</f>
        <v>0</v>
      </c>
      <c r="I116" s="195">
        <f t="shared" ref="I116:I129" si="15">I115</f>
        <v>5</v>
      </c>
      <c r="J116" t="s">
        <v>183</v>
      </c>
    </row>
    <row r="117" spans="1:10">
      <c r="B117" s="112" t="str">
        <f t="shared" si="14"/>
        <v>WBA CM Ethernet&lt;= 4 Mbps/&lt;= 1 Mbpsentrynational</v>
      </c>
      <c r="C117" s="76" t="s">
        <v>121</v>
      </c>
      <c r="D117" s="76" t="s">
        <v>56</v>
      </c>
      <c r="E117" s="76" t="s">
        <v>46</v>
      </c>
      <c r="F117" s="76" t="s">
        <v>114</v>
      </c>
      <c r="G117" s="101">
        <v>3.02</v>
      </c>
      <c r="H117" s="195">
        <f t="shared" ref="H117:H135" si="16">H116</f>
        <v>0</v>
      </c>
      <c r="I117" s="195">
        <f t="shared" si="15"/>
        <v>5</v>
      </c>
      <c r="J117" t="s">
        <v>183</v>
      </c>
    </row>
    <row r="118" spans="1:10">
      <c r="B118" s="112" t="str">
        <f t="shared" si="14"/>
        <v>WBA CM Ethernet&lt;= 8 Mbps/&lt;= 1 Mbpsentrynational</v>
      </c>
      <c r="C118" s="76" t="s">
        <v>121</v>
      </c>
      <c r="D118" s="76" t="s">
        <v>59</v>
      </c>
      <c r="E118" s="76" t="s">
        <v>46</v>
      </c>
      <c r="F118" s="76" t="s">
        <v>114</v>
      </c>
      <c r="G118" s="101">
        <v>3.02</v>
      </c>
      <c r="H118" s="195">
        <f t="shared" si="16"/>
        <v>0</v>
      </c>
      <c r="I118" s="195">
        <f t="shared" si="15"/>
        <v>5</v>
      </c>
      <c r="J118" t="s">
        <v>183</v>
      </c>
    </row>
    <row r="119" spans="1:10">
      <c r="B119" s="112" t="str">
        <f t="shared" si="14"/>
        <v>WBA CM Ethernet&lt;= 20 Mbps/&lt;= 1 Mbpsentrynational</v>
      </c>
      <c r="C119" s="76" t="s">
        <v>121</v>
      </c>
      <c r="D119" s="76" t="s">
        <v>62</v>
      </c>
      <c r="E119" s="76" t="s">
        <v>46</v>
      </c>
      <c r="F119" s="76" t="s">
        <v>114</v>
      </c>
      <c r="G119" s="101">
        <v>3.02</v>
      </c>
      <c r="H119" s="195">
        <f t="shared" si="16"/>
        <v>0</v>
      </c>
      <c r="I119" s="195">
        <f t="shared" si="15"/>
        <v>5</v>
      </c>
      <c r="J119" t="s">
        <v>183</v>
      </c>
    </row>
    <row r="120" spans="1:10">
      <c r="B120" s="112" t="str">
        <f t="shared" si="14"/>
        <v>WBA CM Ethernet≤ 2,3 Mbps/≤ 2,3 Mbpsentrynational</v>
      </c>
      <c r="C120" s="76" t="s">
        <v>121</v>
      </c>
      <c r="D120" s="76" t="s">
        <v>65</v>
      </c>
      <c r="E120" s="76" t="s">
        <v>46</v>
      </c>
      <c r="F120" s="76" t="s">
        <v>114</v>
      </c>
      <c r="G120" s="101">
        <v>3.02</v>
      </c>
      <c r="H120" s="195">
        <f t="shared" si="16"/>
        <v>0</v>
      </c>
      <c r="I120" s="195">
        <f t="shared" si="15"/>
        <v>5</v>
      </c>
      <c r="J120" t="s">
        <v>184</v>
      </c>
    </row>
    <row r="121" spans="1:10">
      <c r="B121" s="112" t="str">
        <f t="shared" si="14"/>
        <v>WBA CM Ethernet&lt;= 30 Mbps/&lt;= 3 Mbpsentrynational</v>
      </c>
      <c r="C121" s="76" t="s">
        <v>121</v>
      </c>
      <c r="D121" s="76" t="s">
        <v>81</v>
      </c>
      <c r="E121" s="76" t="s">
        <v>46</v>
      </c>
      <c r="F121" s="76" t="s">
        <v>114</v>
      </c>
      <c r="G121" s="101">
        <v>3.02</v>
      </c>
      <c r="H121" s="195">
        <f t="shared" si="16"/>
        <v>0</v>
      </c>
      <c r="I121" s="195">
        <f t="shared" si="15"/>
        <v>5</v>
      </c>
      <c r="J121" t="s">
        <v>185</v>
      </c>
    </row>
    <row r="122" spans="1:10">
      <c r="B122" s="112" t="str">
        <f t="shared" si="14"/>
        <v>WBA CM Ethernet&lt;= 50 Mbps/&lt;= 10 Mbpsentrynational</v>
      </c>
      <c r="C122" s="76" t="s">
        <v>121</v>
      </c>
      <c r="D122" s="76" t="s">
        <v>1711</v>
      </c>
      <c r="E122" s="76" t="s">
        <v>46</v>
      </c>
      <c r="F122" s="76" t="s">
        <v>114</v>
      </c>
      <c r="G122" s="101">
        <v>3.52</v>
      </c>
      <c r="H122" s="195">
        <f t="shared" si="16"/>
        <v>0</v>
      </c>
      <c r="I122" s="195">
        <f t="shared" si="15"/>
        <v>5</v>
      </c>
      <c r="J122" t="s">
        <v>185</v>
      </c>
    </row>
    <row r="123" spans="1:10">
      <c r="B123" s="112" t="str">
        <f t="shared" si="14"/>
        <v>WBA CM Ethernet&lt;= 100 Mbps/&lt;= 30 Mbpsentrynational</v>
      </c>
      <c r="C123" s="76" t="s">
        <v>121</v>
      </c>
      <c r="D123" s="76" t="s">
        <v>1238</v>
      </c>
      <c r="E123" s="76" t="s">
        <v>46</v>
      </c>
      <c r="F123" s="76" t="s">
        <v>114</v>
      </c>
      <c r="G123" s="101">
        <v>4.03</v>
      </c>
      <c r="H123" s="195">
        <f t="shared" si="16"/>
        <v>0</v>
      </c>
      <c r="I123" s="195">
        <f t="shared" si="15"/>
        <v>5</v>
      </c>
      <c r="J123" t="s">
        <v>185</v>
      </c>
    </row>
    <row r="124" spans="1:10">
      <c r="B124" s="112" t="str">
        <f t="shared" si="14"/>
        <v>WBA CM Ethernet&lt;= 200 Mbps/&lt;= 60 Mbpsentrynational</v>
      </c>
      <c r="C124" s="76" t="s">
        <v>121</v>
      </c>
      <c r="D124" s="76" t="s">
        <v>1239</v>
      </c>
      <c r="E124" s="76" t="s">
        <v>46</v>
      </c>
      <c r="F124" s="76" t="s">
        <v>114</v>
      </c>
      <c r="G124" s="101">
        <v>11.08</v>
      </c>
      <c r="H124" s="195">
        <f t="shared" si="16"/>
        <v>0</v>
      </c>
      <c r="I124" s="195">
        <f t="shared" si="15"/>
        <v>5</v>
      </c>
      <c r="J124" t="s">
        <v>185</v>
      </c>
    </row>
    <row r="125" spans="1:10" s="451" customFormat="1">
      <c r="A125" s="910"/>
      <c r="B125" s="911" t="str">
        <f t="shared" si="14"/>
        <v>WBA CM Ethernet&lt;= 20 Mbps/&lt;= 1 Mbpsentrynational</v>
      </c>
      <c r="C125" s="912" t="s">
        <v>121</v>
      </c>
      <c r="D125" s="912" t="s">
        <v>62</v>
      </c>
      <c r="E125" s="912" t="s">
        <v>46</v>
      </c>
      <c r="F125" s="912" t="s">
        <v>114</v>
      </c>
      <c r="G125" s="913">
        <v>3.02</v>
      </c>
      <c r="H125" s="914">
        <f t="shared" si="16"/>
        <v>0</v>
      </c>
      <c r="I125" s="914">
        <f t="shared" si="15"/>
        <v>5</v>
      </c>
      <c r="J125" s="910" t="s">
        <v>186</v>
      </c>
    </row>
    <row r="126" spans="1:10">
      <c r="B126" s="112" t="str">
        <f t="shared" si="14"/>
        <v>WBA CM Ethernet≤50/50 Mbpsentrynational</v>
      </c>
      <c r="C126" s="76" t="s">
        <v>121</v>
      </c>
      <c r="D126" s="76" t="s">
        <v>96</v>
      </c>
      <c r="E126" s="76" t="s">
        <v>46</v>
      </c>
      <c r="F126" s="76" t="s">
        <v>114</v>
      </c>
      <c r="G126" s="101">
        <v>7.43</v>
      </c>
      <c r="H126" s="195">
        <f t="shared" si="16"/>
        <v>0</v>
      </c>
      <c r="I126" s="195">
        <f t="shared" si="15"/>
        <v>5</v>
      </c>
      <c r="J126" t="s">
        <v>1745</v>
      </c>
    </row>
    <row r="127" spans="1:10">
      <c r="B127" s="112" t="str">
        <f t="shared" si="14"/>
        <v>WBA CM Ethernet≤100/100 Mbpsentrynational</v>
      </c>
      <c r="C127" s="76" t="s">
        <v>121</v>
      </c>
      <c r="D127" s="76" t="s">
        <v>102</v>
      </c>
      <c r="E127" s="76" t="s">
        <v>46</v>
      </c>
      <c r="F127" s="76" t="s">
        <v>114</v>
      </c>
      <c r="G127" s="101">
        <v>11.08</v>
      </c>
      <c r="H127" s="195">
        <f t="shared" si="16"/>
        <v>0</v>
      </c>
      <c r="I127" s="195">
        <f t="shared" si="15"/>
        <v>5</v>
      </c>
      <c r="J127" t="s">
        <v>1745</v>
      </c>
    </row>
    <row r="128" spans="1:10">
      <c r="B128" s="112" t="str">
        <f t="shared" si="14"/>
        <v>WBA CM Ethernet≤200/200 Mbpsentrynational</v>
      </c>
      <c r="C128" s="76" t="s">
        <v>121</v>
      </c>
      <c r="D128" s="76" t="s">
        <v>541</v>
      </c>
      <c r="E128" s="76" t="s">
        <v>46</v>
      </c>
      <c r="F128" s="76" t="s">
        <v>114</v>
      </c>
      <c r="G128" s="101">
        <v>18.13</v>
      </c>
      <c r="H128" s="195">
        <f t="shared" si="16"/>
        <v>0</v>
      </c>
      <c r="I128" s="195">
        <f t="shared" si="15"/>
        <v>5</v>
      </c>
      <c r="J128" t="s">
        <v>1745</v>
      </c>
    </row>
    <row r="129" spans="2:10">
      <c r="B129" s="112" t="str">
        <f t="shared" si="14"/>
        <v>WBA CM Ethernet≤500/500 Mbpsentrynational</v>
      </c>
      <c r="C129" s="76" t="s">
        <v>121</v>
      </c>
      <c r="D129" s="76" t="s">
        <v>187</v>
      </c>
      <c r="E129" s="76" t="s">
        <v>46</v>
      </c>
      <c r="F129" s="76" t="s">
        <v>114</v>
      </c>
      <c r="G129" s="101">
        <v>26.18</v>
      </c>
      <c r="H129" s="195">
        <f t="shared" si="16"/>
        <v>0</v>
      </c>
      <c r="I129" s="195">
        <f t="shared" si="15"/>
        <v>5</v>
      </c>
      <c r="J129" t="s">
        <v>1745</v>
      </c>
    </row>
    <row r="130" spans="2:10">
      <c r="B130" s="112"/>
      <c r="C130" s="76"/>
      <c r="D130" s="76"/>
      <c r="E130" s="76"/>
      <c r="F130" s="76"/>
      <c r="G130" s="452"/>
      <c r="H130" s="195"/>
      <c r="I130" s="195"/>
    </row>
    <row r="131" spans="2:10">
      <c r="B131" s="112"/>
      <c r="C131" s="76"/>
      <c r="D131" s="76"/>
      <c r="E131" s="76"/>
      <c r="F131" s="76"/>
      <c r="G131" s="452"/>
      <c r="H131" s="195"/>
      <c r="I131" s="195"/>
    </row>
    <row r="132" spans="2:10">
      <c r="B132" s="112"/>
      <c r="C132" s="76"/>
      <c r="D132" s="76"/>
      <c r="E132" s="76"/>
      <c r="F132" s="76"/>
      <c r="G132" s="452"/>
      <c r="H132" s="195"/>
      <c r="I132" s="195"/>
    </row>
    <row r="133" spans="2:10">
      <c r="B133" s="112"/>
      <c r="C133" s="76"/>
      <c r="D133" s="76"/>
      <c r="E133" s="76"/>
      <c r="F133" s="76"/>
      <c r="G133" s="452"/>
      <c r="H133" s="195"/>
      <c r="I133" s="195"/>
    </row>
    <row r="134" spans="2:10" ht="15" customHeight="1">
      <c r="B134" s="112" t="str">
        <f t="shared" si="14"/>
        <v>WBA CM Ethernet&lt;=256 kbps/&lt;=256 kbpsaddnational</v>
      </c>
      <c r="C134" s="76" t="s">
        <v>121</v>
      </c>
      <c r="D134" s="76" t="s">
        <v>104</v>
      </c>
      <c r="E134" s="76" t="s">
        <v>105</v>
      </c>
      <c r="F134" s="76" t="s">
        <v>114</v>
      </c>
      <c r="G134" s="101">
        <v>1E-4</v>
      </c>
      <c r="H134" s="195">
        <f t="shared" si="16"/>
        <v>0</v>
      </c>
      <c r="I134" s="195">
        <v>5</v>
      </c>
    </row>
    <row r="135" spans="2:10" ht="15" customHeight="1">
      <c r="B135" s="112" t="str">
        <f t="shared" si="14"/>
        <v>WBA CM Ethernet1 Mps/1 Mbpsaddnational</v>
      </c>
      <c r="C135" s="76" t="s">
        <v>121</v>
      </c>
      <c r="D135" s="76" t="s">
        <v>1241</v>
      </c>
      <c r="E135" s="76" t="s">
        <v>105</v>
      </c>
      <c r="F135" s="76" t="s">
        <v>114</v>
      </c>
      <c r="G135" s="101">
        <v>20.14</v>
      </c>
      <c r="H135" s="195">
        <f t="shared" si="16"/>
        <v>0</v>
      </c>
      <c r="I135" s="195">
        <v>5</v>
      </c>
    </row>
    <row r="136" spans="2:10" s="203" customFormat="1" ht="15" customHeight="1">
      <c r="B136" s="290" t="str">
        <f t="shared" si="14"/>
        <v/>
      </c>
      <c r="C136" s="446"/>
      <c r="D136" s="446"/>
      <c r="E136" s="446"/>
      <c r="F136" s="447"/>
      <c r="G136" s="448"/>
      <c r="H136" s="448"/>
      <c r="I136" s="448"/>
    </row>
    <row r="137" spans="2:10">
      <c r="B137" s="112" t="str">
        <f t="shared" si="14"/>
        <v>WBA ZM Ethernet&lt;=256 kbps/&lt;=256 kbpspremiummetro</v>
      </c>
      <c r="C137" s="76" t="s">
        <v>122</v>
      </c>
      <c r="D137" s="76" t="s">
        <v>104</v>
      </c>
      <c r="E137" s="76" t="s">
        <v>71</v>
      </c>
      <c r="F137" s="76" t="s">
        <v>116</v>
      </c>
      <c r="G137" s="101">
        <v>7.41</v>
      </c>
      <c r="H137" s="195">
        <v>0</v>
      </c>
      <c r="I137" s="195">
        <v>5</v>
      </c>
    </row>
    <row r="138" spans="2:10">
      <c r="B138" s="112" t="str">
        <f t="shared" si="14"/>
        <v>WBA ZM Ethernet1 Mbps/1 Mbpspremiummetro</v>
      </c>
      <c r="C138" s="76" t="s">
        <v>122</v>
      </c>
      <c r="D138" s="76" t="s">
        <v>75</v>
      </c>
      <c r="E138" s="76" t="s">
        <v>71</v>
      </c>
      <c r="F138" s="76" t="s">
        <v>116</v>
      </c>
      <c r="G138" s="101">
        <v>7.41</v>
      </c>
      <c r="H138" s="195">
        <v>0</v>
      </c>
      <c r="I138" s="195">
        <v>5</v>
      </c>
    </row>
    <row r="139" spans="2:10">
      <c r="B139" s="112" t="str">
        <f t="shared" si="14"/>
        <v>WBA ZM Ethernet2 Mbps/2 Mbpspremiummetro</v>
      </c>
      <c r="C139" s="76" t="s">
        <v>122</v>
      </c>
      <c r="D139" s="76" t="s">
        <v>76</v>
      </c>
      <c r="E139" s="76" t="s">
        <v>71</v>
      </c>
      <c r="F139" s="76" t="s">
        <v>116</v>
      </c>
      <c r="G139" s="101">
        <v>14.82</v>
      </c>
      <c r="H139" s="195">
        <v>0</v>
      </c>
      <c r="I139" s="195">
        <v>5</v>
      </c>
    </row>
    <row r="140" spans="2:10">
      <c r="B140" s="112" t="str">
        <f t="shared" si="14"/>
        <v>WBA ZM Ethernet5 Mbps/5 Mbpspremiummetro</v>
      </c>
      <c r="C140" s="76" t="s">
        <v>122</v>
      </c>
      <c r="D140" s="76" t="s">
        <v>1242</v>
      </c>
      <c r="E140" s="76" t="s">
        <v>71</v>
      </c>
      <c r="F140" s="76" t="s">
        <v>116</v>
      </c>
      <c r="G140" s="101">
        <v>18.53</v>
      </c>
      <c r="H140" s="195">
        <v>0</v>
      </c>
      <c r="I140" s="195">
        <v>5</v>
      </c>
    </row>
    <row r="141" spans="2:10">
      <c r="B141" s="112" t="str">
        <f t="shared" si="14"/>
        <v>WBA ZM Ethernet10 Mbps/10 Mbpspremiummetro</v>
      </c>
      <c r="C141" s="76" t="s">
        <v>122</v>
      </c>
      <c r="D141" s="76" t="s">
        <v>92</v>
      </c>
      <c r="E141" s="76" t="s">
        <v>71</v>
      </c>
      <c r="F141" s="76" t="s">
        <v>116</v>
      </c>
      <c r="G141" s="101">
        <v>26.28</v>
      </c>
      <c r="H141" s="195">
        <v>0</v>
      </c>
      <c r="I141" s="195">
        <v>5</v>
      </c>
    </row>
    <row r="142" spans="2:10">
      <c r="B142" s="112" t="str">
        <f t="shared" si="14"/>
        <v>WBA ZM Ethernet20 Mbps/20 Mbpspremiummetro</v>
      </c>
      <c r="C142" s="76" t="s">
        <v>122</v>
      </c>
      <c r="D142" s="76" t="s">
        <v>1247</v>
      </c>
      <c r="E142" s="76" t="s">
        <v>71</v>
      </c>
      <c r="F142" s="76" t="s">
        <v>116</v>
      </c>
      <c r="G142" s="101">
        <v>34.369999999999997</v>
      </c>
      <c r="H142" s="195">
        <v>0</v>
      </c>
      <c r="I142" s="195">
        <v>5</v>
      </c>
    </row>
    <row r="143" spans="2:10">
      <c r="B143" s="112" t="str">
        <f t="shared" si="14"/>
        <v>WBA ZM Ethernet2 Mbps/1 Mbpspremiummetro</v>
      </c>
      <c r="C143" s="76" t="s">
        <v>122</v>
      </c>
      <c r="D143" s="76" t="s">
        <v>1243</v>
      </c>
      <c r="E143" s="76" t="s">
        <v>71</v>
      </c>
      <c r="F143" s="76" t="s">
        <v>116</v>
      </c>
      <c r="G143" s="101">
        <v>12.35</v>
      </c>
      <c r="H143" s="195">
        <v>0</v>
      </c>
      <c r="I143" s="195">
        <v>5</v>
      </c>
    </row>
    <row r="144" spans="2:10">
      <c r="B144" s="112" t="str">
        <f t="shared" si="14"/>
        <v>WBA ZM Ethernet5 Mbps/1 Mbpspremiummetro</v>
      </c>
      <c r="C144" s="76" t="s">
        <v>122</v>
      </c>
      <c r="D144" s="76" t="s">
        <v>1244</v>
      </c>
      <c r="E144" s="76" t="s">
        <v>71</v>
      </c>
      <c r="F144" s="76" t="s">
        <v>116</v>
      </c>
      <c r="G144" s="101">
        <v>17.29</v>
      </c>
      <c r="H144" s="195">
        <v>0</v>
      </c>
      <c r="I144" s="195">
        <v>5</v>
      </c>
    </row>
    <row r="145" spans="2:9">
      <c r="B145" s="112" t="str">
        <f t="shared" si="14"/>
        <v>WBA ZM Ethernet10 Mbps/5 Mbpspremiummetro</v>
      </c>
      <c r="C145" s="76" t="s">
        <v>122</v>
      </c>
      <c r="D145" s="76" t="s">
        <v>1245</v>
      </c>
      <c r="E145" s="76" t="s">
        <v>71</v>
      </c>
      <c r="F145" s="76" t="s">
        <v>116</v>
      </c>
      <c r="G145" s="101">
        <v>22.24</v>
      </c>
      <c r="H145" s="195">
        <v>0</v>
      </c>
      <c r="I145" s="195">
        <v>5</v>
      </c>
    </row>
    <row r="146" spans="2:9">
      <c r="B146" s="112" t="str">
        <f t="shared" si="14"/>
        <v>WBA ZM Ethernet20 Mbps/10 Mbpspremiummetro</v>
      </c>
      <c r="C146" s="76" t="s">
        <v>122</v>
      </c>
      <c r="D146" s="76" t="s">
        <v>1246</v>
      </c>
      <c r="E146" s="76" t="s">
        <v>71</v>
      </c>
      <c r="F146" s="76" t="s">
        <v>116</v>
      </c>
      <c r="G146" s="101">
        <v>27.18</v>
      </c>
      <c r="H146" s="195">
        <v>0</v>
      </c>
      <c r="I146" s="195">
        <v>5</v>
      </c>
    </row>
    <row r="147" spans="2:9">
      <c r="B147" s="453" t="str">
        <f t="shared" si="14"/>
        <v>WBA ZM Ethernet50 Mbps/10 Mbpspremiummetro</v>
      </c>
      <c r="C147" s="454" t="s">
        <v>122</v>
      </c>
      <c r="D147" s="454" t="s">
        <v>1297</v>
      </c>
      <c r="E147" s="454" t="s">
        <v>71</v>
      </c>
      <c r="F147" s="454" t="s">
        <v>116</v>
      </c>
      <c r="G147" s="101">
        <v>29.88</v>
      </c>
      <c r="H147" s="455">
        <v>0</v>
      </c>
      <c r="I147" s="455">
        <v>5</v>
      </c>
    </row>
    <row r="148" spans="2:9">
      <c r="B148" s="112" t="str">
        <f t="shared" si="14"/>
        <v/>
      </c>
      <c r="C148" s="95"/>
      <c r="D148" s="95"/>
      <c r="E148" s="95"/>
      <c r="F148" s="96"/>
      <c r="G148" s="101"/>
      <c r="H148" s="101"/>
      <c r="I148" s="101"/>
    </row>
    <row r="149" spans="2:9">
      <c r="B149" s="112" t="str">
        <f t="shared" si="14"/>
        <v>WBA ZM Ethernet&lt;= 1/1LitenationalPtP</v>
      </c>
      <c r="C149" s="76" t="s">
        <v>122</v>
      </c>
      <c r="D149" s="76" t="s">
        <v>188</v>
      </c>
      <c r="E149" s="76" t="s">
        <v>189</v>
      </c>
      <c r="F149" s="76" t="s">
        <v>190</v>
      </c>
      <c r="G149" s="101">
        <v>14.29</v>
      </c>
      <c r="H149" s="101">
        <v>0</v>
      </c>
      <c r="I149" s="101">
        <v>5</v>
      </c>
    </row>
    <row r="150" spans="2:9">
      <c r="B150" s="112" t="str">
        <f t="shared" si="14"/>
        <v>WBA ZM Ethernet&lt;= 2/2LitenationalPtP</v>
      </c>
      <c r="C150" s="76" t="s">
        <v>122</v>
      </c>
      <c r="D150" s="76" t="s">
        <v>191</v>
      </c>
      <c r="E150" s="76" t="s">
        <v>189</v>
      </c>
      <c r="F150" s="76" t="s">
        <v>190</v>
      </c>
      <c r="G150" s="101">
        <v>16.55</v>
      </c>
      <c r="H150" s="195">
        <f>H149</f>
        <v>0</v>
      </c>
      <c r="I150" s="195">
        <f t="shared" ref="I150:I161" si="17">I149</f>
        <v>5</v>
      </c>
    </row>
    <row r="151" spans="2:9">
      <c r="B151" s="112" t="str">
        <f t="shared" si="14"/>
        <v>WBA ZM Ethernet&lt;= 5/5LitenationalPtP</v>
      </c>
      <c r="C151" s="76" t="s">
        <v>122</v>
      </c>
      <c r="D151" s="76" t="s">
        <v>192</v>
      </c>
      <c r="E151" s="76" t="s">
        <v>189</v>
      </c>
      <c r="F151" s="76" t="s">
        <v>190</v>
      </c>
      <c r="G151" s="101">
        <v>18.47</v>
      </c>
      <c r="H151" s="195">
        <f t="shared" ref="H151:H161" si="18">H150</f>
        <v>0</v>
      </c>
      <c r="I151" s="195">
        <f t="shared" si="17"/>
        <v>5</v>
      </c>
    </row>
    <row r="152" spans="2:9">
      <c r="B152" s="112" t="str">
        <f t="shared" si="14"/>
        <v>WBA ZM Ethernet&lt;=10/10LitenationalPtP</v>
      </c>
      <c r="C152" s="76" t="s">
        <v>122</v>
      </c>
      <c r="D152" s="76" t="s">
        <v>193</v>
      </c>
      <c r="E152" s="76" t="s">
        <v>189</v>
      </c>
      <c r="F152" s="76" t="s">
        <v>190</v>
      </c>
      <c r="G152" s="101">
        <v>18.47</v>
      </c>
      <c r="H152" s="195">
        <f t="shared" si="18"/>
        <v>0</v>
      </c>
      <c r="I152" s="195">
        <f t="shared" si="17"/>
        <v>5</v>
      </c>
    </row>
    <row r="153" spans="2:9">
      <c r="B153" s="112" t="str">
        <f t="shared" si="14"/>
        <v>WBA ZM Ethernet&lt;=20/20LitenationalPtP</v>
      </c>
      <c r="C153" s="76" t="s">
        <v>122</v>
      </c>
      <c r="D153" s="76" t="s">
        <v>194</v>
      </c>
      <c r="E153" s="76" t="s">
        <v>189</v>
      </c>
      <c r="F153" s="76" t="s">
        <v>190</v>
      </c>
      <c r="G153" s="101">
        <v>29.78</v>
      </c>
      <c r="H153" s="195">
        <f t="shared" si="18"/>
        <v>0</v>
      </c>
      <c r="I153" s="195">
        <f t="shared" si="17"/>
        <v>5</v>
      </c>
    </row>
    <row r="154" spans="2:9">
      <c r="B154" s="112" t="str">
        <f t="shared" si="14"/>
        <v>WBA ZM Ethernet&lt;=20/1LitenationalPtP</v>
      </c>
      <c r="C154" s="76" t="s">
        <v>122</v>
      </c>
      <c r="D154" s="76" t="s">
        <v>540</v>
      </c>
      <c r="E154" s="76" t="s">
        <v>189</v>
      </c>
      <c r="F154" s="76" t="s">
        <v>190</v>
      </c>
      <c r="G154" s="101">
        <v>8</v>
      </c>
      <c r="H154" s="195">
        <f t="shared" si="18"/>
        <v>0</v>
      </c>
      <c r="I154" s="195">
        <f t="shared" si="17"/>
        <v>5</v>
      </c>
    </row>
    <row r="155" spans="2:9">
      <c r="B155" s="453" t="str">
        <f t="shared" si="14"/>
        <v>WBA ZM Ethernet&lt;=50/10LitenationalPtP</v>
      </c>
      <c r="C155" s="454" t="s">
        <v>122</v>
      </c>
      <c r="D155" s="454" t="s">
        <v>1298</v>
      </c>
      <c r="E155" s="454" t="s">
        <v>189</v>
      </c>
      <c r="F155" s="454" t="s">
        <v>190</v>
      </c>
      <c r="G155" s="101">
        <v>25.89</v>
      </c>
      <c r="H155" s="455">
        <f t="shared" si="18"/>
        <v>0</v>
      </c>
      <c r="I155" s="455">
        <f t="shared" si="17"/>
        <v>5</v>
      </c>
    </row>
    <row r="156" spans="2:9">
      <c r="B156" s="112" t="str">
        <f t="shared" si="14"/>
        <v>WBA ZM Ethernet&lt;= 1/1PremiumnationalPtP</v>
      </c>
      <c r="C156" s="76" t="s">
        <v>122</v>
      </c>
      <c r="D156" s="76" t="s">
        <v>188</v>
      </c>
      <c r="E156" s="76" t="s">
        <v>70</v>
      </c>
      <c r="F156" s="76" t="s">
        <v>190</v>
      </c>
      <c r="G156" s="101">
        <v>14.29</v>
      </c>
      <c r="H156" s="195">
        <f>H154</f>
        <v>0</v>
      </c>
      <c r="I156" s="195">
        <f>I154</f>
        <v>5</v>
      </c>
    </row>
    <row r="157" spans="2:9">
      <c r="B157" s="112" t="str">
        <f t="shared" si="14"/>
        <v>WBA ZM Ethernet&lt;= 2/2PremiumnationalPtP</v>
      </c>
      <c r="C157" s="76" t="s">
        <v>122</v>
      </c>
      <c r="D157" s="76" t="s">
        <v>191</v>
      </c>
      <c r="E157" s="76" t="s">
        <v>70</v>
      </c>
      <c r="F157" s="76" t="s">
        <v>190</v>
      </c>
      <c r="G157" s="101">
        <v>16.55</v>
      </c>
      <c r="H157" s="195">
        <f t="shared" si="18"/>
        <v>0</v>
      </c>
      <c r="I157" s="195">
        <f t="shared" si="17"/>
        <v>5</v>
      </c>
    </row>
    <row r="158" spans="2:9">
      <c r="B158" s="112" t="str">
        <f t="shared" si="14"/>
        <v>WBA ZM Ethernet&lt;= 5/5PremiumnationalPtP</v>
      </c>
      <c r="C158" s="76" t="s">
        <v>122</v>
      </c>
      <c r="D158" s="76" t="s">
        <v>192</v>
      </c>
      <c r="E158" s="76" t="s">
        <v>70</v>
      </c>
      <c r="F158" s="76" t="s">
        <v>190</v>
      </c>
      <c r="G158" s="101">
        <v>46.71</v>
      </c>
      <c r="H158" s="195">
        <f t="shared" si="18"/>
        <v>0</v>
      </c>
      <c r="I158" s="195">
        <f t="shared" si="17"/>
        <v>5</v>
      </c>
    </row>
    <row r="159" spans="2:9">
      <c r="B159" s="112" t="str">
        <f t="shared" si="14"/>
        <v>WBA ZM Ethernet&lt;=10/10PremiumnationalPtP</v>
      </c>
      <c r="C159" s="76" t="s">
        <v>122</v>
      </c>
      <c r="D159" s="76" t="s">
        <v>193</v>
      </c>
      <c r="E159" s="76" t="s">
        <v>70</v>
      </c>
      <c r="F159" s="76" t="s">
        <v>190</v>
      </c>
      <c r="G159" s="101">
        <v>58.01</v>
      </c>
      <c r="H159" s="195">
        <f t="shared" si="18"/>
        <v>0</v>
      </c>
      <c r="I159" s="195">
        <f t="shared" si="17"/>
        <v>5</v>
      </c>
    </row>
    <row r="160" spans="2:9">
      <c r="B160" s="112" t="str">
        <f t="shared" si="14"/>
        <v>WBA ZM Ethernet&lt;=20/20PremiumnationalPtP</v>
      </c>
      <c r="C160" s="76" t="s">
        <v>122</v>
      </c>
      <c r="D160" s="76" t="s">
        <v>194</v>
      </c>
      <c r="E160" s="76" t="s">
        <v>70</v>
      </c>
      <c r="F160" s="76" t="s">
        <v>190</v>
      </c>
      <c r="G160" s="101">
        <v>88.17</v>
      </c>
      <c r="H160" s="195">
        <f t="shared" si="18"/>
        <v>0</v>
      </c>
      <c r="I160" s="195">
        <f t="shared" si="17"/>
        <v>5</v>
      </c>
    </row>
    <row r="161" spans="2:10">
      <c r="B161" s="453" t="str">
        <f t="shared" si="14"/>
        <v>WBA ZM Ethernet&lt;=50/10PremiumnationalPtP</v>
      </c>
      <c r="C161" s="454" t="s">
        <v>122</v>
      </c>
      <c r="D161" s="454" t="s">
        <v>1298</v>
      </c>
      <c r="E161" s="454" t="s">
        <v>70</v>
      </c>
      <c r="F161" s="454" t="s">
        <v>190</v>
      </c>
      <c r="G161" s="101">
        <v>76.650000000000006</v>
      </c>
      <c r="H161" s="455">
        <f t="shared" si="18"/>
        <v>0</v>
      </c>
      <c r="I161" s="455">
        <f t="shared" si="17"/>
        <v>5</v>
      </c>
    </row>
    <row r="162" spans="2:10" ht="15" customHeight="1">
      <c r="B162" s="112" t="str">
        <f t="shared" si="14"/>
        <v/>
      </c>
      <c r="C162" s="95"/>
      <c r="D162" s="95"/>
      <c r="E162" s="95"/>
      <c r="F162" s="96"/>
      <c r="G162" s="101"/>
      <c r="H162" s="101"/>
      <c r="I162" s="101"/>
    </row>
    <row r="163" spans="2:10" ht="15" customHeight="1">
      <c r="B163" s="112" t="str">
        <f t="shared" si="14"/>
        <v>WBA ZM Ethernet&lt;=256 kbps/&lt;=256 kbpsaddmetro</v>
      </c>
      <c r="C163" s="76" t="s">
        <v>122</v>
      </c>
      <c r="D163" s="76" t="s">
        <v>104</v>
      </c>
      <c r="E163" s="76" t="s">
        <v>105</v>
      </c>
      <c r="F163" s="76" t="s">
        <v>116</v>
      </c>
      <c r="G163" s="101">
        <v>1E-4</v>
      </c>
      <c r="H163" s="195">
        <f>H160</f>
        <v>0</v>
      </c>
      <c r="I163" s="195">
        <f>I160</f>
        <v>5</v>
      </c>
    </row>
    <row r="164" spans="2:10" ht="15" customHeight="1">
      <c r="B164" s="112" t="str">
        <f t="shared" si="14"/>
        <v/>
      </c>
      <c r="C164" s="95"/>
      <c r="D164" s="95"/>
      <c r="E164" s="95"/>
      <c r="F164" s="96"/>
      <c r="G164" s="101"/>
      <c r="H164" s="101"/>
      <c r="I164" s="101"/>
    </row>
    <row r="165" spans="2:10" ht="15" customHeight="1">
      <c r="B165" s="114"/>
      <c r="C165" s="75"/>
      <c r="D165" s="77"/>
      <c r="E165" s="75"/>
      <c r="G165" s="117"/>
      <c r="H165" s="117"/>
      <c r="I165" s="117"/>
    </row>
    <row r="166" spans="2:10" ht="15" customHeight="1">
      <c r="B166" s="83" t="s">
        <v>195</v>
      </c>
      <c r="C166" s="75"/>
      <c r="D166" s="77"/>
      <c r="E166" s="75"/>
      <c r="G166" s="117"/>
      <c r="H166" s="117"/>
      <c r="I166" s="117"/>
    </row>
    <row r="167" spans="2:10" ht="15" customHeight="1">
      <c r="B167" s="114"/>
      <c r="C167" s="75"/>
      <c r="D167" s="77"/>
      <c r="E167" s="75"/>
      <c r="G167" s="117"/>
      <c r="H167" s="117"/>
      <c r="I167" s="117"/>
    </row>
    <row r="168" spans="2:10" ht="15" customHeight="1">
      <c r="B168" s="111" t="s">
        <v>40</v>
      </c>
      <c r="C168" s="99" t="s">
        <v>120</v>
      </c>
      <c r="D168" s="99" t="s">
        <v>521</v>
      </c>
      <c r="E168" s="99" t="s">
        <v>182</v>
      </c>
      <c r="F168" s="96"/>
      <c r="G168" s="105" t="s">
        <v>145</v>
      </c>
      <c r="H168" s="117"/>
      <c r="I168" s="105" t="s">
        <v>146</v>
      </c>
    </row>
    <row r="169" spans="2:10" ht="15" customHeight="1">
      <c r="B169" s="284" t="str">
        <f t="shared" ref="B169:B172" si="19">C169&amp;D169&amp;E169&amp;F169</f>
        <v>WBA CM EthernetWAP transport 1 Gb/snational</v>
      </c>
      <c r="C169" s="76" t="s">
        <v>121</v>
      </c>
      <c r="D169" s="76" t="s">
        <v>522</v>
      </c>
      <c r="E169" s="76" t="s">
        <v>114</v>
      </c>
      <c r="F169" s="96"/>
      <c r="G169" s="285">
        <v>1250</v>
      </c>
      <c r="H169" s="117"/>
      <c r="I169" s="285">
        <v>0</v>
      </c>
      <c r="J169" t="s">
        <v>523</v>
      </c>
    </row>
    <row r="170" spans="2:10" ht="15" customHeight="1">
      <c r="B170" s="284" t="str">
        <f t="shared" si="19"/>
        <v>WBA CM EthernetWAP transport 1 Gb/smetro</v>
      </c>
      <c r="C170" s="76" t="s">
        <v>121</v>
      </c>
      <c r="D170" s="76" t="s">
        <v>522</v>
      </c>
      <c r="E170" s="76" t="s">
        <v>116</v>
      </c>
      <c r="F170" s="96"/>
      <c r="G170" s="285">
        <v>500</v>
      </c>
      <c r="H170" s="117"/>
      <c r="I170" s="285">
        <v>0</v>
      </c>
      <c r="J170" t="s">
        <v>524</v>
      </c>
    </row>
    <row r="171" spans="2:10" ht="15" customHeight="1">
      <c r="B171" s="284" t="str">
        <f t="shared" si="19"/>
        <v>WBA ZM EthernetWAP transport 1 Gb/smetro</v>
      </c>
      <c r="C171" s="76" t="s">
        <v>122</v>
      </c>
      <c r="D171" s="76" t="s">
        <v>522</v>
      </c>
      <c r="E171" s="76" t="s">
        <v>116</v>
      </c>
      <c r="F171" s="103"/>
      <c r="G171" s="285">
        <v>0</v>
      </c>
      <c r="H171" s="117"/>
      <c r="I171" s="285">
        <v>0</v>
      </c>
      <c r="J171" t="s">
        <v>525</v>
      </c>
    </row>
    <row r="172" spans="2:10" ht="15" customHeight="1">
      <c r="B172" s="284" t="str">
        <f t="shared" si="19"/>
        <v>WBA ZM EthernetWAP transport 1 Gb/smetro (best effort)</v>
      </c>
      <c r="C172" s="76" t="s">
        <v>122</v>
      </c>
      <c r="D172" s="76" t="s">
        <v>522</v>
      </c>
      <c r="E172" s="76" t="s">
        <v>526</v>
      </c>
      <c r="F172" s="103"/>
      <c r="G172" s="285">
        <v>500</v>
      </c>
      <c r="H172" s="117"/>
      <c r="I172" s="285">
        <v>0</v>
      </c>
      <c r="J172" t="s">
        <v>527</v>
      </c>
    </row>
    <row r="173" spans="2:10" ht="15" customHeight="1">
      <c r="B173" s="284"/>
      <c r="C173" s="76"/>
      <c r="D173" s="76"/>
      <c r="E173" s="76"/>
      <c r="F173" s="103"/>
      <c r="G173" s="444"/>
      <c r="H173" s="117"/>
      <c r="I173" s="444"/>
    </row>
    <row r="174" spans="2:10" ht="15" customHeight="1">
      <c r="B174"/>
      <c r="C174"/>
      <c r="D174"/>
      <c r="E174"/>
      <c r="F174"/>
      <c r="G174"/>
      <c r="H174"/>
      <c r="I174"/>
    </row>
    <row r="175" spans="2:10" ht="15" customHeight="1">
      <c r="B175" s="83" t="s">
        <v>196</v>
      </c>
      <c r="C175" s="75"/>
      <c r="D175" s="77"/>
      <c r="E175" s="75"/>
      <c r="G175" s="117"/>
      <c r="H175" s="117"/>
      <c r="I175" s="117"/>
    </row>
    <row r="176" spans="2:10" ht="15" customHeight="1">
      <c r="B176" s="83"/>
      <c r="C176" s="99" t="s">
        <v>120</v>
      </c>
      <c r="D176" s="99" t="s">
        <v>528</v>
      </c>
      <c r="E176" s="99" t="s">
        <v>529</v>
      </c>
      <c r="G176" s="105" t="s">
        <v>145</v>
      </c>
      <c r="H176" s="117"/>
      <c r="I176" s="105" t="s">
        <v>146</v>
      </c>
    </row>
    <row r="177" spans="2:10" ht="15" customHeight="1">
      <c r="B177" s="284" t="str">
        <f t="shared" ref="B177:B179" si="20">C177&amp;D177&amp;E177&amp;F177</f>
        <v>WBA CM EthernetWAP port 1 Gb/snational</v>
      </c>
      <c r="C177" s="76" t="s">
        <v>121</v>
      </c>
      <c r="D177" s="76" t="s">
        <v>530</v>
      </c>
      <c r="E177" s="76" t="s">
        <v>114</v>
      </c>
      <c r="G177" s="285">
        <v>0</v>
      </c>
      <c r="H177" s="117"/>
      <c r="I177" s="285">
        <v>1500</v>
      </c>
      <c r="J177" t="s">
        <v>531</v>
      </c>
    </row>
    <row r="178" spans="2:10" ht="15" customHeight="1">
      <c r="B178" s="284" t="str">
        <f t="shared" si="20"/>
        <v>WBA ZM EthernetWAP port 1 Gb/smetro</v>
      </c>
      <c r="C178" s="76" t="s">
        <v>122</v>
      </c>
      <c r="D178" s="76" t="s">
        <v>530</v>
      </c>
      <c r="E178" s="76" t="s">
        <v>116</v>
      </c>
      <c r="G178" s="285">
        <v>42</v>
      </c>
      <c r="H178" s="117"/>
      <c r="I178" s="285">
        <v>925</v>
      </c>
      <c r="J178" s="100" t="s">
        <v>532</v>
      </c>
    </row>
    <row r="179" spans="2:10" ht="15" customHeight="1">
      <c r="B179" s="284" t="str">
        <f t="shared" si="20"/>
        <v>WBA ZM EthernetWAP port 10 Gb/smetro</v>
      </c>
      <c r="C179" s="76" t="s">
        <v>122</v>
      </c>
      <c r="D179" s="76" t="s">
        <v>1743</v>
      </c>
      <c r="E179" s="76" t="s">
        <v>116</v>
      </c>
      <c r="G179" s="285">
        <v>42</v>
      </c>
      <c r="H179" s="117"/>
      <c r="I179" s="285">
        <v>3000</v>
      </c>
      <c r="J179" s="100" t="s">
        <v>1744</v>
      </c>
    </row>
    <row r="180" spans="2:10" ht="15" customHeight="1">
      <c r="F180" s="103"/>
    </row>
    <row r="181" spans="2:10" ht="15" customHeight="1">
      <c r="B181" s="83" t="s">
        <v>197</v>
      </c>
      <c r="F181" s="103"/>
    </row>
    <row r="182" spans="2:10" ht="15" customHeight="1">
      <c r="F182" s="103"/>
    </row>
    <row r="183" spans="2:10" ht="15" customHeight="1">
      <c r="B183" s="111" t="s">
        <v>40</v>
      </c>
      <c r="C183" s="99" t="s">
        <v>120</v>
      </c>
      <c r="D183" s="99" t="s">
        <v>37</v>
      </c>
      <c r="E183" s="99" t="s">
        <v>130</v>
      </c>
      <c r="F183" s="99"/>
      <c r="G183" s="105" t="s">
        <v>145</v>
      </c>
      <c r="H183" s="73" t="s">
        <v>163</v>
      </c>
      <c r="I183" s="105" t="s">
        <v>164</v>
      </c>
      <c r="J183" s="106" t="s">
        <v>150</v>
      </c>
    </row>
    <row r="184" spans="2:10" ht="15" customHeight="1">
      <c r="B184" s="112" t="str">
        <f t="shared" ref="B184:B203" si="21">C184&amp;D184&amp;E184&amp;F184</f>
        <v>WBA CM EthernetADSLStandard+</v>
      </c>
      <c r="C184" s="76" t="s">
        <v>121</v>
      </c>
      <c r="D184" s="76" t="s">
        <v>42</v>
      </c>
      <c r="E184" s="76" t="s">
        <v>132</v>
      </c>
      <c r="F184" s="103"/>
      <c r="G184" s="102">
        <v>8.06</v>
      </c>
      <c r="H184" s="102"/>
      <c r="I184" s="102"/>
      <c r="J184" t="s">
        <v>198</v>
      </c>
    </row>
    <row r="185" spans="2:10" ht="15" customHeight="1">
      <c r="B185" s="112" t="str">
        <f t="shared" si="21"/>
        <v>WBA CM EthernetVDSLStandard+</v>
      </c>
      <c r="C185" s="76" t="s">
        <v>121</v>
      </c>
      <c r="D185" s="76" t="s">
        <v>77</v>
      </c>
      <c r="E185" s="76" t="s">
        <v>132</v>
      </c>
      <c r="F185" s="103"/>
      <c r="G185" s="102">
        <v>8.06</v>
      </c>
      <c r="H185" s="102"/>
      <c r="I185" s="102"/>
      <c r="J185" t="s">
        <v>198</v>
      </c>
    </row>
    <row r="186" spans="2:10" ht="15" customHeight="1">
      <c r="B186" s="112" t="str">
        <f t="shared" si="21"/>
        <v>WBA CM EthernetSDSLStandard+</v>
      </c>
      <c r="C186" s="76" t="s">
        <v>121</v>
      </c>
      <c r="D186" s="76" t="s">
        <v>64</v>
      </c>
      <c r="E186" s="76" t="s">
        <v>132</v>
      </c>
      <c r="F186" s="103"/>
      <c r="G186" s="102">
        <v>8.06</v>
      </c>
      <c r="H186" s="102"/>
      <c r="I186" s="102"/>
      <c r="J186" t="s">
        <v>198</v>
      </c>
    </row>
    <row r="187" spans="2:10" ht="15" customHeight="1">
      <c r="B187" s="112" t="str">
        <f t="shared" si="21"/>
        <v>WBA CM EthernetFttHStandard+</v>
      </c>
      <c r="C187" s="76" t="s">
        <v>121</v>
      </c>
      <c r="D187" s="76" t="s">
        <v>119</v>
      </c>
      <c r="E187" s="76" t="s">
        <v>132</v>
      </c>
      <c r="F187" s="103"/>
      <c r="G187" s="102" t="s">
        <v>74</v>
      </c>
      <c r="H187" s="102"/>
      <c r="I187" s="102"/>
      <c r="J187" t="s">
        <v>198</v>
      </c>
    </row>
    <row r="188" spans="2:10" ht="15" customHeight="1">
      <c r="B188" s="112" t="str">
        <f t="shared" si="21"/>
        <v>WBA CM EthernetFttOStandard+</v>
      </c>
      <c r="C188" s="76" t="s">
        <v>121</v>
      </c>
      <c r="D188" s="76" t="s">
        <v>168</v>
      </c>
      <c r="E188" s="76" t="s">
        <v>132</v>
      </c>
      <c r="F188" s="103"/>
      <c r="G188" s="102" t="s">
        <v>74</v>
      </c>
      <c r="H188" s="102"/>
      <c r="I188" s="102"/>
      <c r="J188" t="s">
        <v>198</v>
      </c>
    </row>
    <row r="189" spans="2:10" ht="15" customHeight="1">
      <c r="B189" s="112" t="str">
        <f t="shared" si="21"/>
        <v>WBA CM EthernetADSL7x24</v>
      </c>
      <c r="C189" s="76" t="s">
        <v>121</v>
      </c>
      <c r="D189" s="76" t="s">
        <v>42</v>
      </c>
      <c r="E189" s="76" t="s">
        <v>34</v>
      </c>
      <c r="F189" s="103"/>
      <c r="G189" s="102">
        <v>15.11</v>
      </c>
      <c r="H189" s="102"/>
      <c r="I189" s="102"/>
      <c r="J189" t="s">
        <v>199</v>
      </c>
    </row>
    <row r="190" spans="2:10" ht="15" customHeight="1">
      <c r="B190" s="112" t="str">
        <f t="shared" si="21"/>
        <v>WBA CM EthernetVDSL7x24</v>
      </c>
      <c r="C190" s="76" t="s">
        <v>121</v>
      </c>
      <c r="D190" s="76" t="s">
        <v>77</v>
      </c>
      <c r="E190" s="76" t="s">
        <v>34</v>
      </c>
      <c r="F190"/>
      <c r="G190" s="116">
        <f>G189</f>
        <v>15.11</v>
      </c>
      <c r="H190" s="116"/>
      <c r="I190" s="116"/>
      <c r="J190" t="s">
        <v>199</v>
      </c>
    </row>
    <row r="191" spans="2:10" ht="15" customHeight="1">
      <c r="B191" s="112" t="str">
        <f t="shared" si="21"/>
        <v>WBA CM EthernetSDSL7x24</v>
      </c>
      <c r="C191" s="76" t="s">
        <v>121</v>
      </c>
      <c r="D191" s="76" t="s">
        <v>64</v>
      </c>
      <c r="E191" s="76" t="s">
        <v>34</v>
      </c>
      <c r="F191"/>
      <c r="G191" s="116">
        <f>G190</f>
        <v>15.11</v>
      </c>
      <c r="H191" s="116"/>
      <c r="I191" s="116"/>
      <c r="J191" t="s">
        <v>199</v>
      </c>
    </row>
    <row r="192" spans="2:10" ht="15" customHeight="1">
      <c r="B192" s="112" t="str">
        <f t="shared" si="21"/>
        <v>WBA CM EthernetFttH7x24</v>
      </c>
      <c r="C192" s="76" t="s">
        <v>121</v>
      </c>
      <c r="D192" s="76" t="s">
        <v>119</v>
      </c>
      <c r="E192" s="76" t="s">
        <v>34</v>
      </c>
      <c r="F192" s="77"/>
      <c r="G192" s="102">
        <v>15.11</v>
      </c>
      <c r="H192" s="102"/>
      <c r="I192" s="102"/>
      <c r="J192" t="s">
        <v>199</v>
      </c>
    </row>
    <row r="193" spans="2:10" ht="15" customHeight="1">
      <c r="B193" s="112" t="str">
        <f t="shared" si="21"/>
        <v>WBA CM EthernetFttO7x24</v>
      </c>
      <c r="C193" s="76" t="s">
        <v>121</v>
      </c>
      <c r="D193" s="76" t="s">
        <v>168</v>
      </c>
      <c r="E193" s="76" t="s">
        <v>34</v>
      </c>
      <c r="F193" s="77"/>
      <c r="G193" s="102">
        <v>15.11</v>
      </c>
      <c r="H193" s="102"/>
      <c r="I193" s="102"/>
      <c r="J193" t="s">
        <v>199</v>
      </c>
    </row>
    <row r="194" spans="2:10" ht="15" customHeight="1">
      <c r="B194" s="112" t="str">
        <f t="shared" si="21"/>
        <v>WBA ZM EthernetADSLStandard+</v>
      </c>
      <c r="C194" s="76" t="s">
        <v>122</v>
      </c>
      <c r="D194" s="76" t="s">
        <v>42</v>
      </c>
      <c r="E194" s="76" t="s">
        <v>132</v>
      </c>
      <c r="F194" s="77"/>
      <c r="G194" s="102">
        <v>5.58</v>
      </c>
      <c r="H194" s="102"/>
      <c r="I194" s="102"/>
      <c r="J194" t="s">
        <v>198</v>
      </c>
    </row>
    <row r="195" spans="2:10" ht="15" customHeight="1">
      <c r="B195" s="112" t="str">
        <f t="shared" si="21"/>
        <v>WBA ZM EthernetVDSLStandard+</v>
      </c>
      <c r="C195" s="76" t="s">
        <v>122</v>
      </c>
      <c r="D195" s="76" t="s">
        <v>77</v>
      </c>
      <c r="E195" s="76" t="s">
        <v>132</v>
      </c>
      <c r="F195" s="77"/>
      <c r="G195" s="116">
        <f t="shared" ref="G195:G196" si="22">G194</f>
        <v>5.58</v>
      </c>
      <c r="H195" s="116"/>
      <c r="I195" s="116"/>
      <c r="J195" t="s">
        <v>198</v>
      </c>
    </row>
    <row r="196" spans="2:10" ht="15" customHeight="1">
      <c r="B196" s="112" t="str">
        <f t="shared" si="21"/>
        <v>WBA ZM EthernetSDSLStandard+</v>
      </c>
      <c r="C196" s="76" t="s">
        <v>122</v>
      </c>
      <c r="D196" s="76" t="s">
        <v>64</v>
      </c>
      <c r="E196" s="76" t="s">
        <v>132</v>
      </c>
      <c r="F196" s="103"/>
      <c r="G196" s="116">
        <f t="shared" si="22"/>
        <v>5.58</v>
      </c>
      <c r="H196" s="116"/>
      <c r="I196" s="116"/>
      <c r="J196" t="s">
        <v>198</v>
      </c>
    </row>
    <row r="197" spans="2:10" ht="15" customHeight="1">
      <c r="B197" s="112" t="str">
        <f t="shared" si="21"/>
        <v>WBA ZM EthernetFttHStandard+</v>
      </c>
      <c r="C197" s="76" t="s">
        <v>122</v>
      </c>
      <c r="D197" s="76" t="s">
        <v>119</v>
      </c>
      <c r="E197" s="76" t="s">
        <v>132</v>
      </c>
      <c r="F197" s="103"/>
      <c r="G197" s="102" t="s">
        <v>74</v>
      </c>
      <c r="H197" s="102"/>
      <c r="I197" s="102"/>
      <c r="J197" t="s">
        <v>198</v>
      </c>
    </row>
    <row r="198" spans="2:10" ht="15" customHeight="1">
      <c r="B198" s="112" t="str">
        <f t="shared" si="21"/>
        <v>WBA ZM EthernetFttOStandard+</v>
      </c>
      <c r="C198" s="76" t="s">
        <v>122</v>
      </c>
      <c r="D198" s="76" t="s">
        <v>168</v>
      </c>
      <c r="E198" s="76" t="s">
        <v>132</v>
      </c>
      <c r="F198" s="103"/>
      <c r="G198" s="102" t="s">
        <v>74</v>
      </c>
      <c r="H198" s="102"/>
      <c r="I198" s="102"/>
      <c r="J198" t="s">
        <v>198</v>
      </c>
    </row>
    <row r="199" spans="2:10" ht="15" customHeight="1">
      <c r="B199" s="112" t="str">
        <f t="shared" si="21"/>
        <v>WBA ZM EthernetADSL7x24</v>
      </c>
      <c r="C199" s="76" t="s">
        <v>122</v>
      </c>
      <c r="D199" s="76" t="s">
        <v>42</v>
      </c>
      <c r="E199" s="76" t="s">
        <v>34</v>
      </c>
      <c r="F199" s="103"/>
      <c r="G199" s="102">
        <v>8.1199999999999992</v>
      </c>
      <c r="H199" s="102"/>
      <c r="I199" s="102"/>
      <c r="J199" t="s">
        <v>199</v>
      </c>
    </row>
    <row r="200" spans="2:10" ht="15" customHeight="1">
      <c r="B200" s="112" t="str">
        <f t="shared" si="21"/>
        <v>WBA ZM EthernetVDSL7x24</v>
      </c>
      <c r="C200" s="76" t="s">
        <v>122</v>
      </c>
      <c r="D200" s="76" t="s">
        <v>77</v>
      </c>
      <c r="E200" s="76" t="s">
        <v>34</v>
      </c>
      <c r="F200"/>
      <c r="G200" s="116">
        <f>G199</f>
        <v>8.1199999999999992</v>
      </c>
      <c r="H200" s="116"/>
      <c r="I200" s="116"/>
      <c r="J200" t="s">
        <v>199</v>
      </c>
    </row>
    <row r="201" spans="2:10" ht="15" customHeight="1">
      <c r="B201" s="112" t="str">
        <f t="shared" si="21"/>
        <v>WBA ZM EthernetSDSL7x24</v>
      </c>
      <c r="C201" s="76" t="s">
        <v>122</v>
      </c>
      <c r="D201" s="76" t="s">
        <v>64</v>
      </c>
      <c r="E201" s="76" t="s">
        <v>34</v>
      </c>
      <c r="F201"/>
      <c r="G201" s="116">
        <f>G200</f>
        <v>8.1199999999999992</v>
      </c>
      <c r="H201" s="116"/>
      <c r="I201" s="116"/>
      <c r="J201" t="s">
        <v>199</v>
      </c>
    </row>
    <row r="202" spans="2:10" ht="15" customHeight="1">
      <c r="B202" s="112" t="str">
        <f t="shared" si="21"/>
        <v>WBA ZM EthernetFttH7x24</v>
      </c>
      <c r="C202" s="76" t="s">
        <v>122</v>
      </c>
      <c r="D202" s="76" t="s">
        <v>119</v>
      </c>
      <c r="E202" s="76" t="s">
        <v>34</v>
      </c>
      <c r="F202"/>
      <c r="G202" s="102">
        <v>15</v>
      </c>
      <c r="H202" s="102"/>
      <c r="I202" s="102"/>
      <c r="J202" t="s">
        <v>199</v>
      </c>
    </row>
    <row r="203" spans="2:10" ht="15" customHeight="1">
      <c r="B203" s="112" t="str">
        <f t="shared" si="21"/>
        <v>WBA ZM EthernetFttO7x24</v>
      </c>
      <c r="C203" s="76" t="s">
        <v>122</v>
      </c>
      <c r="D203" s="76" t="s">
        <v>168</v>
      </c>
      <c r="E203" s="76" t="s">
        <v>34</v>
      </c>
      <c r="F203" s="103"/>
      <c r="G203" s="102">
        <v>15</v>
      </c>
      <c r="H203" s="102"/>
      <c r="I203" s="102"/>
      <c r="J203" t="s">
        <v>199</v>
      </c>
    </row>
    <row r="204" spans="2:10" ht="15" customHeight="1">
      <c r="C204" s="103"/>
      <c r="D204" s="103"/>
      <c r="E204" s="103"/>
    </row>
    <row r="205" spans="2:10" ht="15" customHeight="1">
      <c r="B205" s="112" t="str">
        <f t="shared" ref="B205:B214" si="23">C205&amp;D205&amp;E205&amp;F205</f>
        <v>WBA CM EthernetADSLStandard</v>
      </c>
      <c r="C205" s="76" t="s">
        <v>121</v>
      </c>
      <c r="D205" s="76" t="s">
        <v>42</v>
      </c>
      <c r="E205" s="76" t="s">
        <v>498</v>
      </c>
      <c r="F205" s="103"/>
      <c r="G205" s="102">
        <v>0</v>
      </c>
      <c r="H205" s="102"/>
      <c r="I205" s="102"/>
    </row>
    <row r="206" spans="2:10" ht="15" customHeight="1">
      <c r="B206" s="112" t="str">
        <f t="shared" si="23"/>
        <v>WBA CM EthernetVDSLStandard</v>
      </c>
      <c r="C206" s="76" t="s">
        <v>121</v>
      </c>
      <c r="D206" s="76" t="s">
        <v>77</v>
      </c>
      <c r="E206" s="76" t="s">
        <v>498</v>
      </c>
      <c r="F206"/>
      <c r="G206" s="102">
        <v>0</v>
      </c>
      <c r="H206" s="102"/>
      <c r="I206" s="102"/>
    </row>
    <row r="207" spans="2:10" ht="15" customHeight="1">
      <c r="B207" s="112" t="str">
        <f t="shared" si="23"/>
        <v>WBA CM EthernetSDSLStandard</v>
      </c>
      <c r="C207" s="76" t="s">
        <v>121</v>
      </c>
      <c r="D207" s="76" t="s">
        <v>64</v>
      </c>
      <c r="E207" s="76" t="s">
        <v>498</v>
      </c>
      <c r="F207"/>
      <c r="G207" s="102">
        <v>0</v>
      </c>
      <c r="H207" s="102"/>
      <c r="I207" s="102"/>
    </row>
    <row r="208" spans="2:10" ht="15" customHeight="1">
      <c r="B208" s="112" t="str">
        <f t="shared" si="23"/>
        <v>WBA CM EthernetFttHStandard</v>
      </c>
      <c r="C208" s="76" t="s">
        <v>121</v>
      </c>
      <c r="D208" s="76" t="s">
        <v>119</v>
      </c>
      <c r="E208" s="76" t="s">
        <v>498</v>
      </c>
      <c r="F208"/>
      <c r="G208" s="102">
        <v>0</v>
      </c>
      <c r="H208" s="102"/>
      <c r="I208" s="102"/>
    </row>
    <row r="209" spans="2:9" ht="15" customHeight="1">
      <c r="B209" s="112" t="str">
        <f t="shared" si="23"/>
        <v>WBA CM EthernetFttOStandard</v>
      </c>
      <c r="C209" s="76" t="s">
        <v>121</v>
      </c>
      <c r="D209" s="76" t="s">
        <v>168</v>
      </c>
      <c r="E209" s="76" t="s">
        <v>498</v>
      </c>
      <c r="F209"/>
      <c r="G209" s="102">
        <v>0</v>
      </c>
      <c r="H209" s="102"/>
      <c r="I209" s="102"/>
    </row>
    <row r="210" spans="2:9" ht="15" customHeight="1">
      <c r="B210" s="112" t="str">
        <f t="shared" si="23"/>
        <v>WBA ZM EthernetADSLStandard</v>
      </c>
      <c r="C210" s="76" t="s">
        <v>122</v>
      </c>
      <c r="D210" s="76" t="s">
        <v>42</v>
      </c>
      <c r="E210" s="76" t="s">
        <v>498</v>
      </c>
      <c r="F210" s="103"/>
      <c r="G210" s="102">
        <v>0</v>
      </c>
      <c r="H210" s="102"/>
      <c r="I210" s="102"/>
    </row>
    <row r="211" spans="2:9" ht="15" customHeight="1">
      <c r="B211" s="112" t="str">
        <f t="shared" si="23"/>
        <v>WBA ZM EthernetVDSLStandard</v>
      </c>
      <c r="C211" s="76" t="s">
        <v>122</v>
      </c>
      <c r="D211" s="76" t="s">
        <v>77</v>
      </c>
      <c r="E211" s="76" t="s">
        <v>498</v>
      </c>
      <c r="F211"/>
      <c r="G211" s="102">
        <v>0</v>
      </c>
      <c r="H211" s="102"/>
      <c r="I211" s="102"/>
    </row>
    <row r="212" spans="2:9" ht="15" customHeight="1">
      <c r="B212" s="112" t="str">
        <f t="shared" si="23"/>
        <v>WBA ZM EthernetSDSLStandard</v>
      </c>
      <c r="C212" s="76" t="s">
        <v>122</v>
      </c>
      <c r="D212" s="76" t="s">
        <v>64</v>
      </c>
      <c r="E212" s="76" t="s">
        <v>498</v>
      </c>
      <c r="F212"/>
      <c r="G212" s="102">
        <v>0</v>
      </c>
      <c r="H212" s="102"/>
      <c r="I212" s="102"/>
    </row>
    <row r="213" spans="2:9" ht="15" customHeight="1">
      <c r="B213" s="112" t="str">
        <f t="shared" si="23"/>
        <v>WBA ZM EthernetFttHStandard</v>
      </c>
      <c r="C213" s="76" t="s">
        <v>122</v>
      </c>
      <c r="D213" s="76" t="s">
        <v>119</v>
      </c>
      <c r="E213" s="76" t="s">
        <v>498</v>
      </c>
      <c r="F213"/>
      <c r="G213" s="102">
        <v>0</v>
      </c>
      <c r="H213" s="102"/>
      <c r="I213" s="102"/>
    </row>
    <row r="214" spans="2:9" ht="15" customHeight="1">
      <c r="B214" s="112" t="str">
        <f t="shared" si="23"/>
        <v>WBA ZM EthernetFttOStandard</v>
      </c>
      <c r="C214" s="76" t="s">
        <v>122</v>
      </c>
      <c r="D214" s="76" t="s">
        <v>168</v>
      </c>
      <c r="E214" s="76" t="s">
        <v>498</v>
      </c>
      <c r="F214" s="103"/>
      <c r="G214" s="102">
        <v>0</v>
      </c>
      <c r="H214" s="102"/>
      <c r="I214" s="102"/>
    </row>
  </sheetData>
  <pageMargins left="0.7" right="0.7" top="0.75" bottom="0.75" header="0.3" footer="0.3"/>
  <pageSetup paperSize="9" orientation="portrait" r:id="rId1"/>
  <legacy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>
    <tabColor theme="3" tint="0.59999389629810485"/>
  </sheetPr>
  <dimension ref="A1:CA68"/>
  <sheetViews>
    <sheetView topLeftCell="AU1" workbookViewId="0">
      <selection activeCell="BE3" sqref="BE3"/>
    </sheetView>
  </sheetViews>
  <sheetFormatPr defaultRowHeight="15"/>
  <cols>
    <col min="1" max="1" width="32.5703125" customWidth="1"/>
    <col min="2" max="2" width="33.42578125" customWidth="1"/>
    <col min="4" max="4" width="10" customWidth="1"/>
    <col min="5" max="5" width="10.5703125" customWidth="1"/>
    <col min="6" max="7" width="1.5703125" customWidth="1"/>
    <col min="8" max="9" width="10.5703125" customWidth="1"/>
    <col min="10" max="10" width="24.28515625" customWidth="1"/>
    <col min="11" max="11" width="2.7109375" customWidth="1"/>
    <col min="13" max="13" width="19.5703125" customWidth="1"/>
    <col min="14" max="14" width="11.5703125" customWidth="1"/>
    <col min="15" max="15" width="15.7109375" customWidth="1"/>
    <col min="16" max="16" width="2" customWidth="1"/>
    <col min="17" max="17" width="14.28515625" customWidth="1"/>
    <col min="18" max="18" width="11.42578125" customWidth="1"/>
    <col min="19" max="19" width="19.28515625" customWidth="1"/>
    <col min="20" max="20" width="32.42578125" customWidth="1"/>
    <col min="21" max="21" width="31" customWidth="1"/>
    <col min="22" max="22" width="4.140625" customWidth="1"/>
    <col min="23" max="23" width="10.85546875" customWidth="1"/>
    <col min="24" max="24" width="9.140625" customWidth="1"/>
    <col min="25" max="25" width="10.28515625" customWidth="1"/>
    <col min="26" max="26" width="9.140625" customWidth="1"/>
    <col min="29" max="31" width="9.140625" customWidth="1"/>
    <col min="33" max="33" width="11.42578125" customWidth="1"/>
    <col min="34" max="34" width="2.7109375" style="203" customWidth="1"/>
    <col min="35" max="35" width="11.42578125" customWidth="1"/>
    <col min="36" max="36" width="11.28515625" customWidth="1"/>
    <col min="37" max="37" width="9.7109375" customWidth="1"/>
    <col min="38" max="41" width="9.140625" customWidth="1"/>
    <col min="42" max="42" width="11.42578125" customWidth="1"/>
    <col min="43" max="43" width="9.140625" customWidth="1"/>
    <col min="44" max="44" width="10.140625" customWidth="1"/>
    <col min="45" max="45" width="9.140625" customWidth="1"/>
    <col min="46" max="46" width="6.7109375" customWidth="1"/>
    <col min="47" max="47" width="9.140625" customWidth="1"/>
    <col min="48" max="48" width="11.42578125" customWidth="1"/>
    <col min="49" max="49" width="4.42578125" style="203" customWidth="1"/>
    <col min="50" max="50" width="8.28515625" customWidth="1"/>
    <col min="51" max="51" width="12.7109375" customWidth="1"/>
    <col min="52" max="52" width="1.42578125" customWidth="1"/>
    <col min="53" max="53" width="12.7109375" customWidth="1"/>
    <col min="54" max="54" width="4.42578125" style="203" customWidth="1"/>
    <col min="55" max="55" width="12.85546875" customWidth="1"/>
    <col min="56" max="56" width="4.140625" style="203" customWidth="1"/>
    <col min="57" max="57" width="12.7109375" customWidth="1"/>
    <col min="58" max="58" width="10.7109375" customWidth="1"/>
    <col min="59" max="59" width="12" customWidth="1"/>
    <col min="60" max="60" width="4.42578125" customWidth="1"/>
    <col min="61" max="61" width="15" customWidth="1"/>
    <col min="62" max="62" width="26.85546875" customWidth="1"/>
    <col min="64" max="64" width="41" bestFit="1" customWidth="1"/>
    <col min="65" max="65" width="9.7109375" customWidth="1"/>
    <col min="66" max="66" width="9.5703125" customWidth="1"/>
    <col min="67" max="67" width="11.42578125" customWidth="1"/>
    <col min="69" max="69" width="4.42578125" customWidth="1"/>
    <col min="70" max="70" width="7.5703125" customWidth="1"/>
    <col min="72" max="72" width="1.28515625" customWidth="1"/>
    <col min="74" max="74" width="4" customWidth="1"/>
    <col min="76" max="76" width="4.5703125" customWidth="1"/>
  </cols>
  <sheetData>
    <row r="1" spans="1:79" s="106" customFormat="1">
      <c r="A1" s="125"/>
      <c r="B1" s="125"/>
      <c r="C1" s="125"/>
      <c r="D1" s="126"/>
      <c r="E1" s="126"/>
      <c r="F1" s="126"/>
      <c r="G1" s="126"/>
      <c r="H1" s="126"/>
      <c r="I1" s="126"/>
      <c r="J1" s="164"/>
      <c r="K1" s="126"/>
      <c r="L1" s="125"/>
      <c r="M1" s="126"/>
      <c r="N1" s="126"/>
      <c r="O1" s="126"/>
      <c r="P1" s="126"/>
      <c r="Q1" s="126"/>
      <c r="R1" s="126"/>
      <c r="S1" s="126"/>
      <c r="T1" s="126"/>
      <c r="U1" s="164"/>
      <c r="V1" s="126"/>
      <c r="W1" s="974" t="s">
        <v>362</v>
      </c>
      <c r="X1" s="975"/>
      <c r="Y1" s="975"/>
      <c r="Z1" s="975"/>
      <c r="AA1" s="975"/>
      <c r="AB1" s="975"/>
      <c r="AC1" s="975"/>
      <c r="AD1" s="975"/>
      <c r="AE1" s="975"/>
      <c r="AF1" s="975"/>
      <c r="AG1" s="976"/>
      <c r="AH1" s="208"/>
      <c r="AI1" s="969" t="s">
        <v>363</v>
      </c>
      <c r="AJ1" s="970"/>
      <c r="AK1" s="970"/>
      <c r="AL1" s="970"/>
      <c r="AM1" s="970"/>
      <c r="AN1" s="970"/>
      <c r="AO1" s="970"/>
      <c r="AP1" s="970"/>
      <c r="AQ1" s="970"/>
      <c r="AR1" s="970"/>
      <c r="AS1" s="970"/>
      <c r="AT1" s="970"/>
      <c r="AU1" s="970"/>
      <c r="AV1" s="970"/>
      <c r="AW1" s="210"/>
      <c r="AX1" s="964" t="s">
        <v>364</v>
      </c>
      <c r="AY1" s="964"/>
      <c r="AZ1" s="964"/>
      <c r="BA1" s="964"/>
      <c r="BB1" s="210"/>
      <c r="BC1" s="212"/>
      <c r="BD1" s="208"/>
      <c r="BE1" s="965" t="s">
        <v>365</v>
      </c>
      <c r="BF1" s="966"/>
      <c r="BG1" s="967"/>
      <c r="BI1" s="180" t="s">
        <v>366</v>
      </c>
      <c r="BJ1" s="181"/>
      <c r="BM1" s="968" t="s">
        <v>505</v>
      </c>
      <c r="BN1" s="968"/>
      <c r="BO1" s="968"/>
      <c r="BP1" s="968"/>
      <c r="BR1" s="964" t="s">
        <v>504</v>
      </c>
      <c r="BS1" s="964"/>
      <c r="BT1" s="964"/>
      <c r="BU1" s="964"/>
      <c r="BW1" s="204" t="s">
        <v>506</v>
      </c>
      <c r="BY1" s="965" t="s">
        <v>503</v>
      </c>
      <c r="BZ1" s="966"/>
      <c r="CA1" s="967"/>
    </row>
    <row r="2" spans="1:79" s="106" customFormat="1">
      <c r="A2" s="127"/>
      <c r="B2" s="127"/>
      <c r="C2" s="971" t="s">
        <v>367</v>
      </c>
      <c r="D2" s="972"/>
      <c r="E2" s="972"/>
      <c r="F2" s="972"/>
      <c r="G2" s="972"/>
      <c r="H2" s="972"/>
      <c r="I2" s="972"/>
      <c r="J2" s="973"/>
      <c r="K2" s="217"/>
      <c r="L2" s="971" t="s">
        <v>368</v>
      </c>
      <c r="M2" s="972"/>
      <c r="N2" s="972"/>
      <c r="O2" s="972"/>
      <c r="P2" s="972"/>
      <c r="Q2" s="972"/>
      <c r="R2" s="972"/>
      <c r="S2" s="972"/>
      <c r="T2" s="972"/>
      <c r="U2" s="973"/>
      <c r="V2" s="217"/>
      <c r="W2" s="978" t="s">
        <v>146</v>
      </c>
      <c r="X2" s="977"/>
      <c r="Y2" s="977"/>
      <c r="Z2" s="977"/>
      <c r="AA2" s="977"/>
      <c r="AB2" s="977"/>
      <c r="AC2" s="977" t="s">
        <v>145</v>
      </c>
      <c r="AD2" s="977"/>
      <c r="AE2" s="977"/>
      <c r="AF2" s="977"/>
      <c r="AG2" s="157" t="s">
        <v>369</v>
      </c>
      <c r="AH2" s="177"/>
      <c r="AI2" s="979" t="s">
        <v>146</v>
      </c>
      <c r="AJ2" s="968"/>
      <c r="AK2" s="968"/>
      <c r="AL2" s="968"/>
      <c r="AM2" s="968"/>
      <c r="AN2" s="968"/>
      <c r="AO2" s="968"/>
      <c r="AP2" s="968" t="s">
        <v>145</v>
      </c>
      <c r="AQ2" s="968"/>
      <c r="AR2" s="968"/>
      <c r="AS2" s="968"/>
      <c r="AT2" s="968"/>
      <c r="AU2" s="968"/>
      <c r="AV2" s="204" t="s">
        <v>370</v>
      </c>
      <c r="AW2" s="205"/>
      <c r="AX2" s="917"/>
      <c r="AY2" s="917"/>
      <c r="AZ2" s="917"/>
      <c r="BA2" s="917"/>
      <c r="BB2" s="205"/>
      <c r="BC2" s="213" t="s">
        <v>371</v>
      </c>
      <c r="BD2" s="177"/>
      <c r="BE2" s="138"/>
      <c r="BF2" s="130"/>
      <c r="BG2" s="131"/>
      <c r="BI2" s="174"/>
      <c r="BJ2" s="175"/>
      <c r="BM2" s="204"/>
      <c r="BN2" s="204"/>
      <c r="BO2" s="204"/>
      <c r="BP2" s="204"/>
      <c r="BQ2" s="205"/>
      <c r="BR2" s="917"/>
      <c r="BS2" s="917"/>
      <c r="BT2" s="917"/>
      <c r="BU2" s="917"/>
      <c r="BV2" s="205"/>
      <c r="BW2" s="213" t="s">
        <v>371</v>
      </c>
      <c r="BX2" s="177"/>
      <c r="BY2" s="138"/>
      <c r="BZ2" s="130"/>
      <c r="CA2" s="131"/>
    </row>
    <row r="3" spans="1:79" s="124" customFormat="1" ht="60">
      <c r="A3" s="132" t="s">
        <v>372</v>
      </c>
      <c r="B3" s="132" t="s">
        <v>373</v>
      </c>
      <c r="C3" s="132" t="s">
        <v>136</v>
      </c>
      <c r="D3" s="133" t="s">
        <v>374</v>
      </c>
      <c r="E3" s="133" t="s">
        <v>39</v>
      </c>
      <c r="F3" s="133"/>
      <c r="G3" s="133"/>
      <c r="H3" s="133" t="s">
        <v>148</v>
      </c>
      <c r="I3" s="133" t="s">
        <v>149</v>
      </c>
      <c r="J3" s="165" t="s">
        <v>36</v>
      </c>
      <c r="K3" s="133"/>
      <c r="L3" s="132" t="s">
        <v>137</v>
      </c>
      <c r="M3" s="133" t="s">
        <v>120</v>
      </c>
      <c r="N3" s="206" t="s">
        <v>1336</v>
      </c>
      <c r="O3" s="206" t="s">
        <v>376</v>
      </c>
      <c r="P3" s="206"/>
      <c r="Q3" s="206" t="s">
        <v>148</v>
      </c>
      <c r="R3" s="286" t="s">
        <v>1337</v>
      </c>
      <c r="S3" s="133" t="s">
        <v>149</v>
      </c>
      <c r="T3" s="133" t="s">
        <v>378</v>
      </c>
      <c r="U3" s="165" t="s">
        <v>379</v>
      </c>
      <c r="V3" s="133"/>
      <c r="W3" s="158" t="s">
        <v>380</v>
      </c>
      <c r="X3" s="134" t="s">
        <v>146</v>
      </c>
      <c r="Y3" s="134" t="s">
        <v>381</v>
      </c>
      <c r="Z3" s="134" t="s">
        <v>20</v>
      </c>
      <c r="AA3" s="134" t="s">
        <v>382</v>
      </c>
      <c r="AB3" s="134" t="s">
        <v>383</v>
      </c>
      <c r="AC3" s="134" t="s">
        <v>145</v>
      </c>
      <c r="AD3" s="134" t="s">
        <v>384</v>
      </c>
      <c r="AE3" s="134" t="s">
        <v>21</v>
      </c>
      <c r="AF3" s="134" t="s">
        <v>385</v>
      </c>
      <c r="AG3" s="159" t="s">
        <v>386</v>
      </c>
      <c r="AH3" s="206"/>
      <c r="AI3" s="146" t="s">
        <v>387</v>
      </c>
      <c r="AJ3" s="135" t="s">
        <v>163</v>
      </c>
      <c r="AK3" s="135" t="s">
        <v>164</v>
      </c>
      <c r="AL3" s="135" t="s">
        <v>388</v>
      </c>
      <c r="AM3" s="135" t="s">
        <v>389</v>
      </c>
      <c r="AN3" s="135" t="s">
        <v>382</v>
      </c>
      <c r="AO3" s="135" t="s">
        <v>383</v>
      </c>
      <c r="AP3" s="135" t="s">
        <v>390</v>
      </c>
      <c r="AQ3" s="135" t="s">
        <v>145</v>
      </c>
      <c r="AR3" s="135" t="s">
        <v>391</v>
      </c>
      <c r="AS3" s="135" t="s">
        <v>392</v>
      </c>
      <c r="AT3" s="135">
        <v>0</v>
      </c>
      <c r="AU3" s="135" t="s">
        <v>385</v>
      </c>
      <c r="AV3" s="135" t="s">
        <v>386</v>
      </c>
      <c r="AW3" s="206"/>
      <c r="AX3" s="211" t="s">
        <v>393</v>
      </c>
      <c r="AY3" s="211" t="s">
        <v>394</v>
      </c>
      <c r="AZ3" s="211"/>
      <c r="BA3" s="211" t="s">
        <v>395</v>
      </c>
      <c r="BB3" s="206"/>
      <c r="BC3" s="214" t="s">
        <v>396</v>
      </c>
      <c r="BD3" s="206"/>
      <c r="BE3" s="139" t="s">
        <v>397</v>
      </c>
      <c r="BF3" s="136" t="s">
        <v>398</v>
      </c>
      <c r="BG3" s="137" t="s">
        <v>399</v>
      </c>
      <c r="BI3" s="182" t="s">
        <v>400</v>
      </c>
      <c r="BJ3" s="183" t="s">
        <v>401</v>
      </c>
      <c r="BL3" s="124" t="s">
        <v>1341</v>
      </c>
      <c r="BM3" s="267" t="s">
        <v>382</v>
      </c>
      <c r="BN3" s="267" t="s">
        <v>383</v>
      </c>
      <c r="BO3" s="267" t="s">
        <v>385</v>
      </c>
      <c r="BP3" s="267" t="s">
        <v>507</v>
      </c>
      <c r="BQ3" s="206"/>
      <c r="BR3" s="211" t="s">
        <v>1647</v>
      </c>
      <c r="BS3" s="211" t="s">
        <v>394</v>
      </c>
      <c r="BT3" s="211"/>
      <c r="BU3" s="211" t="s">
        <v>395</v>
      </c>
      <c r="BV3" s="206"/>
      <c r="BW3" s="214" t="s">
        <v>500</v>
      </c>
      <c r="BX3" s="206"/>
      <c r="BY3" s="139" t="s">
        <v>397</v>
      </c>
      <c r="BZ3" s="136" t="s">
        <v>398</v>
      </c>
      <c r="CA3" s="137" t="s">
        <v>399</v>
      </c>
    </row>
    <row r="4" spans="1:79">
      <c r="A4" t="str">
        <f>C4&amp;D4&amp;E4&amp;H4&amp;I4</f>
        <v>1ADSLBasicnieuwunshared</v>
      </c>
      <c r="B4" t="str">
        <f>A4</f>
        <v>1ADSLBasicnieuwunshared</v>
      </c>
      <c r="C4" s="75">
        <v>1</v>
      </c>
      <c r="D4" s="75" t="s">
        <v>42</v>
      </c>
      <c r="E4" s="75" t="s">
        <v>44</v>
      </c>
      <c r="F4" s="75"/>
      <c r="G4" s="75"/>
      <c r="H4" s="75" t="s">
        <v>125</v>
      </c>
      <c r="I4" s="75" t="s">
        <v>128</v>
      </c>
      <c r="J4" s="142" t="str">
        <f>D4&amp;H4&amp;I4</f>
        <v>ADSLnieuwunshared</v>
      </c>
      <c r="L4" s="160">
        <f>INDEX(Mapping!$J:$J,MATCH(C$3&amp;C4,Mapping!$B:$B,0))</f>
        <v>1</v>
      </c>
      <c r="M4" s="148" t="str">
        <f>INDEX(Mapping!$H:$H,MATCH($E4,Mapping!$B:$B,0))</f>
        <v>WBA CM Ethernet</v>
      </c>
      <c r="N4" s="179" t="str">
        <f>INDEX(Mapping!$I:$I,MATCH($D4&amp;$I4,Mapping!$B:$B,0))</f>
        <v>ADSL</v>
      </c>
      <c r="O4" s="179" t="str">
        <f>INDEX(Mapping!$I:$I,MATCH($D4,Mapping!$B:$B,0))</f>
        <v>ADSL</v>
      </c>
      <c r="P4" s="179"/>
      <c r="Q4" s="179" t="str">
        <f>INDEX(Mapping!$H:$H,MATCH($H4,Mapping!$B:$B,0))</f>
        <v>New line</v>
      </c>
      <c r="R4" s="179" t="s">
        <v>115</v>
      </c>
      <c r="S4" s="271" t="str">
        <f>INDEX(Mapping!$J:$J,MATCH($D4&amp;$I4,Mapping!$B:$B,0))</f>
        <v>unshared</v>
      </c>
      <c r="T4" s="148" t="str">
        <f t="shared" ref="T4:T35" si="0">M4&amp;O4&amp;Q4</f>
        <v>WBA CM EthernetADSLNew line</v>
      </c>
      <c r="U4" s="142" t="str">
        <f t="shared" ref="U4:U35" si="1">M4&amp;O4&amp;S4</f>
        <v>WBA CM EthernetADSLunshared</v>
      </c>
      <c r="W4" s="160">
        <f>MATCH($J4,'Tarieven ZM'!$B:$B,0)</f>
        <v>97</v>
      </c>
      <c r="X4" s="148">
        <f>INDEX('Tarieven ZM'!$H:$H,$W4)</f>
        <v>1000</v>
      </c>
      <c r="Y4" s="161">
        <f>-INDEX(Parameters!$B:$B,MATCH(Y$3,Parameters!$A:$A,0))*$X4</f>
        <v>0</v>
      </c>
      <c r="Z4" s="149">
        <f>-INDEX(Parameters!$B:$B,MATCH(Z$3,Parameters!$A:$A,0))*$X4</f>
        <v>0</v>
      </c>
      <c r="AA4" s="148">
        <f>SUM(X4:Z4)</f>
        <v>1000</v>
      </c>
      <c r="AB4" s="148">
        <f>AA4/INDEX(Parameters!$B:$B,MATCH("AfschrijftermijnVVE"&amp;12*$C4,Parameters!$A:$A,0))</f>
        <v>27.777777777777779</v>
      </c>
      <c r="AC4" s="148">
        <f>INDEX('Tarieven ZM'!$G:$G,$W4)</f>
        <v>1000</v>
      </c>
      <c r="AD4" s="161">
        <f>-INDEX(Parameters!$B:$B,MATCH(AD$3,Parameters!$A:$A,0))*$AC4</f>
        <v>0</v>
      </c>
      <c r="AE4" s="161">
        <f>-INDEX(Parameters!$B:$B,MATCH(AE$3,Parameters!$A:$A,0))*$AC4</f>
        <v>0</v>
      </c>
      <c r="AF4" s="148">
        <f>SUM(AC4:AE4)</f>
        <v>1000</v>
      </c>
      <c r="AG4" s="151">
        <f>SUM(AB4,AF4)</f>
        <v>1027.7777777777778</v>
      </c>
      <c r="AH4" s="209"/>
      <c r="AI4" s="147">
        <f>IF(Q4&lt;&gt;"nvt",MATCH($T4,'Tarieven W&amp;O'!$B:$B,0),"nvt")</f>
        <v>16</v>
      </c>
      <c r="AJ4" s="262">
        <f>IF(AI4&lt;&gt;"nvt",INDEX('Tarieven W&amp;O'!$H:$H,$AI4)+INDEX(Parameters!C:C,MATCH("NLSx "&amp;O4&amp;" "&amp;M4,Parameters!A:A,0)),0)</f>
        <v>65</v>
      </c>
      <c r="AK4" s="148">
        <f>IF(AI4&lt;&gt;"nvt",INDEX('Tarieven W&amp;O'!$I:$I,$AI4),0)</f>
        <v>25</v>
      </c>
      <c r="AL4" s="149">
        <f>IF(AI4&lt;&gt;"nvt",-INDEX(Parameters!$B:$B,MATCH(AL$3&amp;$M4,Parameters!$A:$A,0))*(AJ4+AK4),0)</f>
        <v>0</v>
      </c>
      <c r="AM4" s="149"/>
      <c r="AN4" s="148">
        <f>SUM(AJ4:AM4)</f>
        <v>90</v>
      </c>
      <c r="AO4" s="171">
        <f>AN4/INDEX(Parameters!$B:$B,MATCH("AfschrijftermijnVVE"&amp;12*$C4,Parameters!$A:$A,0))</f>
        <v>2.5</v>
      </c>
      <c r="AP4" s="148">
        <f>MATCH($U4,'Tarieven W&amp;O'!$B:$B,0)</f>
        <v>8</v>
      </c>
      <c r="AQ4" s="150">
        <f>IF(AP4&lt;&gt;"nvt",INDEX('Tarieven W&amp;O'!$G:$G,$AP4),0)</f>
        <v>13.09</v>
      </c>
      <c r="AR4" s="277">
        <f>-INDEX(Parameters!$B:$B,MATCH(AR$3&amp;$M4&amp;O4,Parameters!$A:$A,0))*(AQ4)</f>
        <v>-1.3090000000000002</v>
      </c>
      <c r="AS4" s="148"/>
      <c r="AT4" s="148"/>
      <c r="AU4" s="202">
        <f>SUM(AQ4:AT4)</f>
        <v>11.780999999999999</v>
      </c>
      <c r="AV4" s="202">
        <f>SUM(AO4,AU4)</f>
        <v>14.280999999999999</v>
      </c>
      <c r="AW4" s="202"/>
      <c r="AX4" s="150">
        <f>Parameters!$B$6*AV4</f>
        <v>0.14280999999999999</v>
      </c>
      <c r="AY4" s="202">
        <v>0</v>
      </c>
      <c r="AZ4" s="202"/>
      <c r="BA4" s="150">
        <f>SUM(AX4:AZ4)</f>
        <v>0.14280999999999999</v>
      </c>
      <c r="BB4" s="202"/>
      <c r="BC4" s="151">
        <f>SUM(AV4,BA4)</f>
        <v>14.42381</v>
      </c>
      <c r="BD4" s="209"/>
      <c r="BE4" s="140">
        <f t="shared" ref="BE4:BE39" si="2">AG4-BC4</f>
        <v>1013.3539677777778</v>
      </c>
      <c r="BF4" s="141">
        <f t="shared" ref="BF4:BF39" si="3">IF(AG4=0,-999%,BE4/AG4)</f>
        <v>0.98596602270270273</v>
      </c>
      <c r="BG4" s="142" t="b">
        <f>BF4&lt;0</f>
        <v>0</v>
      </c>
      <c r="BI4" s="188" t="s">
        <v>538</v>
      </c>
      <c r="BJ4" s="189"/>
      <c r="BK4">
        <f>VLOOKUP(J4,'Tarieven ZM'!$B$7:$I$146,8,0)</f>
        <v>0</v>
      </c>
      <c r="BL4" s="203" t="str">
        <f>N4&amp;Q4&amp;S4</f>
        <v>ADSLNew lineunshared</v>
      </c>
      <c r="BM4" s="282">
        <f>INDEX('inkoop ULL tbv Epacity'!$J:$J,MATCH(BL4,'inkoop ULL tbv Epacity'!$H:$H,0),0)</f>
        <v>75</v>
      </c>
      <c r="BN4" s="171">
        <f>BM4/INDEX(Parameters!$B:$B,MATCH("AfschrijftermijnVVE"&amp;12*$C4,Parameters!$A:$A,0))</f>
        <v>2.0833333333333335</v>
      </c>
      <c r="BO4" s="263">
        <f>INDEX('inkoop ULL tbv Epacity'!$I:$I,MATCH(BL4,'inkoop ULL tbv Epacity'!$H:$H,0),0)</f>
        <v>12.501783475119046</v>
      </c>
      <c r="BP4" s="263">
        <f>BN4+BO4</f>
        <v>14.58511680845238</v>
      </c>
      <c r="BQ4" s="203"/>
      <c r="BR4" s="262">
        <f>Parameters!$B$12*AG4</f>
        <v>102.77777777777779</v>
      </c>
      <c r="BS4" s="262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SUM(Distributievergoedingen!$F$12,Distributievergoedingen!$I$12,Distributievergoedingen!$L$12,Distributievergoedingen!$O$12)*AF4+SUM(Distributievergoedingen!$O$12*AA4+Distributievergoedingen!$R$12+Distributievergoedingen!$U$12+Distributievergoedingen!$X$12)/(MAX(36,12*L4))</f>
        <v>112.77777777777777</v>
      </c>
      <c r="BT4" s="150"/>
      <c r="BU4" s="150">
        <f>SUM(BR4:BT4)</f>
        <v>215.55555555555554</v>
      </c>
      <c r="BW4" s="151">
        <f>SUM(BP4,BU4)</f>
        <v>230.14067236400791</v>
      </c>
      <c r="BY4" s="140">
        <f>AG4-BW4</f>
        <v>797.63710541376986</v>
      </c>
      <c r="BZ4" s="141">
        <f>IF(AG4=0,-999%,BY4/AG4)</f>
        <v>0.7760793458079922</v>
      </c>
      <c r="CA4" s="142" t="b">
        <f>BZ4&lt;0</f>
        <v>0</v>
      </c>
    </row>
    <row r="5" spans="1:79">
      <c r="A5" s="203" t="str">
        <f t="shared" ref="A5:A23" si="4">C5&amp;D5&amp;E5&amp;H5&amp;I5</f>
        <v>1VDSLEntrynieuwunshared</v>
      </c>
      <c r="B5" s="203" t="str">
        <f t="shared" ref="B5:B63" si="5">A5</f>
        <v>1VDSLEntrynieuwunshared</v>
      </c>
      <c r="C5" s="438">
        <v>1</v>
      </c>
      <c r="D5" s="438" t="s">
        <v>77</v>
      </c>
      <c r="E5" s="438" t="s">
        <v>78</v>
      </c>
      <c r="F5" s="438"/>
      <c r="G5" s="438"/>
      <c r="H5" s="438" t="s">
        <v>125</v>
      </c>
      <c r="I5" s="438" t="s">
        <v>128</v>
      </c>
      <c r="J5" s="274" t="str">
        <f t="shared" ref="J5:J23" si="6">D5&amp;H5&amp;I5</f>
        <v>VDSLnieuwunshared</v>
      </c>
      <c r="L5" s="160">
        <f>INDEX(Mapping!$J:$J,MATCH(C$3&amp;C5,Mapping!$B:$B,0))</f>
        <v>1</v>
      </c>
      <c r="M5" s="148" t="str">
        <f>INDEX(Mapping!$H:$H,MATCH($E5,Mapping!$B:$B,0))</f>
        <v>WBA CM Ethernet</v>
      </c>
      <c r="N5" s="179" t="str">
        <f>INDEX(Mapping!$I:$I,MATCH($D5&amp;$I5,Mapping!$B:$B,0))</f>
        <v>VDSL</v>
      </c>
      <c r="O5" s="179" t="str">
        <f>INDEX(Mapping!$I:$I,MATCH($D5,Mapping!$B:$B,0))</f>
        <v>VDSL</v>
      </c>
      <c r="P5" s="179"/>
      <c r="Q5" s="179" t="str">
        <f>INDEX(Mapping!$H:$H,MATCH($H5,Mapping!$B:$B,0))</f>
        <v>New line</v>
      </c>
      <c r="R5" s="179" t="s">
        <v>115</v>
      </c>
      <c r="S5" s="148" t="str">
        <f>INDEX(Mapping!$J:$J,MATCH($D5&amp;$I5,Mapping!$B:$B,0))</f>
        <v>unshared</v>
      </c>
      <c r="T5" s="148" t="str">
        <f t="shared" si="0"/>
        <v>WBA CM EthernetVDSLNew line</v>
      </c>
      <c r="U5" s="142" t="str">
        <f t="shared" si="1"/>
        <v>WBA CM EthernetVDSLunshared</v>
      </c>
      <c r="W5" s="160">
        <f>MATCH($J5,'Tarieven ZM'!$B:$B,0)</f>
        <v>98</v>
      </c>
      <c r="X5" s="148">
        <f>INDEX('Tarieven ZM'!$H:$H,$W5)</f>
        <v>1000</v>
      </c>
      <c r="Y5" s="161">
        <f>-INDEX(Parameters!$B:$B,MATCH(Y$3,Parameters!$A:$A,0))*$X5</f>
        <v>0</v>
      </c>
      <c r="Z5" s="149">
        <f>-INDEX(Parameters!$B:$B,MATCH(Z$3,Parameters!$A:$A,0))*$X5</f>
        <v>0</v>
      </c>
      <c r="AA5" s="148">
        <f t="shared" ref="AA5:AA23" si="7">SUM(X5:Z5)</f>
        <v>1000</v>
      </c>
      <c r="AB5" s="148">
        <f>AA5/INDEX(Parameters!$B:$B,MATCH("AfschrijftermijnVVE"&amp;12*$C5,Parameters!$A:$A,0))</f>
        <v>27.777777777777779</v>
      </c>
      <c r="AC5" s="148">
        <f>INDEX('Tarieven ZM'!$G:$G,$W5)</f>
        <v>1000</v>
      </c>
      <c r="AD5" s="161">
        <f>-INDEX(Parameters!$B:$B,MATCH(AD$3,Parameters!$A:$A,0))*$AC5</f>
        <v>0</v>
      </c>
      <c r="AE5" s="161">
        <f>-INDEX(Parameters!$B:$B,MATCH(AE$3,Parameters!$A:$A,0))*$AC5</f>
        <v>0</v>
      </c>
      <c r="AF5" s="148">
        <f t="shared" ref="AF5:AF23" si="8">SUM(AC5:AE5)</f>
        <v>1000</v>
      </c>
      <c r="AG5" s="151">
        <f t="shared" ref="AG5:AG63" si="9">SUM(AB5,AF5)</f>
        <v>1027.7777777777778</v>
      </c>
      <c r="AH5" s="209"/>
      <c r="AI5" s="147">
        <f>IF(Q5&lt;&gt;"nvt",MATCH($T5,'Tarieven W&amp;O'!$B:$B,0),"nvt")</f>
        <v>17</v>
      </c>
      <c r="AJ5" s="262">
        <f>IF(AI5&lt;&gt;"nvt",INDEX('Tarieven W&amp;O'!$H:$H,$AI5)+INDEX(Parameters!C:C,MATCH("NLSx "&amp;O5&amp;" "&amp;M5,Parameters!A:A,0)),0)</f>
        <v>65</v>
      </c>
      <c r="AK5" s="148">
        <f>IF(AI5&lt;&gt;"nvt",INDEX('Tarieven W&amp;O'!$I:$I,$AI5),0)</f>
        <v>25</v>
      </c>
      <c r="AL5" s="149">
        <f>IF(AI5&lt;&gt;"nvt",-INDEX(Parameters!$B:$B,MATCH(AL$3&amp;$M5,Parameters!$A:$A,0))*(AJ5+AK5),0)</f>
        <v>0</v>
      </c>
      <c r="AM5" s="149"/>
      <c r="AN5" s="148">
        <f t="shared" ref="AN5:AN63" si="10">SUM(AJ5:AM5)</f>
        <v>90</v>
      </c>
      <c r="AO5" s="171">
        <f>AN5/INDEX(Parameters!$B:$B,MATCH("AfschrijftermijnVVE"&amp;12*$C5,Parameters!$A:$A,0))</f>
        <v>2.5</v>
      </c>
      <c r="AP5" s="148">
        <f>MATCH($U5,'Tarieven W&amp;O'!$B:$B,0)</f>
        <v>9</v>
      </c>
      <c r="AQ5" s="150">
        <f>IF(AP5&lt;&gt;"nvt",INDEX('Tarieven W&amp;O'!$G:$G,$AP5),0)</f>
        <v>13.09</v>
      </c>
      <c r="AR5" s="277">
        <f>-INDEX(Parameters!$B:$B,MATCH(AR$3&amp;$M5&amp;O5,Parameters!$A:$A,0))*(AQ5)</f>
        <v>-1.3090000000000002</v>
      </c>
      <c r="AS5" s="148"/>
      <c r="AT5" s="148"/>
      <c r="AU5" s="150">
        <f t="shared" ref="AU5:AU63" si="11">SUM(AQ5:AT5)</f>
        <v>11.780999999999999</v>
      </c>
      <c r="AV5" s="150">
        <f t="shared" ref="AV5:AV63" si="12">SUM(AO5,AU5)</f>
        <v>14.280999999999999</v>
      </c>
      <c r="AW5" s="202"/>
      <c r="AX5" s="150">
        <f>Parameters!$B$6*AV5</f>
        <v>0.14280999999999999</v>
      </c>
      <c r="AY5" s="202">
        <v>0</v>
      </c>
      <c r="AZ5" s="202"/>
      <c r="BA5" s="150">
        <f t="shared" ref="BA5:BA63" si="13">SUM(AX5:AZ5)</f>
        <v>0.14280999999999999</v>
      </c>
      <c r="BB5" s="202"/>
      <c r="BC5" s="151">
        <f t="shared" ref="BC5:BC63" si="14">SUM(AV5,BA5)</f>
        <v>14.42381</v>
      </c>
      <c r="BD5" s="209"/>
      <c r="BE5" s="140">
        <f t="shared" si="2"/>
        <v>1013.3539677777778</v>
      </c>
      <c r="BF5" s="141">
        <f t="shared" si="3"/>
        <v>0.98596602270270273</v>
      </c>
      <c r="BG5" s="142" t="b">
        <f t="shared" ref="BG5:BG63" si="15">BF5&lt;0</f>
        <v>0</v>
      </c>
      <c r="BI5" s="188" t="s">
        <v>538</v>
      </c>
      <c r="BJ5" s="189"/>
      <c r="BK5">
        <f>VLOOKUP(J5,'Tarieven ZM'!$B$7:$I$146,8,0)</f>
        <v>0</v>
      </c>
      <c r="BL5" s="203" t="str">
        <f t="shared" ref="BL5:BL63" si="16">N5&amp;Q5&amp;S5</f>
        <v>VDSLNew lineunshared</v>
      </c>
      <c r="BM5" s="282">
        <f>INDEX('inkoop ULL tbv Epacity'!$J:$J,MATCH(BL5,'inkoop ULL tbv Epacity'!$H:$H,0),0)</f>
        <v>75</v>
      </c>
      <c r="BN5" s="171">
        <f>BM5/INDEX(Parameters!$B:$B,MATCH("AfschrijftermijnVVE"&amp;12*$C5,Parameters!$A:$A,0))</f>
        <v>2.0833333333333335</v>
      </c>
      <c r="BO5" s="263">
        <f>INDEX('inkoop ULL tbv Epacity'!$I:$I,MATCH(BL5,'inkoop ULL tbv Epacity'!$H:$H,0),0)</f>
        <v>12.501783475119046</v>
      </c>
      <c r="BP5" s="263">
        <f t="shared" ref="BP5:BP63" si="17">BN5+BO5</f>
        <v>14.58511680845238</v>
      </c>
      <c r="BQ5" s="203"/>
      <c r="BR5" s="262">
        <f>Parameters!$B$12*AG5</f>
        <v>102.77777777777779</v>
      </c>
      <c r="BS5" s="262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SUM(Distributievergoedingen!$F$12,Distributievergoedingen!$I$12,Distributievergoedingen!$L$12,Distributievergoedingen!$O$12)*AF5+SUM(Distributievergoedingen!$O$12*AA5+Distributievergoedingen!$R$12+Distributievergoedingen!$U$12+Distributievergoedingen!$X$12)/(MAX(36,12*L5))</f>
        <v>112.77777777777777</v>
      </c>
      <c r="BT5" s="150"/>
      <c r="BU5" s="150">
        <f t="shared" ref="BU5:BU63" si="18">SUM(BR5:BT5)</f>
        <v>215.55555555555554</v>
      </c>
      <c r="BW5" s="151">
        <f t="shared" ref="BW5:BW63" si="19">SUM(BP5,BU5)</f>
        <v>230.14067236400791</v>
      </c>
      <c r="BY5" s="140">
        <f t="shared" ref="BY5:BY63" si="20">AG5-BW5</f>
        <v>797.63710541376986</v>
      </c>
      <c r="BZ5" s="141">
        <f t="shared" ref="BZ5:BZ63" si="21">IF(AG5=0,-999%,BY5/AG5)</f>
        <v>0.7760793458079922</v>
      </c>
      <c r="CA5" s="142" t="b">
        <f t="shared" ref="CA5:CA63" si="22">BZ5&lt;0</f>
        <v>0</v>
      </c>
    </row>
    <row r="6" spans="1:79">
      <c r="A6" s="203" t="str">
        <f t="shared" si="4"/>
        <v>1VDSL bondingEntrynieuwunshared</v>
      </c>
      <c r="B6" s="203" t="str">
        <f t="shared" si="5"/>
        <v>1VDSL bondingEntrynieuwunshared</v>
      </c>
      <c r="C6" s="438">
        <v>1</v>
      </c>
      <c r="D6" s="438" t="s">
        <v>222</v>
      </c>
      <c r="E6" s="438" t="s">
        <v>78</v>
      </c>
      <c r="F6" s="438"/>
      <c r="G6" s="438"/>
      <c r="H6" s="438" t="s">
        <v>125</v>
      </c>
      <c r="I6" s="438" t="s">
        <v>128</v>
      </c>
      <c r="J6" s="274" t="str">
        <f t="shared" si="6"/>
        <v>VDSL bondingnieuwunshared</v>
      </c>
      <c r="L6" s="160">
        <f>INDEX(Mapping!$J:$J,MATCH(C$3&amp;C6,Mapping!$B:$B,0))</f>
        <v>1</v>
      </c>
      <c r="M6" s="148" t="str">
        <f>INDEX(Mapping!$H:$H,MATCH($E6,Mapping!$B:$B,0))</f>
        <v>WBA CM Ethernet</v>
      </c>
      <c r="N6" s="179" t="str">
        <f>INDEX(Mapping!$I:$I,MATCH($D6&amp;$I6,Mapping!$B:$B,0))</f>
        <v>VDSL Bonding</v>
      </c>
      <c r="O6" s="179" t="str">
        <f>INDEX(Mapping!$I:$I,MATCH($D6,Mapping!$B:$B,0))</f>
        <v>VDSL Bonding</v>
      </c>
      <c r="P6" s="179"/>
      <c r="Q6" s="179" t="str">
        <f>INDEX(Mapping!$H:$H,MATCH($H6,Mapping!$B:$B,0))</f>
        <v>New line</v>
      </c>
      <c r="R6" s="179" t="s">
        <v>115</v>
      </c>
      <c r="S6" s="148" t="str">
        <f>INDEX(Mapping!$J:$J,MATCH($D6&amp;$I6,Mapping!$B:$B,0))</f>
        <v>unshared</v>
      </c>
      <c r="T6" s="148" t="str">
        <f t="shared" si="0"/>
        <v>WBA CM EthernetVDSL BondingNew line</v>
      </c>
      <c r="U6" s="142" t="str">
        <f t="shared" si="1"/>
        <v>WBA CM EthernetVDSL Bondingunshared</v>
      </c>
      <c r="W6" s="160">
        <f>MATCH($J6,'Tarieven ZM'!$B:$B,0)</f>
        <v>99</v>
      </c>
      <c r="X6" s="148">
        <f>INDEX('Tarieven ZM'!$H:$H,$W6)</f>
        <v>1000</v>
      </c>
      <c r="Y6" s="161">
        <f>-INDEX(Parameters!$B:$B,MATCH(Y$3,Parameters!$A:$A,0))*$X6</f>
        <v>0</v>
      </c>
      <c r="Z6" s="149">
        <f>-INDEX(Parameters!$B:$B,MATCH(Z$3,Parameters!$A:$A,0))*$X6</f>
        <v>0</v>
      </c>
      <c r="AA6" s="148">
        <f t="shared" ref="AA6" si="23">SUM(X6:Z6)</f>
        <v>1000</v>
      </c>
      <c r="AB6" s="148">
        <f>AA6/INDEX(Parameters!$B:$B,MATCH("AfschrijftermijnVVE"&amp;12*$C6,Parameters!$A:$A,0))</f>
        <v>27.777777777777779</v>
      </c>
      <c r="AC6" s="148">
        <f>INDEX('Tarieven ZM'!$G:$G,$W6)</f>
        <v>1000</v>
      </c>
      <c r="AD6" s="161">
        <f>-INDEX(Parameters!$B:$B,MATCH(AD$3,Parameters!$A:$A,0))*$AC6</f>
        <v>0</v>
      </c>
      <c r="AE6" s="161">
        <f>-INDEX(Parameters!$B:$B,MATCH(AE$3,Parameters!$A:$A,0))*$AC6</f>
        <v>0</v>
      </c>
      <c r="AF6" s="148">
        <f t="shared" ref="AF6" si="24">SUM(AC6:AE6)</f>
        <v>1000</v>
      </c>
      <c r="AG6" s="151">
        <f t="shared" ref="AG6" si="25">SUM(AB6,AF6)</f>
        <v>1027.7777777777778</v>
      </c>
      <c r="AH6" s="209"/>
      <c r="AI6" s="147">
        <f>IF(Q6&lt;&gt;"nvt",MATCH($T6,'Tarieven W&amp;O'!$B:$B,0),"nvt")</f>
        <v>25</v>
      </c>
      <c r="AJ6" s="262">
        <f>IF(AI6&lt;&gt;"nvt",INDEX('Tarieven W&amp;O'!$H:$H,$AI6)+INDEX(Parameters!C:C,MATCH("NLSx "&amp;O6&amp;" "&amp;M6,Parameters!A:A,0)),0)</f>
        <v>174.45</v>
      </c>
      <c r="AK6" s="148">
        <f>IF(AI6&lt;&gt;"nvt",INDEX('Tarieven W&amp;O'!$I:$I,$AI6),0)</f>
        <v>25</v>
      </c>
      <c r="AL6" s="149">
        <f>IF(AI6&lt;&gt;"nvt",-INDEX(Parameters!$B:$B,MATCH(AL$3&amp;$M6,Parameters!$A:$A,0))*(AJ6+AK6),0)</f>
        <v>0</v>
      </c>
      <c r="AM6" s="149"/>
      <c r="AN6" s="148">
        <f t="shared" ref="AN6" si="26">SUM(AJ6:AM6)</f>
        <v>199.45</v>
      </c>
      <c r="AO6" s="171">
        <f>AN6/INDEX(Parameters!$B:$B,MATCH("AfschrijftermijnVVE"&amp;12*$C6,Parameters!$A:$A,0))</f>
        <v>5.5402777777777779</v>
      </c>
      <c r="AP6" s="148">
        <f>MATCH($U6,'Tarieven W&amp;O'!$B:$B,0)</f>
        <v>13</v>
      </c>
      <c r="AQ6" s="150">
        <f>IF(AP6&lt;&gt;"nvt",INDEX('Tarieven W&amp;O'!$G:$G,$AP6),0)</f>
        <v>19.82</v>
      </c>
      <c r="AR6" s="277">
        <f>-INDEX(Parameters!$B:$B,MATCH(AR$3&amp;$M6&amp;O6,Parameters!$A:$A,0))*(AQ6)</f>
        <v>-1.9820000000000002</v>
      </c>
      <c r="AS6" s="148"/>
      <c r="AT6" s="148"/>
      <c r="AU6" s="150">
        <f t="shared" ref="AU6" si="27">SUM(AQ6:AT6)</f>
        <v>17.838000000000001</v>
      </c>
      <c r="AV6" s="150">
        <f t="shared" ref="AV6" si="28">SUM(AO6,AU6)</f>
        <v>23.378277777777779</v>
      </c>
      <c r="AW6" s="202"/>
      <c r="AX6" s="150">
        <f>Parameters!$B$6*AV6</f>
        <v>0.23378277777777778</v>
      </c>
      <c r="AY6" s="202">
        <v>0</v>
      </c>
      <c r="AZ6" s="202"/>
      <c r="BA6" s="150">
        <f t="shared" ref="BA6" si="29">SUM(AX6:AZ6)</f>
        <v>0.23378277777777778</v>
      </c>
      <c r="BB6" s="202"/>
      <c r="BC6" s="151">
        <f t="shared" ref="BC6" si="30">SUM(AV6,BA6)</f>
        <v>23.612060555555555</v>
      </c>
      <c r="BD6" s="209"/>
      <c r="BE6" s="140">
        <f t="shared" ref="BE6" si="31">AG6-BC6</f>
        <v>1004.1657172222223</v>
      </c>
      <c r="BF6" s="141">
        <f t="shared" ref="BF6" si="32">IF(AG6=0,-999%,BE6/AG6)</f>
        <v>0.97702610324324324</v>
      </c>
      <c r="BG6" s="142" t="b">
        <f t="shared" ref="BG6" si="33">BF6&lt;0</f>
        <v>0</v>
      </c>
      <c r="BI6" s="188" t="s">
        <v>538</v>
      </c>
      <c r="BJ6" s="189"/>
      <c r="BK6">
        <f>VLOOKUP(J6,'Tarieven ZM'!$B$7:$I$146,8,0)</f>
        <v>0</v>
      </c>
      <c r="BL6" s="203" t="str">
        <f t="shared" si="16"/>
        <v>VDSL BondingNew lineunshared</v>
      </c>
      <c r="BM6" s="282">
        <f>INDEX('inkoop ULL tbv Epacity'!$J:$J,MATCH(BL6,'inkoop ULL tbv Epacity'!$H:$H,0),0)</f>
        <v>35</v>
      </c>
      <c r="BN6" s="171">
        <f>BM6/INDEX(Parameters!$B:$B,MATCH("AfschrijftermijnVVE"&amp;12*$C6,Parameters!$A:$A,0))</f>
        <v>0.97222222222222221</v>
      </c>
      <c r="BO6" s="263">
        <f>INDEX('inkoop ULL tbv Epacity'!$I:$I,MATCH(BL6,'inkoop ULL tbv Epacity'!$H:$H,0),0)</f>
        <v>16.787259665595236</v>
      </c>
      <c r="BP6" s="263">
        <f t="shared" ref="BP6" si="34">BN6+BO6</f>
        <v>17.759481887817458</v>
      </c>
      <c r="BQ6" s="203"/>
      <c r="BR6" s="262">
        <f>Parameters!$B$12*AG6</f>
        <v>102.77777777777779</v>
      </c>
      <c r="BS6" s="262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SUM(Distributievergoedingen!$F$12,Distributievergoedingen!$I$12,Distributievergoedingen!$L$12,Distributievergoedingen!$O$12)*AF6+SUM(Distributievergoedingen!$O$12*AA6+Distributievergoedingen!$R$12+Distributievergoedingen!$U$12+Distributievergoedingen!$X$12)/(MAX(36,12*L6))</f>
        <v>112.77777777777777</v>
      </c>
      <c r="BT6" s="150"/>
      <c r="BU6" s="150">
        <f t="shared" ref="BU6" si="35">SUM(BR6:BT6)</f>
        <v>215.55555555555554</v>
      </c>
      <c r="BW6" s="151">
        <f t="shared" ref="BW6" si="36">SUM(BP6,BU6)</f>
        <v>233.315037443373</v>
      </c>
      <c r="BY6" s="140">
        <f t="shared" ref="BY6" si="37">AG6-BW6</f>
        <v>794.46274033440477</v>
      </c>
      <c r="BZ6" s="141">
        <f t="shared" ref="BZ6" si="38">IF(AG6=0,-999%,BY6/AG6)</f>
        <v>0.77299077437942088</v>
      </c>
      <c r="CA6" s="142" t="b">
        <f t="shared" ref="CA6" si="39">BZ6&lt;0</f>
        <v>0</v>
      </c>
    </row>
    <row r="7" spans="1:79">
      <c r="A7" s="203" t="str">
        <f t="shared" si="4"/>
        <v>1SDSLBasicnieuwunshared</v>
      </c>
      <c r="B7" s="203" t="str">
        <f t="shared" si="5"/>
        <v>1SDSLBasicnieuwunshared</v>
      </c>
      <c r="C7" s="438">
        <v>1</v>
      </c>
      <c r="D7" s="438" t="s">
        <v>64</v>
      </c>
      <c r="E7" s="438" t="s">
        <v>44</v>
      </c>
      <c r="F7" s="438"/>
      <c r="G7" s="438"/>
      <c r="H7" s="438" t="s">
        <v>125</v>
      </c>
      <c r="I7" s="438" t="s">
        <v>128</v>
      </c>
      <c r="J7" s="274" t="str">
        <f t="shared" si="6"/>
        <v>SDSLnieuwunshared</v>
      </c>
      <c r="L7" s="160">
        <f>INDEX(Mapping!$J:$J,MATCH(C$3&amp;C7,Mapping!$B:$B,0))</f>
        <v>1</v>
      </c>
      <c r="M7" s="148" t="str">
        <f>INDEX(Mapping!$H:$H,MATCH($E7,Mapping!$B:$B,0))</f>
        <v>WBA CM Ethernet</v>
      </c>
      <c r="N7" s="179" t="str">
        <f>INDEX(Mapping!$I:$I,MATCH($D7&amp;$I7,Mapping!$B:$B,0))</f>
        <v>SDSL</v>
      </c>
      <c r="O7" s="179" t="str">
        <f>INDEX(Mapping!$I:$I,MATCH($D7,Mapping!$B:$B,0))</f>
        <v>SDSL</v>
      </c>
      <c r="P7" s="179"/>
      <c r="Q7" s="179" t="str">
        <f>INDEX(Mapping!$H:$H,MATCH($H7,Mapping!$B:$B,0))</f>
        <v>New line</v>
      </c>
      <c r="R7" s="179" t="s">
        <v>115</v>
      </c>
      <c r="S7" s="148" t="str">
        <f>INDEX(Mapping!$J:$J,MATCH($D7&amp;$I7,Mapping!$B:$B,0))</f>
        <v>unshared</v>
      </c>
      <c r="T7" s="148" t="str">
        <f t="shared" si="0"/>
        <v>WBA CM EthernetSDSLNew line</v>
      </c>
      <c r="U7" s="142" t="str">
        <f t="shared" si="1"/>
        <v>WBA CM EthernetSDSLunshared</v>
      </c>
      <c r="W7" s="160">
        <f>MATCH($J7,'Tarieven ZM'!$B:$B,0)</f>
        <v>100</v>
      </c>
      <c r="X7" s="148">
        <f>INDEX('Tarieven ZM'!$H:$H,$W7)</f>
        <v>1000</v>
      </c>
      <c r="Y7" s="161">
        <f>-INDEX(Parameters!$B:$B,MATCH(Y$3,Parameters!$A:$A,0))*$X7</f>
        <v>0</v>
      </c>
      <c r="Z7" s="149">
        <f>-INDEX(Parameters!$B:$B,MATCH(Z$3,Parameters!$A:$A,0))*$X7</f>
        <v>0</v>
      </c>
      <c r="AA7" s="148">
        <f t="shared" si="7"/>
        <v>1000</v>
      </c>
      <c r="AB7" s="148">
        <f>AA7/INDEX(Parameters!$B:$B,MATCH("AfschrijftermijnVVE"&amp;12*$C7,Parameters!$A:$A,0))</f>
        <v>27.777777777777779</v>
      </c>
      <c r="AC7" s="148">
        <f>INDEX('Tarieven ZM'!$G:$G,$W7)</f>
        <v>1000</v>
      </c>
      <c r="AD7" s="161">
        <f>-INDEX(Parameters!$B:$B,MATCH(AD$3,Parameters!$A:$A,0))*$AC7</f>
        <v>0</v>
      </c>
      <c r="AE7" s="161">
        <f>-INDEX(Parameters!$B:$B,MATCH(AE$3,Parameters!$A:$A,0))*$AC7</f>
        <v>0</v>
      </c>
      <c r="AF7" s="148">
        <f t="shared" si="8"/>
        <v>1000</v>
      </c>
      <c r="AG7" s="151">
        <f t="shared" si="9"/>
        <v>1027.7777777777778</v>
      </c>
      <c r="AH7" s="209"/>
      <c r="AI7" s="147">
        <f>IF(Q7&lt;&gt;"nvt",MATCH($T7,'Tarieven W&amp;O'!$B:$B,0),"nvt")</f>
        <v>18</v>
      </c>
      <c r="AJ7" s="262">
        <f>IF(AI7&lt;&gt;"nvt",INDEX('Tarieven W&amp;O'!$H:$H,$AI7)+INDEX(Parameters!C:C,MATCH("NLSx "&amp;O7&amp;" "&amp;M7,Parameters!A:A,0)),0)</f>
        <v>65</v>
      </c>
      <c r="AK7" s="148">
        <f>IF(AI7&lt;&gt;"nvt",INDEX('Tarieven W&amp;O'!$I:$I,$AI7),0)</f>
        <v>25</v>
      </c>
      <c r="AL7" s="149">
        <f>IF(AI7&lt;&gt;"nvt",-INDEX(Parameters!$B:$B,MATCH(AL$3&amp;$M7,Parameters!$A:$A,0))*(AJ7+AK7),0)</f>
        <v>0</v>
      </c>
      <c r="AM7" s="149"/>
      <c r="AN7" s="148">
        <f t="shared" si="10"/>
        <v>90</v>
      </c>
      <c r="AO7" s="171">
        <f>AN7/INDEX(Parameters!$B:$B,MATCH("AfschrijftermijnVVE"&amp;12*$C7,Parameters!$A:$A,0))</f>
        <v>2.5</v>
      </c>
      <c r="AP7" s="148">
        <f>MATCH($U7,'Tarieven W&amp;O'!$B:$B,0)</f>
        <v>10</v>
      </c>
      <c r="AQ7" s="150">
        <f>IF(AP7&lt;&gt;"nvt",INDEX('Tarieven W&amp;O'!$G:$G,$AP7),0)</f>
        <v>33.729999999999997</v>
      </c>
      <c r="AR7" s="277">
        <f>-INDEX(Parameters!$B:$B,MATCH(AR$3&amp;$M7&amp;O7,Parameters!$A:$A,0))*(AQ7)</f>
        <v>-3.3729999999999998</v>
      </c>
      <c r="AS7" s="148"/>
      <c r="AT7" s="148"/>
      <c r="AU7" s="150">
        <f t="shared" si="11"/>
        <v>30.356999999999996</v>
      </c>
      <c r="AV7" s="150">
        <f t="shared" si="12"/>
        <v>32.856999999999999</v>
      </c>
      <c r="AW7" s="202"/>
      <c r="AX7" s="150">
        <f>Parameters!$B$6*AV7</f>
        <v>0.32856999999999997</v>
      </c>
      <c r="AY7" s="202">
        <v>0</v>
      </c>
      <c r="AZ7" s="202"/>
      <c r="BA7" s="150">
        <f t="shared" si="13"/>
        <v>0.32856999999999997</v>
      </c>
      <c r="BB7" s="202"/>
      <c r="BC7" s="151">
        <f t="shared" si="14"/>
        <v>33.185569999999998</v>
      </c>
      <c r="BD7" s="209"/>
      <c r="BE7" s="140">
        <f t="shared" si="2"/>
        <v>994.59220777777784</v>
      </c>
      <c r="BF7" s="141">
        <f t="shared" si="3"/>
        <v>0.9677113372972973</v>
      </c>
      <c r="BG7" s="142" t="b">
        <f t="shared" si="15"/>
        <v>0</v>
      </c>
      <c r="BI7" s="188" t="s">
        <v>538</v>
      </c>
      <c r="BJ7" s="189"/>
      <c r="BK7">
        <f>VLOOKUP(J7,'Tarieven ZM'!$B$7:$I$146,8,0)</f>
        <v>0</v>
      </c>
      <c r="BL7" s="203" t="str">
        <f t="shared" si="16"/>
        <v>SDSLNew lineunshared</v>
      </c>
      <c r="BM7" s="282">
        <f>INDEX('inkoop ULL tbv Epacity'!$J:$J,MATCH(BL7,'inkoop ULL tbv Epacity'!$H:$H,0),0)</f>
        <v>76.960000000000008</v>
      </c>
      <c r="BN7" s="171">
        <f>BM7/INDEX(Parameters!$B:$B,MATCH("AfschrijftermijnVVE"&amp;12*$C7,Parameters!$A:$A,0))</f>
        <v>2.137777777777778</v>
      </c>
      <c r="BO7" s="263">
        <f>INDEX('inkoop ULL tbv Epacity'!$I:$I,MATCH(BL7,'inkoop ULL tbv Epacity'!$H:$H,0),0)</f>
        <v>9.3855844444444436</v>
      </c>
      <c r="BP7" s="263">
        <f t="shared" si="17"/>
        <v>11.523362222222222</v>
      </c>
      <c r="BQ7" s="203"/>
      <c r="BR7" s="262">
        <f>Parameters!$B$12*AG7</f>
        <v>102.77777777777779</v>
      </c>
      <c r="BS7" s="262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SUM(Distributievergoedingen!$F$12,Distributievergoedingen!$I$12,Distributievergoedingen!$L$12,Distributievergoedingen!$O$12)*AF7+SUM(Distributievergoedingen!$O$12*AA7+Distributievergoedingen!$R$12+Distributievergoedingen!$U$12+Distributievergoedingen!$X$12)/(MAX(36,12*L7))</f>
        <v>112.77777777777777</v>
      </c>
      <c r="BT7" s="150"/>
      <c r="BU7" s="150">
        <f t="shared" si="18"/>
        <v>215.55555555555554</v>
      </c>
      <c r="BW7" s="151">
        <f t="shared" si="19"/>
        <v>227.07891777777778</v>
      </c>
      <c r="BY7" s="140">
        <f t="shared" si="20"/>
        <v>800.69886000000008</v>
      </c>
      <c r="BZ7" s="141">
        <f t="shared" si="21"/>
        <v>0.77905835027027026</v>
      </c>
      <c r="CA7" s="142" t="b">
        <f t="shared" si="22"/>
        <v>0</v>
      </c>
    </row>
    <row r="8" spans="1:79">
      <c r="A8" s="203" t="str">
        <f t="shared" si="4"/>
        <v>1SA IPVPNEntrynieuwunshared</v>
      </c>
      <c r="B8" s="203" t="str">
        <f t="shared" si="5"/>
        <v>1SA IPVPNEntrynieuwunshared</v>
      </c>
      <c r="C8" s="438">
        <v>1</v>
      </c>
      <c r="D8" s="438" t="s">
        <v>93</v>
      </c>
      <c r="E8" s="438" t="s">
        <v>78</v>
      </c>
      <c r="F8" s="438"/>
      <c r="G8" s="438"/>
      <c r="H8" s="438" t="s">
        <v>125</v>
      </c>
      <c r="I8" s="438" t="s">
        <v>128</v>
      </c>
      <c r="J8" s="274" t="str">
        <f t="shared" si="6"/>
        <v>SA IPVPNnieuwunshared</v>
      </c>
      <c r="L8" s="160">
        <f>INDEX(Mapping!$J:$J,MATCH(C$3&amp;C8,Mapping!$B:$B,0))</f>
        <v>1</v>
      </c>
      <c r="M8" s="148" t="str">
        <f>INDEX(Mapping!$H:$H,MATCH($E8,Mapping!$B:$B,0))</f>
        <v>WBA CM Ethernet</v>
      </c>
      <c r="N8" s="179" t="str">
        <f>INDEX(Mapping!$I:$I,MATCH($D8&amp;$I8,Mapping!$B:$B,0))</f>
        <v>FttH</v>
      </c>
      <c r="O8" s="179" t="str">
        <f>INDEX(Mapping!$I:$I,MATCH($D8,Mapping!$B:$B,0))</f>
        <v>FttH</v>
      </c>
      <c r="P8" s="179"/>
      <c r="Q8" s="179" t="str">
        <f>INDEX(Mapping!$H:$H,MATCH($H8,Mapping!$B:$B,0))</f>
        <v>New line</v>
      </c>
      <c r="R8" s="179" t="s">
        <v>115</v>
      </c>
      <c r="S8" s="148" t="str">
        <f>INDEX(Mapping!$J:$J,MATCH($D8&amp;$I8,Mapping!$B:$B,0))</f>
        <v>unshared</v>
      </c>
      <c r="T8" s="148" t="str">
        <f t="shared" si="0"/>
        <v>WBA CM EthernetFttHNew line</v>
      </c>
      <c r="U8" s="142" t="str">
        <f t="shared" si="1"/>
        <v>WBA CM EthernetFttHunshared</v>
      </c>
      <c r="W8" s="160">
        <f>MATCH($J8,'Tarieven ZM'!$B:$B,0)</f>
        <v>101</v>
      </c>
      <c r="X8" s="148">
        <f>INDEX('Tarieven ZM'!$H:$H,$W8)</f>
        <v>1000</v>
      </c>
      <c r="Y8" s="161">
        <f>-INDEX(Parameters!$B:$B,MATCH(Y$3,Parameters!$A:$A,0))*$X8</f>
        <v>0</v>
      </c>
      <c r="Z8" s="149">
        <f>-INDEX(Parameters!$B:$B,MATCH(Z$3,Parameters!$A:$A,0))*$X8</f>
        <v>0</v>
      </c>
      <c r="AA8" s="148">
        <f t="shared" si="7"/>
        <v>1000</v>
      </c>
      <c r="AB8" s="148">
        <f>AA8/INDEX(Parameters!$B:$B,MATCH("AfschrijftermijnVVE"&amp;12*$C8,Parameters!$A:$A,0))</f>
        <v>27.777777777777779</v>
      </c>
      <c r="AC8" s="148">
        <f>INDEX('Tarieven ZM'!$G:$G,$W8)</f>
        <v>1000</v>
      </c>
      <c r="AD8" s="161">
        <f>-INDEX(Parameters!$B:$B,MATCH(AD$3,Parameters!$A:$A,0))*$AC8</f>
        <v>0</v>
      </c>
      <c r="AE8" s="161">
        <f>-INDEX(Parameters!$B:$B,MATCH(AE$3,Parameters!$A:$A,0))*$AC8</f>
        <v>0</v>
      </c>
      <c r="AF8" s="148">
        <f t="shared" si="8"/>
        <v>1000</v>
      </c>
      <c r="AG8" s="151">
        <f t="shared" si="9"/>
        <v>1027.7777777777778</v>
      </c>
      <c r="AH8" s="209"/>
      <c r="AI8" s="147">
        <f>IF(Q8&lt;&gt;"nvt",MATCH($T8,'Tarieven W&amp;O'!$B:$B,0),"nvt")</f>
        <v>22</v>
      </c>
      <c r="AJ8" s="262">
        <f>IF(AI8&lt;&gt;"nvt",INDEX('Tarieven W&amp;O'!$H:$H,$AI8)+INDEX(Parameters!C:C,MATCH("NLSx "&amp;O8&amp;" "&amp;M8,Parameters!A:A,0)),0)</f>
        <v>25</v>
      </c>
      <c r="AK8" s="148">
        <f>IF(AI8&lt;&gt;"nvt",INDEX('Tarieven W&amp;O'!$I:$I,$AI8),0)</f>
        <v>25</v>
      </c>
      <c r="AL8" s="149">
        <f>IF(AI8&lt;&gt;"nvt",-INDEX(Parameters!$B:$B,MATCH(AL$3&amp;$M8,Parameters!$A:$A,0))*(AJ8+AK8),0)</f>
        <v>0</v>
      </c>
      <c r="AM8" s="149"/>
      <c r="AN8" s="148">
        <f t="shared" si="10"/>
        <v>50</v>
      </c>
      <c r="AO8" s="171">
        <f>AN8/INDEX(Parameters!$B:$B,MATCH("AfschrijftermijnVVE"&amp;12*$C8,Parameters!$A:$A,0))</f>
        <v>1.3888888888888888</v>
      </c>
      <c r="AP8" s="148">
        <f>MATCH($U8,'Tarieven W&amp;O'!$B:$B,0)</f>
        <v>11</v>
      </c>
      <c r="AQ8" s="150">
        <f>IF(AP8&lt;&gt;"nvt",INDEX('Tarieven W&amp;O'!$G:$G,$AP8),0)</f>
        <v>19.13</v>
      </c>
      <c r="AR8" s="277">
        <f>-INDEX(Parameters!$B:$B,MATCH(AR$3&amp;$M8&amp;O8,Parameters!$A:$A,0))*(AQ8)</f>
        <v>0</v>
      </c>
      <c r="AS8" s="148"/>
      <c r="AT8" s="148"/>
      <c r="AU8" s="150">
        <f t="shared" si="11"/>
        <v>19.13</v>
      </c>
      <c r="AV8" s="150">
        <f t="shared" si="12"/>
        <v>20.518888888888888</v>
      </c>
      <c r="AW8" s="202"/>
      <c r="AX8" s="150">
        <f>Parameters!$B$6*AV8</f>
        <v>0.20518888888888889</v>
      </c>
      <c r="AY8" s="202">
        <v>0</v>
      </c>
      <c r="AZ8" s="202"/>
      <c r="BA8" s="150">
        <f t="shared" si="13"/>
        <v>0.20518888888888889</v>
      </c>
      <c r="BB8" s="202"/>
      <c r="BC8" s="151">
        <f t="shared" si="14"/>
        <v>20.724077777777776</v>
      </c>
      <c r="BD8" s="209"/>
      <c r="BE8" s="140">
        <f t="shared" si="2"/>
        <v>1007.0537</v>
      </c>
      <c r="BF8" s="141">
        <f t="shared" si="3"/>
        <v>0.97983603243243245</v>
      </c>
      <c r="BG8" s="142" t="b">
        <f t="shared" si="15"/>
        <v>0</v>
      </c>
      <c r="BI8" s="188" t="s">
        <v>538</v>
      </c>
      <c r="BJ8" s="189"/>
      <c r="BK8">
        <f>VLOOKUP(J8,'Tarieven ZM'!$B$7:$I$146,8,0)</f>
        <v>0</v>
      </c>
      <c r="BL8" s="203" t="str">
        <f t="shared" si="16"/>
        <v>FttHNew lineunshared</v>
      </c>
      <c r="BM8" s="282">
        <f>INDEX('inkoop ULL tbv Epacity'!$J:$J,MATCH(BL8,'inkoop ULL tbv Epacity'!$H:$H,0),0)</f>
        <v>114.6</v>
      </c>
      <c r="BN8" s="171">
        <f>BM8/INDEX(Parameters!$B:$B,MATCH("AfschrijftermijnVVE"&amp;12*$C8,Parameters!$A:$A,0))</f>
        <v>3.1833333333333331</v>
      </c>
      <c r="BO8" s="263">
        <f>INDEX('inkoop ULL tbv Epacity'!$I:$I,MATCH(BL8,'inkoop ULL tbv Epacity'!$H:$H,0),0)</f>
        <v>18.2732188395</v>
      </c>
      <c r="BP8" s="263">
        <f t="shared" si="17"/>
        <v>21.456552172833334</v>
      </c>
      <c r="BQ8" s="203"/>
      <c r="BR8" s="262">
        <f>Parameters!$B$12*AG8</f>
        <v>102.77777777777779</v>
      </c>
      <c r="BS8" s="262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SUM(Distributievergoedingen!$F$12,Distributievergoedingen!$I$12,Distributievergoedingen!$L$12,Distributievergoedingen!$O$12)*AF8+SUM(Distributievergoedingen!$O$12*AA8+Distributievergoedingen!$R$12+Distributievergoedingen!$U$12+Distributievergoedingen!$X$12)/(MAX(36,12*L8))</f>
        <v>112.77777777777777</v>
      </c>
      <c r="BT8" s="150"/>
      <c r="BU8" s="150">
        <f t="shared" si="18"/>
        <v>215.55555555555554</v>
      </c>
      <c r="BW8" s="151">
        <f t="shared" si="19"/>
        <v>237.01210772838888</v>
      </c>
      <c r="BY8" s="140">
        <f t="shared" si="20"/>
        <v>790.76567004938897</v>
      </c>
      <c r="BZ8" s="141">
        <f t="shared" si="21"/>
        <v>0.76939362491291896</v>
      </c>
      <c r="CA8" s="142" t="b">
        <f t="shared" si="22"/>
        <v>0</v>
      </c>
    </row>
    <row r="9" spans="1:79">
      <c r="A9" s="203" t="str">
        <f t="shared" si="4"/>
        <v>1VDSLEntrybestaandunshared</v>
      </c>
      <c r="B9" s="203" t="str">
        <f t="shared" si="5"/>
        <v>1VDSLEntrybestaandunshared</v>
      </c>
      <c r="C9" s="438">
        <v>1</v>
      </c>
      <c r="D9" s="438" t="s">
        <v>77</v>
      </c>
      <c r="E9" s="438" t="s">
        <v>78</v>
      </c>
      <c r="F9" s="438"/>
      <c r="G9" s="438"/>
      <c r="H9" s="438" t="s">
        <v>124</v>
      </c>
      <c r="I9" s="438" t="s">
        <v>128</v>
      </c>
      <c r="J9" s="274" t="str">
        <f t="shared" si="6"/>
        <v>VDSLbestaandunshared</v>
      </c>
      <c r="L9" s="160">
        <f>INDEX(Mapping!$J:$J,MATCH(C$3&amp;C9,Mapping!$B:$B,0))</f>
        <v>1</v>
      </c>
      <c r="M9" s="148" t="str">
        <f>INDEX(Mapping!$H:$H,MATCH($E9,Mapping!$B:$B,0))</f>
        <v>WBA CM Ethernet</v>
      </c>
      <c r="N9" s="179" t="str">
        <f>INDEX(Mapping!$I:$I,MATCH($D9&amp;$I9,Mapping!$B:$B,0))</f>
        <v>VDSL</v>
      </c>
      <c r="O9" s="179" t="str">
        <f>INDEX(Mapping!$I:$I,MATCH($D9,Mapping!$B:$B,0))</f>
        <v>VDSL</v>
      </c>
      <c r="P9" s="179"/>
      <c r="Q9" s="179" t="str">
        <f>INDEX(Mapping!$H:$H,MATCH($H9,Mapping!$B:$B,0))</f>
        <v>nvt</v>
      </c>
      <c r="R9" s="179" t="s">
        <v>115</v>
      </c>
      <c r="S9" s="148" t="str">
        <f>INDEX(Mapping!$J:$J,MATCH($D9&amp;$I9,Mapping!$B:$B,0))</f>
        <v>unshared</v>
      </c>
      <c r="T9" s="148" t="str">
        <f t="shared" si="0"/>
        <v>WBA CM EthernetVDSLnvt</v>
      </c>
      <c r="U9" s="142" t="str">
        <f t="shared" si="1"/>
        <v>WBA CM EthernetVDSLunshared</v>
      </c>
      <c r="W9" s="160">
        <f>MATCH($J9,'Tarieven ZM'!$B:$B,0)</f>
        <v>102</v>
      </c>
      <c r="X9" s="148">
        <f>INDEX('Tarieven ZM'!$H:$H,$W9)</f>
        <v>1000</v>
      </c>
      <c r="Y9" s="161">
        <f>-INDEX(Parameters!$B:$B,MATCH(Y$3,Parameters!$A:$A,0))*$X9</f>
        <v>0</v>
      </c>
      <c r="Z9" s="149">
        <f>-INDEX(Parameters!$B:$B,MATCH(Z$3,Parameters!$A:$A,0))*$X9</f>
        <v>0</v>
      </c>
      <c r="AA9" s="148">
        <f t="shared" si="7"/>
        <v>1000</v>
      </c>
      <c r="AB9" s="148">
        <f>AA9/INDEX(Parameters!$B:$B,MATCH("AfschrijftermijnVVE"&amp;12*$C9,Parameters!$A:$A,0))</f>
        <v>27.777777777777779</v>
      </c>
      <c r="AC9" s="148">
        <f>INDEX('Tarieven ZM'!$G:$G,$W9)</f>
        <v>1000</v>
      </c>
      <c r="AD9" s="161">
        <f>-INDEX(Parameters!$B:$B,MATCH(AD$3,Parameters!$A:$A,0))*$AC9</f>
        <v>0</v>
      </c>
      <c r="AE9" s="161">
        <f>-INDEX(Parameters!$B:$B,MATCH(AE$3,Parameters!$A:$A,0))*$AC9</f>
        <v>0</v>
      </c>
      <c r="AF9" s="148">
        <f t="shared" si="8"/>
        <v>1000</v>
      </c>
      <c r="AG9" s="151">
        <f t="shared" si="9"/>
        <v>1027.7777777777778</v>
      </c>
      <c r="AH9" s="209"/>
      <c r="AI9" s="147" t="str">
        <f>IF(Q9&lt;&gt;"nvt",MATCH($T9,'Tarieven W&amp;O'!$B:$B,0),"nvt")</f>
        <v>nvt</v>
      </c>
      <c r="AJ9" s="262">
        <f>IF(AI9&lt;&gt;"nvt",INDEX('Tarieven W&amp;O'!$H:$H,$AI9)+INDEX(Parameters!C:C,MATCH("NLSx "&amp;O9&amp;" "&amp;M9,Parameters!A:A,0)),0)</f>
        <v>0</v>
      </c>
      <c r="AK9" s="148">
        <f>IF(AI9&lt;&gt;"nvt",INDEX('Tarieven W&amp;O'!$I:$I,$AI9),0)</f>
        <v>0</v>
      </c>
      <c r="AL9" s="149">
        <f>IF(AI9&lt;&gt;"nvt",-INDEX(Parameters!$B:$B,MATCH(AL$3&amp;$M9,Parameters!$A:$A,0))*(AJ9+AK9),0)</f>
        <v>0</v>
      </c>
      <c r="AM9" s="149"/>
      <c r="AN9" s="148">
        <f t="shared" si="10"/>
        <v>0</v>
      </c>
      <c r="AO9" s="171">
        <f>AN9/INDEX(Parameters!$B:$B,MATCH("AfschrijftermijnVVE"&amp;12*$C9,Parameters!$A:$A,0))</f>
        <v>0</v>
      </c>
      <c r="AP9" s="148">
        <f>MATCH($U9,'Tarieven W&amp;O'!$B:$B,0)</f>
        <v>9</v>
      </c>
      <c r="AQ9" s="150">
        <f>IF(AP9&lt;&gt;"nvt",INDEX('Tarieven W&amp;O'!$G:$G,$AP9),0)</f>
        <v>13.09</v>
      </c>
      <c r="AR9" s="277">
        <f>-INDEX(Parameters!$B:$B,MATCH(AR$3&amp;$M9&amp;O9,Parameters!$A:$A,0))*(AQ9)</f>
        <v>-1.3090000000000002</v>
      </c>
      <c r="AS9" s="148"/>
      <c r="AT9" s="148"/>
      <c r="AU9" s="150">
        <f t="shared" si="11"/>
        <v>11.780999999999999</v>
      </c>
      <c r="AV9" s="150">
        <f t="shared" si="12"/>
        <v>11.780999999999999</v>
      </c>
      <c r="AW9" s="202"/>
      <c r="AX9" s="150">
        <f>Parameters!$B$6*AV9</f>
        <v>0.11780999999999998</v>
      </c>
      <c r="AY9" s="202">
        <v>0</v>
      </c>
      <c r="AZ9" s="202"/>
      <c r="BA9" s="150">
        <f t="shared" si="13"/>
        <v>0.11780999999999998</v>
      </c>
      <c r="BB9" s="202"/>
      <c r="BC9" s="151">
        <f t="shared" si="14"/>
        <v>11.898809999999999</v>
      </c>
      <c r="BD9" s="209"/>
      <c r="BE9" s="140">
        <f t="shared" si="2"/>
        <v>1015.8789677777778</v>
      </c>
      <c r="BF9" s="141">
        <f t="shared" si="3"/>
        <v>0.98842277945945944</v>
      </c>
      <c r="BG9" s="142" t="b">
        <f t="shared" si="15"/>
        <v>0</v>
      </c>
      <c r="BI9" s="188" t="s">
        <v>538</v>
      </c>
      <c r="BJ9" s="189"/>
      <c r="BK9">
        <f>VLOOKUP(J9,'Tarieven ZM'!$B$7:$I$146,8,0)</f>
        <v>0</v>
      </c>
      <c r="BL9" s="203" t="str">
        <f t="shared" si="16"/>
        <v>VDSLnvtunshared</v>
      </c>
      <c r="BM9" s="282">
        <f>INDEX('inkoop ULL tbv Epacity'!$J:$J,MATCH(BL9,'inkoop ULL tbv Epacity'!$H:$H,0),0)</f>
        <v>35</v>
      </c>
      <c r="BN9" s="171">
        <f>BM9/INDEX(Parameters!$B:$B,MATCH("AfschrijftermijnVVE"&amp;12*$C9,Parameters!$A:$A,0))</f>
        <v>0.97222222222222221</v>
      </c>
      <c r="BO9" s="263">
        <f>INDEX('inkoop ULL tbv Epacity'!$I:$I,MATCH(BL9,'inkoop ULL tbv Epacity'!$H:$H,0),0)</f>
        <v>12.501783475119046</v>
      </c>
      <c r="BP9" s="263">
        <f t="shared" si="17"/>
        <v>13.474005697341267</v>
      </c>
      <c r="BQ9" s="203"/>
      <c r="BR9" s="262">
        <f>Parameters!$B$12*AG9</f>
        <v>102.77777777777779</v>
      </c>
      <c r="BS9" s="262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SUM(Distributievergoedingen!$F$12,Distributievergoedingen!$I$12,Distributievergoedingen!$L$12,Distributievergoedingen!$O$12)*AF9+SUM(Distributievergoedingen!$O$12*AA9+Distributievergoedingen!$R$12+Distributievergoedingen!$U$12+Distributievergoedingen!$X$12)/(MAX(36,12*L9))</f>
        <v>112.77777777777777</v>
      </c>
      <c r="BT9" s="150"/>
      <c r="BU9" s="150">
        <f t="shared" si="18"/>
        <v>215.55555555555554</v>
      </c>
      <c r="BW9" s="151">
        <f t="shared" si="19"/>
        <v>229.0295612528968</v>
      </c>
      <c r="BY9" s="140">
        <f t="shared" si="20"/>
        <v>798.74821652488106</v>
      </c>
      <c r="BZ9" s="141">
        <f t="shared" si="21"/>
        <v>0.77716042688907339</v>
      </c>
      <c r="CA9" s="142" t="b">
        <f t="shared" si="22"/>
        <v>0</v>
      </c>
    </row>
    <row r="10" spans="1:79">
      <c r="A10" s="203" t="str">
        <f t="shared" si="4"/>
        <v>1ADSLBasicbestaandunshared</v>
      </c>
      <c r="B10" s="203" t="str">
        <f t="shared" si="5"/>
        <v>1ADSLBasicbestaandunshared</v>
      </c>
      <c r="C10" s="438">
        <v>1</v>
      </c>
      <c r="D10" s="438" t="s">
        <v>42</v>
      </c>
      <c r="E10" s="438" t="s">
        <v>44</v>
      </c>
      <c r="F10" s="438"/>
      <c r="G10" s="438"/>
      <c r="H10" s="438" t="s">
        <v>124</v>
      </c>
      <c r="I10" s="438" t="s">
        <v>128</v>
      </c>
      <c r="J10" s="274" t="str">
        <f t="shared" si="6"/>
        <v>ADSLbestaandunshared</v>
      </c>
      <c r="L10" s="160">
        <f>INDEX(Mapping!$J:$J,MATCH(C$3&amp;C10,Mapping!$B:$B,0))</f>
        <v>1</v>
      </c>
      <c r="M10" s="148" t="str">
        <f>INDEX(Mapping!$H:$H,MATCH($E10,Mapping!$B:$B,0))</f>
        <v>WBA CM Ethernet</v>
      </c>
      <c r="N10" s="179" t="str">
        <f>INDEX(Mapping!$I:$I,MATCH($D10&amp;$I10,Mapping!$B:$B,0))</f>
        <v>ADSL</v>
      </c>
      <c r="O10" s="179" t="str">
        <f>INDEX(Mapping!$I:$I,MATCH($D10,Mapping!$B:$B,0))</f>
        <v>ADSL</v>
      </c>
      <c r="P10" s="179"/>
      <c r="Q10" s="179" t="str">
        <f>INDEX(Mapping!$H:$H,MATCH($H10,Mapping!$B:$B,0))</f>
        <v>nvt</v>
      </c>
      <c r="R10" s="179" t="s">
        <v>115</v>
      </c>
      <c r="S10" s="148" t="str">
        <f>INDEX(Mapping!$J:$J,MATCH($D10&amp;$I10,Mapping!$B:$B,0))</f>
        <v>unshared</v>
      </c>
      <c r="T10" s="148" t="str">
        <f t="shared" si="0"/>
        <v>WBA CM EthernetADSLnvt</v>
      </c>
      <c r="U10" s="142" t="str">
        <f t="shared" si="1"/>
        <v>WBA CM EthernetADSLunshared</v>
      </c>
      <c r="W10" s="160">
        <f>MATCH($J10,'Tarieven ZM'!$B:$B,0)</f>
        <v>103</v>
      </c>
      <c r="X10" s="148">
        <f>INDEX('Tarieven ZM'!$H:$H,$W10)</f>
        <v>1000</v>
      </c>
      <c r="Y10" s="161">
        <f>-INDEX(Parameters!$B:$B,MATCH(Y$3,Parameters!$A:$A,0))*$X10</f>
        <v>0</v>
      </c>
      <c r="Z10" s="149">
        <f>-INDEX(Parameters!$B:$B,MATCH(Z$3,Parameters!$A:$A,0))*$X10</f>
        <v>0</v>
      </c>
      <c r="AA10" s="148">
        <f t="shared" si="7"/>
        <v>1000</v>
      </c>
      <c r="AB10" s="148">
        <f>AA10/INDEX(Parameters!$B:$B,MATCH("AfschrijftermijnVVE"&amp;12*$C10,Parameters!$A:$A,0))</f>
        <v>27.777777777777779</v>
      </c>
      <c r="AC10" s="148">
        <f>INDEX('Tarieven ZM'!$G:$G,$W10)</f>
        <v>1000</v>
      </c>
      <c r="AD10" s="161">
        <f>-INDEX(Parameters!$B:$B,MATCH(AD$3,Parameters!$A:$A,0))*$AC10</f>
        <v>0</v>
      </c>
      <c r="AE10" s="161">
        <f>-INDEX(Parameters!$B:$B,MATCH(AE$3,Parameters!$A:$A,0))*$AC10</f>
        <v>0</v>
      </c>
      <c r="AF10" s="148">
        <f t="shared" si="8"/>
        <v>1000</v>
      </c>
      <c r="AG10" s="151">
        <f t="shared" si="9"/>
        <v>1027.7777777777778</v>
      </c>
      <c r="AH10" s="209"/>
      <c r="AI10" s="147" t="str">
        <f>IF(Q10&lt;&gt;"nvt",MATCH($T10,'Tarieven W&amp;O'!$B:$B,0),"nvt")</f>
        <v>nvt</v>
      </c>
      <c r="AJ10" s="262">
        <f>IF(AI10&lt;&gt;"nvt",INDEX('Tarieven W&amp;O'!$H:$H,$AI10)+INDEX(Parameters!C:C,MATCH("NLSx "&amp;O10&amp;" "&amp;M10,Parameters!A:A,0)),0)</f>
        <v>0</v>
      </c>
      <c r="AK10" s="148">
        <f>IF(AI10&lt;&gt;"nvt",INDEX('Tarieven W&amp;O'!$I:$I,$AI10),0)</f>
        <v>0</v>
      </c>
      <c r="AL10" s="149">
        <f>IF(AI10&lt;&gt;"nvt",-INDEX(Parameters!$B:$B,MATCH(AL$3&amp;$M10,Parameters!$A:$A,0))*(AJ10+AK10),0)</f>
        <v>0</v>
      </c>
      <c r="AM10" s="149"/>
      <c r="AN10" s="148">
        <f t="shared" si="10"/>
        <v>0</v>
      </c>
      <c r="AO10" s="171">
        <f>AN10/INDEX(Parameters!$B:$B,MATCH("AfschrijftermijnVVE"&amp;12*$C10,Parameters!$A:$A,0))</f>
        <v>0</v>
      </c>
      <c r="AP10" s="148">
        <f>MATCH($U10,'Tarieven W&amp;O'!$B:$B,0)</f>
        <v>8</v>
      </c>
      <c r="AQ10" s="150">
        <f>IF(AP10&lt;&gt;"nvt",INDEX('Tarieven W&amp;O'!$G:$G,$AP10),0)</f>
        <v>13.09</v>
      </c>
      <c r="AR10" s="277">
        <f>-INDEX(Parameters!$B:$B,MATCH(AR$3&amp;$M10&amp;O10,Parameters!$A:$A,0))*(AQ10)</f>
        <v>-1.3090000000000002</v>
      </c>
      <c r="AS10" s="148"/>
      <c r="AT10" s="148"/>
      <c r="AU10" s="150">
        <f t="shared" si="11"/>
        <v>11.780999999999999</v>
      </c>
      <c r="AV10" s="150">
        <f t="shared" si="12"/>
        <v>11.780999999999999</v>
      </c>
      <c r="AW10" s="202"/>
      <c r="AX10" s="150">
        <f>Parameters!$B$6*AV10</f>
        <v>0.11780999999999998</v>
      </c>
      <c r="AY10" s="202">
        <v>0</v>
      </c>
      <c r="AZ10" s="202"/>
      <c r="BA10" s="150">
        <f t="shared" si="13"/>
        <v>0.11780999999999998</v>
      </c>
      <c r="BB10" s="202"/>
      <c r="BC10" s="151">
        <f t="shared" si="14"/>
        <v>11.898809999999999</v>
      </c>
      <c r="BD10" s="209"/>
      <c r="BE10" s="140">
        <f t="shared" si="2"/>
        <v>1015.8789677777778</v>
      </c>
      <c r="BF10" s="141">
        <f t="shared" si="3"/>
        <v>0.98842277945945944</v>
      </c>
      <c r="BG10" s="142" t="b">
        <f t="shared" si="15"/>
        <v>0</v>
      </c>
      <c r="BI10" s="188" t="s">
        <v>538</v>
      </c>
      <c r="BJ10" s="189"/>
      <c r="BK10">
        <f>VLOOKUP(J10,'Tarieven ZM'!$B$7:$I$146,8,0)</f>
        <v>0</v>
      </c>
      <c r="BL10" s="203" t="str">
        <f t="shared" si="16"/>
        <v>ADSLnvtunshared</v>
      </c>
      <c r="BM10" s="282">
        <f>INDEX('inkoop ULL tbv Epacity'!$J:$J,MATCH(BL10,'inkoop ULL tbv Epacity'!$H:$H,0),0)</f>
        <v>35</v>
      </c>
      <c r="BN10" s="171">
        <f>BM10/INDEX(Parameters!$B:$B,MATCH("AfschrijftermijnVVE"&amp;12*$C10,Parameters!$A:$A,0))</f>
        <v>0.97222222222222221</v>
      </c>
      <c r="BO10" s="263">
        <f>INDEX('inkoop ULL tbv Epacity'!$I:$I,MATCH(BL10,'inkoop ULL tbv Epacity'!$H:$H,0),0)</f>
        <v>12.501783475119046</v>
      </c>
      <c r="BP10" s="263">
        <f t="shared" si="17"/>
        <v>13.474005697341267</v>
      </c>
      <c r="BQ10" s="203"/>
      <c r="BR10" s="262">
        <f>Parameters!$B$12*AG10</f>
        <v>102.77777777777779</v>
      </c>
      <c r="BS10" s="262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SUM(Distributievergoedingen!$F$12,Distributievergoedingen!$I$12,Distributievergoedingen!$L$12,Distributievergoedingen!$O$12)*AF10+SUM(Distributievergoedingen!$O$12*AA10+Distributievergoedingen!$R$12+Distributievergoedingen!$U$12+Distributievergoedingen!$X$12)/(MAX(36,12*L10))</f>
        <v>112.77777777777777</v>
      </c>
      <c r="BT10" s="150"/>
      <c r="BU10" s="150">
        <f t="shared" si="18"/>
        <v>215.55555555555554</v>
      </c>
      <c r="BW10" s="151">
        <f t="shared" si="19"/>
        <v>229.0295612528968</v>
      </c>
      <c r="BY10" s="140">
        <f t="shared" si="20"/>
        <v>798.74821652488106</v>
      </c>
      <c r="BZ10" s="141">
        <f t="shared" si="21"/>
        <v>0.77716042688907339</v>
      </c>
      <c r="CA10" s="142" t="b">
        <f t="shared" si="22"/>
        <v>0</v>
      </c>
    </row>
    <row r="11" spans="1:79">
      <c r="A11" s="203" t="str">
        <f t="shared" si="4"/>
        <v>1SDSLBasicbestaandunshared</v>
      </c>
      <c r="B11" s="203" t="str">
        <f t="shared" si="5"/>
        <v>1SDSLBasicbestaandunshared</v>
      </c>
      <c r="C11" s="438">
        <v>1</v>
      </c>
      <c r="D11" s="438" t="s">
        <v>64</v>
      </c>
      <c r="E11" s="438" t="s">
        <v>44</v>
      </c>
      <c r="F11" s="438"/>
      <c r="G11" s="438"/>
      <c r="H11" s="438" t="s">
        <v>124</v>
      </c>
      <c r="I11" s="438" t="s">
        <v>128</v>
      </c>
      <c r="J11" s="274" t="str">
        <f t="shared" si="6"/>
        <v>SDSLbestaandunshared</v>
      </c>
      <c r="L11" s="160">
        <f>INDEX(Mapping!$J:$J,MATCH(C$3&amp;C11,Mapping!$B:$B,0))</f>
        <v>1</v>
      </c>
      <c r="M11" s="148" t="str">
        <f>INDEX(Mapping!$H:$H,MATCH($E11,Mapping!$B:$B,0))</f>
        <v>WBA CM Ethernet</v>
      </c>
      <c r="N11" s="179" t="str">
        <f>INDEX(Mapping!$I:$I,MATCH($D11&amp;$I11,Mapping!$B:$B,0))</f>
        <v>SDSL</v>
      </c>
      <c r="O11" s="179" t="str">
        <f>INDEX(Mapping!$I:$I,MATCH($D11,Mapping!$B:$B,0))</f>
        <v>SDSL</v>
      </c>
      <c r="P11" s="179"/>
      <c r="Q11" s="179" t="str">
        <f>INDEX(Mapping!$H:$H,MATCH($H11,Mapping!$B:$B,0))</f>
        <v>nvt</v>
      </c>
      <c r="R11" s="179" t="s">
        <v>115</v>
      </c>
      <c r="S11" s="148" t="str">
        <f>INDEX(Mapping!$J:$J,MATCH($D11&amp;$I11,Mapping!$B:$B,0))</f>
        <v>unshared</v>
      </c>
      <c r="T11" s="148" t="str">
        <f t="shared" si="0"/>
        <v>WBA CM EthernetSDSLnvt</v>
      </c>
      <c r="U11" s="142" t="str">
        <f t="shared" si="1"/>
        <v>WBA CM EthernetSDSLunshared</v>
      </c>
      <c r="W11" s="160">
        <f>MATCH($J11,'Tarieven ZM'!$B:$B,0)</f>
        <v>104</v>
      </c>
      <c r="X11" s="148">
        <f>INDEX('Tarieven ZM'!$H:$H,$W11)</f>
        <v>1000</v>
      </c>
      <c r="Y11" s="161">
        <f>-INDEX(Parameters!$B:$B,MATCH(Y$3,Parameters!$A:$A,0))*$X11</f>
        <v>0</v>
      </c>
      <c r="Z11" s="149">
        <f>-INDEX(Parameters!$B:$B,MATCH(Z$3,Parameters!$A:$A,0))*$X11</f>
        <v>0</v>
      </c>
      <c r="AA11" s="148">
        <f t="shared" si="7"/>
        <v>1000</v>
      </c>
      <c r="AB11" s="148">
        <f>AA11/INDEX(Parameters!$B:$B,MATCH("AfschrijftermijnVVE"&amp;12*$C11,Parameters!$A:$A,0))</f>
        <v>27.777777777777779</v>
      </c>
      <c r="AC11" s="148">
        <f>INDEX('Tarieven ZM'!$G:$G,$W11)</f>
        <v>1000</v>
      </c>
      <c r="AD11" s="161">
        <f>-INDEX(Parameters!$B:$B,MATCH(AD$3,Parameters!$A:$A,0))*$AC11</f>
        <v>0</v>
      </c>
      <c r="AE11" s="161">
        <f>-INDEX(Parameters!$B:$B,MATCH(AE$3,Parameters!$A:$A,0))*$AC11</f>
        <v>0</v>
      </c>
      <c r="AF11" s="148">
        <f t="shared" si="8"/>
        <v>1000</v>
      </c>
      <c r="AG11" s="151">
        <f t="shared" si="9"/>
        <v>1027.7777777777778</v>
      </c>
      <c r="AH11" s="209"/>
      <c r="AI11" s="147" t="str">
        <f>IF(Q11&lt;&gt;"nvt",MATCH($T11,'Tarieven W&amp;O'!$B:$B,0),"nvt")</f>
        <v>nvt</v>
      </c>
      <c r="AJ11" s="262">
        <f>IF(AI11&lt;&gt;"nvt",INDEX('Tarieven W&amp;O'!$H:$H,$AI11)+INDEX(Parameters!C:C,MATCH("NLSx "&amp;O11&amp;" "&amp;M11,Parameters!A:A,0)),0)</f>
        <v>0</v>
      </c>
      <c r="AK11" s="148">
        <f>IF(AI11&lt;&gt;"nvt",INDEX('Tarieven W&amp;O'!$I:$I,$AI11),0)</f>
        <v>0</v>
      </c>
      <c r="AL11" s="149">
        <f>IF(AI11&lt;&gt;"nvt",-INDEX(Parameters!$B:$B,MATCH(AL$3&amp;$M11,Parameters!$A:$A,0))*(AJ11+AK11),0)</f>
        <v>0</v>
      </c>
      <c r="AM11" s="149"/>
      <c r="AN11" s="148">
        <f t="shared" si="10"/>
        <v>0</v>
      </c>
      <c r="AO11" s="171">
        <f>AN11/INDEX(Parameters!$B:$B,MATCH("AfschrijftermijnVVE"&amp;12*$C11,Parameters!$A:$A,0))</f>
        <v>0</v>
      </c>
      <c r="AP11" s="148">
        <f>MATCH($U11,'Tarieven W&amp;O'!$B:$B,0)</f>
        <v>10</v>
      </c>
      <c r="AQ11" s="150">
        <f>IF(AP11&lt;&gt;"nvt",INDEX('Tarieven W&amp;O'!$G:$G,$AP11),0)</f>
        <v>33.729999999999997</v>
      </c>
      <c r="AR11" s="277">
        <f>-INDEX(Parameters!$B:$B,MATCH(AR$3&amp;$M11&amp;O11,Parameters!$A:$A,0))*(AQ11)</f>
        <v>-3.3729999999999998</v>
      </c>
      <c r="AS11" s="148"/>
      <c r="AT11" s="148"/>
      <c r="AU11" s="150">
        <f t="shared" si="11"/>
        <v>30.356999999999996</v>
      </c>
      <c r="AV11" s="150">
        <f t="shared" si="12"/>
        <v>30.356999999999996</v>
      </c>
      <c r="AW11" s="202"/>
      <c r="AX11" s="150">
        <f>Parameters!$B$6*AV11</f>
        <v>0.30356999999999995</v>
      </c>
      <c r="AY11" s="202">
        <v>0</v>
      </c>
      <c r="AZ11" s="202"/>
      <c r="BA11" s="150">
        <f t="shared" si="13"/>
        <v>0.30356999999999995</v>
      </c>
      <c r="BB11" s="202"/>
      <c r="BC11" s="151">
        <f t="shared" si="14"/>
        <v>30.660569999999996</v>
      </c>
      <c r="BD11" s="209"/>
      <c r="BE11" s="140">
        <f t="shared" si="2"/>
        <v>997.11720777777782</v>
      </c>
      <c r="BF11" s="141">
        <f t="shared" si="3"/>
        <v>0.97016809405405402</v>
      </c>
      <c r="BG11" s="142" t="b">
        <f t="shared" si="15"/>
        <v>0</v>
      </c>
      <c r="BI11" s="188" t="s">
        <v>538</v>
      </c>
      <c r="BJ11" s="189"/>
      <c r="BK11">
        <f>VLOOKUP(J11,'Tarieven ZM'!$B$7:$I$146,8,0)</f>
        <v>0</v>
      </c>
      <c r="BL11" s="203" t="str">
        <f t="shared" si="16"/>
        <v>SDSLnvtunshared</v>
      </c>
      <c r="BM11" s="282">
        <f>INDEX('inkoop ULL tbv Epacity'!$J:$J,MATCH(BL11,'inkoop ULL tbv Epacity'!$H:$H,0),0)</f>
        <v>19.3</v>
      </c>
      <c r="BN11" s="171">
        <f>BM11/INDEX(Parameters!$B:$B,MATCH("AfschrijftermijnVVE"&amp;12*$C11,Parameters!$A:$A,0))</f>
        <v>0.53611111111111109</v>
      </c>
      <c r="BO11" s="263">
        <f>INDEX('inkoop ULL tbv Epacity'!$I:$I,MATCH(BL11,'inkoop ULL tbv Epacity'!$H:$H,0),0)</f>
        <v>9.3855844444444436</v>
      </c>
      <c r="BP11" s="263">
        <f t="shared" si="17"/>
        <v>9.921695555555555</v>
      </c>
      <c r="BQ11" s="203"/>
      <c r="BR11" s="262">
        <f>Parameters!$B$12*AG11</f>
        <v>102.77777777777779</v>
      </c>
      <c r="BS11" s="262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SUM(Distributievergoedingen!$F$12,Distributievergoedingen!$I$12,Distributievergoedingen!$L$12,Distributievergoedingen!$O$12)*AF11+SUM(Distributievergoedingen!$O$12*AA11+Distributievergoedingen!$R$12+Distributievergoedingen!$U$12+Distributievergoedingen!$X$12)/(MAX(36,12*L11))</f>
        <v>112.77777777777777</v>
      </c>
      <c r="BT11" s="150"/>
      <c r="BU11" s="150">
        <f t="shared" si="18"/>
        <v>215.55555555555554</v>
      </c>
      <c r="BW11" s="151">
        <f t="shared" si="19"/>
        <v>225.47725111111109</v>
      </c>
      <c r="BY11" s="140">
        <f t="shared" si="20"/>
        <v>802.30052666666677</v>
      </c>
      <c r="BZ11" s="141">
        <f t="shared" si="21"/>
        <v>0.78061672864864873</v>
      </c>
      <c r="CA11" s="142" t="b">
        <f t="shared" si="22"/>
        <v>0</v>
      </c>
    </row>
    <row r="12" spans="1:79">
      <c r="A12" s="203" t="str">
        <f t="shared" si="4"/>
        <v>1VDSLEntrybestaandshared</v>
      </c>
      <c r="B12" s="203" t="str">
        <f t="shared" si="5"/>
        <v>1VDSLEntrybestaandshared</v>
      </c>
      <c r="C12" s="438">
        <v>1</v>
      </c>
      <c r="D12" s="438" t="s">
        <v>77</v>
      </c>
      <c r="E12" s="438" t="s">
        <v>78</v>
      </c>
      <c r="F12" s="438"/>
      <c r="G12" s="438"/>
      <c r="H12" s="438" t="s">
        <v>124</v>
      </c>
      <c r="I12" s="438" t="s">
        <v>127</v>
      </c>
      <c r="J12" s="274" t="str">
        <f t="shared" si="6"/>
        <v>VDSLbestaandshared</v>
      </c>
      <c r="L12" s="160">
        <f>INDEX(Mapping!$J:$J,MATCH(C$3&amp;C12,Mapping!$B:$B,0))</f>
        <v>1</v>
      </c>
      <c r="M12" s="148" t="str">
        <f>INDEX(Mapping!$H:$H,MATCH($E12,Mapping!$B:$B,0))</f>
        <v>WBA CM Ethernet</v>
      </c>
      <c r="N12" s="179" t="str">
        <f>INDEX(Mapping!$I:$I,MATCH($D12&amp;$I12,Mapping!$B:$B,0))</f>
        <v>VDSL</v>
      </c>
      <c r="O12" s="179" t="str">
        <f>INDEX(Mapping!$I:$I,MATCH($D12,Mapping!$B:$B,0))</f>
        <v>VDSL</v>
      </c>
      <c r="P12" s="179"/>
      <c r="Q12" s="179" t="str">
        <f>INDEX(Mapping!$H:$H,MATCH($H12,Mapping!$B:$B,0))</f>
        <v>nvt</v>
      </c>
      <c r="R12" s="179" t="s">
        <v>115</v>
      </c>
      <c r="S12" s="148" t="str">
        <f>INDEX(Mapping!$J:$J,MATCH($D12&amp;$I12,Mapping!$B:$B,0))</f>
        <v>shared</v>
      </c>
      <c r="T12" s="148" t="str">
        <f t="shared" si="0"/>
        <v>WBA CM EthernetVDSLnvt</v>
      </c>
      <c r="U12" s="142" t="str">
        <f t="shared" si="1"/>
        <v>WBA CM EthernetVDSLshared</v>
      </c>
      <c r="W12" s="160">
        <f>MATCH($J12,'Tarieven ZM'!$B:$B,0)</f>
        <v>105</v>
      </c>
      <c r="X12" s="148">
        <f>INDEX('Tarieven ZM'!$H:$H,$W12)</f>
        <v>1000</v>
      </c>
      <c r="Y12" s="161">
        <f>-INDEX(Parameters!$B:$B,MATCH(Y$3,Parameters!$A:$A,0))*$X12</f>
        <v>0</v>
      </c>
      <c r="Z12" s="149">
        <f>-INDEX(Parameters!$B:$B,MATCH(Z$3,Parameters!$A:$A,0))*$X12</f>
        <v>0</v>
      </c>
      <c r="AA12" s="148">
        <f t="shared" si="7"/>
        <v>1000</v>
      </c>
      <c r="AB12" s="148">
        <f>AA12/INDEX(Parameters!$B:$B,MATCH("AfschrijftermijnVVE"&amp;12*$C12,Parameters!$A:$A,0))</f>
        <v>27.777777777777779</v>
      </c>
      <c r="AC12" s="148">
        <f>INDEX('Tarieven ZM'!$G:$G,$W12)</f>
        <v>1000</v>
      </c>
      <c r="AD12" s="161">
        <f>-INDEX(Parameters!$B:$B,MATCH(AD$3,Parameters!$A:$A,0))*$AC12</f>
        <v>0</v>
      </c>
      <c r="AE12" s="161">
        <f>-INDEX(Parameters!$B:$B,MATCH(AE$3,Parameters!$A:$A,0))*$AC12</f>
        <v>0</v>
      </c>
      <c r="AF12" s="148">
        <f t="shared" si="8"/>
        <v>1000</v>
      </c>
      <c r="AG12" s="151">
        <f t="shared" si="9"/>
        <v>1027.7777777777778</v>
      </c>
      <c r="AH12" s="209"/>
      <c r="AI12" s="147" t="str">
        <f>IF(Q12&lt;&gt;"nvt",MATCH($T12,'Tarieven W&amp;O'!$B:$B,0),"nvt")</f>
        <v>nvt</v>
      </c>
      <c r="AJ12" s="262">
        <f>IF(AI12&lt;&gt;"nvt",INDEX('Tarieven W&amp;O'!$H:$H,$AI12)+INDEX(Parameters!C:C,MATCH("NLSx "&amp;O12&amp;" "&amp;M12,Parameters!A:A,0)),0)</f>
        <v>0</v>
      </c>
      <c r="AK12" s="148">
        <f>IF(AI12&lt;&gt;"nvt",INDEX('Tarieven W&amp;O'!$I:$I,$AI12),0)</f>
        <v>0</v>
      </c>
      <c r="AL12" s="149">
        <f>IF(AI12&lt;&gt;"nvt",-INDEX(Parameters!$B:$B,MATCH(AL$3&amp;$M12,Parameters!$A:$A,0))*(AJ12+AK12),0)</f>
        <v>0</v>
      </c>
      <c r="AM12" s="149"/>
      <c r="AN12" s="148">
        <f t="shared" si="10"/>
        <v>0</v>
      </c>
      <c r="AO12" s="171">
        <f>AN12/INDEX(Parameters!$B:$B,MATCH("AfschrijftermijnVVE"&amp;12*$C12,Parameters!$A:$A,0))</f>
        <v>0</v>
      </c>
      <c r="AP12" s="148">
        <f>MATCH($U12,'Tarieven W&amp;O'!$B:$B,0)</f>
        <v>14</v>
      </c>
      <c r="AQ12" s="150">
        <f>IF(AP12&lt;&gt;"nvt",INDEX('Tarieven W&amp;O'!$G:$G,$AP12),0)</f>
        <v>5.36</v>
      </c>
      <c r="AR12" s="277">
        <f>-INDEX(Parameters!$B:$B,MATCH(AR$3&amp;$M12&amp;O12,Parameters!$A:$A,0))*(AQ12)</f>
        <v>-0.53600000000000003</v>
      </c>
      <c r="AS12" s="148"/>
      <c r="AT12" s="148"/>
      <c r="AU12" s="150">
        <f t="shared" si="11"/>
        <v>4.8239999999999998</v>
      </c>
      <c r="AV12" s="150">
        <f t="shared" si="12"/>
        <v>4.8239999999999998</v>
      </c>
      <c r="AW12" s="202"/>
      <c r="AX12" s="150">
        <f>Parameters!$B$6*AV12</f>
        <v>4.8239999999999998E-2</v>
      </c>
      <c r="AY12" s="202">
        <v>0</v>
      </c>
      <c r="AZ12" s="202"/>
      <c r="BA12" s="150">
        <f t="shared" si="13"/>
        <v>4.8239999999999998E-2</v>
      </c>
      <c r="BB12" s="202"/>
      <c r="BC12" s="151">
        <f t="shared" si="14"/>
        <v>4.8722399999999997</v>
      </c>
      <c r="BD12" s="209"/>
      <c r="BE12" s="140">
        <f t="shared" si="2"/>
        <v>1022.9055377777778</v>
      </c>
      <c r="BF12" s="141">
        <f t="shared" si="3"/>
        <v>0.99525944216216211</v>
      </c>
      <c r="BG12" s="142" t="b">
        <f t="shared" si="15"/>
        <v>0</v>
      </c>
      <c r="BI12" s="188" t="s">
        <v>538</v>
      </c>
      <c r="BJ12" s="189"/>
      <c r="BK12">
        <f>VLOOKUP(J12,'Tarieven ZM'!$B$7:$I$146,8,0)</f>
        <v>0</v>
      </c>
      <c r="BL12" s="203" t="str">
        <f t="shared" si="16"/>
        <v>VDSLnvtshared</v>
      </c>
      <c r="BM12" s="282">
        <f>INDEX('inkoop ULL tbv Epacity'!$J:$J,MATCH(BL12,'inkoop ULL tbv Epacity'!$H:$H,0),0)</f>
        <v>35</v>
      </c>
      <c r="BN12" s="171">
        <f>BM12/INDEX(Parameters!$B:$B,MATCH("AfschrijftermijnVVE"&amp;12*$C12,Parameters!$A:$A,0))</f>
        <v>0.97222222222222221</v>
      </c>
      <c r="BO12" s="263">
        <f>INDEX('inkoop ULL tbv Epacity'!$I:$I,MATCH(BL12,'inkoop ULL tbv Epacity'!$H:$H,0),0)</f>
        <v>6.031783475119048</v>
      </c>
      <c r="BP12" s="263">
        <f t="shared" si="17"/>
        <v>7.0040056973412703</v>
      </c>
      <c r="BQ12" s="203"/>
      <c r="BR12" s="262">
        <f>Parameters!$B$12*AG12</f>
        <v>102.77777777777779</v>
      </c>
      <c r="BS12" s="262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SUM(Distributievergoedingen!$F$12,Distributievergoedingen!$I$12,Distributievergoedingen!$L$12,Distributievergoedingen!$O$12)*AF12+SUM(Distributievergoedingen!$O$12*AA12+Distributievergoedingen!$R$12+Distributievergoedingen!$U$12+Distributievergoedingen!$X$12)/(MAX(36,12*L12))</f>
        <v>112.77777777777777</v>
      </c>
      <c r="BT12" s="150"/>
      <c r="BU12" s="150">
        <f t="shared" si="18"/>
        <v>215.55555555555554</v>
      </c>
      <c r="BW12" s="151">
        <f t="shared" si="19"/>
        <v>222.5595612528968</v>
      </c>
      <c r="BY12" s="140">
        <f t="shared" si="20"/>
        <v>805.21821652488097</v>
      </c>
      <c r="BZ12" s="141">
        <f t="shared" si="21"/>
        <v>0.78345556202420852</v>
      </c>
      <c r="CA12" s="142" t="b">
        <f t="shared" si="22"/>
        <v>0</v>
      </c>
    </row>
    <row r="13" spans="1:79">
      <c r="A13" s="203" t="str">
        <f t="shared" si="4"/>
        <v>1ADSLBasicbestaandshared</v>
      </c>
      <c r="B13" s="203" t="str">
        <f t="shared" si="5"/>
        <v>1ADSLBasicbestaandshared</v>
      </c>
      <c r="C13" s="438">
        <v>1</v>
      </c>
      <c r="D13" s="438" t="s">
        <v>42</v>
      </c>
      <c r="E13" s="438" t="s">
        <v>44</v>
      </c>
      <c r="F13" s="438"/>
      <c r="G13" s="438"/>
      <c r="H13" s="438" t="s">
        <v>124</v>
      </c>
      <c r="I13" s="438" t="s">
        <v>127</v>
      </c>
      <c r="J13" s="274" t="str">
        <f t="shared" si="6"/>
        <v>ADSLbestaandshared</v>
      </c>
      <c r="L13" s="160">
        <f>INDEX(Mapping!$J:$J,MATCH(C$3&amp;C13,Mapping!$B:$B,0))</f>
        <v>1</v>
      </c>
      <c r="M13" s="148" t="str">
        <f>INDEX(Mapping!$H:$H,MATCH($E13,Mapping!$B:$B,0))</f>
        <v>WBA CM Ethernet</v>
      </c>
      <c r="N13" s="179" t="str">
        <f>INDEX(Mapping!$I:$I,MATCH($D13&amp;$I13,Mapping!$B:$B,0))</f>
        <v>ADSL</v>
      </c>
      <c r="O13" s="179" t="str">
        <f>INDEX(Mapping!$I:$I,MATCH($D13,Mapping!$B:$B,0))</f>
        <v>ADSL</v>
      </c>
      <c r="P13" s="179"/>
      <c r="Q13" s="179" t="str">
        <f>INDEX(Mapping!$H:$H,MATCH($H13,Mapping!$B:$B,0))</f>
        <v>nvt</v>
      </c>
      <c r="R13" s="179" t="s">
        <v>115</v>
      </c>
      <c r="S13" s="148" t="str">
        <f>INDEX(Mapping!$J:$J,MATCH($D13&amp;$I13,Mapping!$B:$B,0))</f>
        <v>shared</v>
      </c>
      <c r="T13" s="148" t="str">
        <f t="shared" si="0"/>
        <v>WBA CM EthernetADSLnvt</v>
      </c>
      <c r="U13" s="142" t="str">
        <f t="shared" si="1"/>
        <v>WBA CM EthernetADSLshared</v>
      </c>
      <c r="W13" s="160">
        <f>MATCH($J13,'Tarieven ZM'!$B:$B,0)</f>
        <v>106</v>
      </c>
      <c r="X13" s="148">
        <f>INDEX('Tarieven ZM'!$H:$H,$W13)</f>
        <v>1000</v>
      </c>
      <c r="Y13" s="161">
        <f>-INDEX(Parameters!$B:$B,MATCH(Y$3,Parameters!$A:$A,0))*$X13</f>
        <v>0</v>
      </c>
      <c r="Z13" s="149">
        <f>-INDEX(Parameters!$B:$B,MATCH(Z$3,Parameters!$A:$A,0))*$X13</f>
        <v>0</v>
      </c>
      <c r="AA13" s="148">
        <f t="shared" si="7"/>
        <v>1000</v>
      </c>
      <c r="AB13" s="148">
        <f>AA13/INDEX(Parameters!$B:$B,MATCH("AfschrijftermijnVVE"&amp;12*$C13,Parameters!$A:$A,0))</f>
        <v>27.777777777777779</v>
      </c>
      <c r="AC13" s="148">
        <f>INDEX('Tarieven ZM'!$G:$G,$W13)</f>
        <v>1000</v>
      </c>
      <c r="AD13" s="161">
        <f>-INDEX(Parameters!$B:$B,MATCH(AD$3,Parameters!$A:$A,0))*$AC13</f>
        <v>0</v>
      </c>
      <c r="AE13" s="161">
        <f>-INDEX(Parameters!$B:$B,MATCH(AE$3,Parameters!$A:$A,0))*$AC13</f>
        <v>0</v>
      </c>
      <c r="AF13" s="148">
        <f t="shared" si="8"/>
        <v>1000</v>
      </c>
      <c r="AG13" s="151">
        <f t="shared" si="9"/>
        <v>1027.7777777777778</v>
      </c>
      <c r="AH13" s="209"/>
      <c r="AI13" s="147" t="str">
        <f>IF(Q13&lt;&gt;"nvt",MATCH($T13,'Tarieven W&amp;O'!$B:$B,0),"nvt")</f>
        <v>nvt</v>
      </c>
      <c r="AJ13" s="262">
        <f>IF(AI13&lt;&gt;"nvt",INDEX('Tarieven W&amp;O'!$H:$H,$AI13)+INDEX(Parameters!C:C,MATCH("NLSx "&amp;O13&amp;" "&amp;M13,Parameters!A:A,0)),0)</f>
        <v>0</v>
      </c>
      <c r="AK13" s="148">
        <f>IF(AI13&lt;&gt;"nvt",INDEX('Tarieven W&amp;O'!$I:$I,$AI13),0)</f>
        <v>0</v>
      </c>
      <c r="AL13" s="149">
        <f>IF(AI13&lt;&gt;"nvt",-INDEX(Parameters!$B:$B,MATCH(AL$3&amp;$M13,Parameters!$A:$A,0))*(AJ13+AK13),0)</f>
        <v>0</v>
      </c>
      <c r="AM13" s="149"/>
      <c r="AN13" s="148">
        <f t="shared" si="10"/>
        <v>0</v>
      </c>
      <c r="AO13" s="171">
        <f>AN13/INDEX(Parameters!$B:$B,MATCH("AfschrijftermijnVVE"&amp;12*$C13,Parameters!$A:$A,0))</f>
        <v>0</v>
      </c>
      <c r="AP13" s="148">
        <f>MATCH($U13,'Tarieven W&amp;O'!$B:$B,0)</f>
        <v>15</v>
      </c>
      <c r="AQ13" s="150">
        <f>IF(AP13&lt;&gt;"nvt",INDEX('Tarieven W&amp;O'!$G:$G,$AP13),0)</f>
        <v>5.36</v>
      </c>
      <c r="AR13" s="277">
        <f>-INDEX(Parameters!$B:$B,MATCH(AR$3&amp;$M13&amp;O13,Parameters!$A:$A,0))*(AQ13)</f>
        <v>-0.53600000000000003</v>
      </c>
      <c r="AS13" s="148"/>
      <c r="AT13" s="148"/>
      <c r="AU13" s="150">
        <f t="shared" si="11"/>
        <v>4.8239999999999998</v>
      </c>
      <c r="AV13" s="150">
        <f t="shared" si="12"/>
        <v>4.8239999999999998</v>
      </c>
      <c r="AW13" s="202"/>
      <c r="AX13" s="150">
        <f>Parameters!$B$6*AV13</f>
        <v>4.8239999999999998E-2</v>
      </c>
      <c r="AY13" s="202">
        <v>0</v>
      </c>
      <c r="AZ13" s="202"/>
      <c r="BA13" s="150">
        <f t="shared" si="13"/>
        <v>4.8239999999999998E-2</v>
      </c>
      <c r="BB13" s="202"/>
      <c r="BC13" s="151">
        <f t="shared" si="14"/>
        <v>4.8722399999999997</v>
      </c>
      <c r="BD13" s="209"/>
      <c r="BE13" s="140">
        <f t="shared" si="2"/>
        <v>1022.9055377777778</v>
      </c>
      <c r="BF13" s="141">
        <f t="shared" si="3"/>
        <v>0.99525944216216211</v>
      </c>
      <c r="BG13" s="142" t="b">
        <f t="shared" si="15"/>
        <v>0</v>
      </c>
      <c r="BI13" s="188" t="s">
        <v>538</v>
      </c>
      <c r="BJ13" s="189"/>
      <c r="BK13">
        <f>VLOOKUP(J13,'Tarieven ZM'!$B$7:$I$146,8,0)</f>
        <v>0</v>
      </c>
      <c r="BL13" s="203" t="str">
        <f t="shared" si="16"/>
        <v>ADSLnvtshared</v>
      </c>
      <c r="BM13" s="282">
        <f>INDEX('inkoop ULL tbv Epacity'!$J:$J,MATCH(BL13,'inkoop ULL tbv Epacity'!$H:$H,0),0)</f>
        <v>35</v>
      </c>
      <c r="BN13" s="171">
        <f>BM13/INDEX(Parameters!$B:$B,MATCH("AfschrijftermijnVVE"&amp;12*$C13,Parameters!$A:$A,0))</f>
        <v>0.97222222222222221</v>
      </c>
      <c r="BO13" s="263">
        <f>INDEX('inkoop ULL tbv Epacity'!$I:$I,MATCH(BL13,'inkoop ULL tbv Epacity'!$H:$H,0),0)</f>
        <v>6.031783475119048</v>
      </c>
      <c r="BP13" s="263">
        <f t="shared" si="17"/>
        <v>7.0040056973412703</v>
      </c>
      <c r="BQ13" s="203"/>
      <c r="BR13" s="262">
        <f>Parameters!$B$12*AG13</f>
        <v>102.77777777777779</v>
      </c>
      <c r="BS13" s="262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SUM(Distributievergoedingen!$F$12,Distributievergoedingen!$I$12,Distributievergoedingen!$L$12,Distributievergoedingen!$O$12)*AF13+SUM(Distributievergoedingen!$O$12*AA13+Distributievergoedingen!$R$12+Distributievergoedingen!$U$12+Distributievergoedingen!$X$12)/(MAX(36,12*L13))</f>
        <v>112.77777777777777</v>
      </c>
      <c r="BT13" s="150"/>
      <c r="BU13" s="150">
        <f t="shared" si="18"/>
        <v>215.55555555555554</v>
      </c>
      <c r="BW13" s="151">
        <f t="shared" si="19"/>
        <v>222.5595612528968</v>
      </c>
      <c r="BY13" s="140">
        <f t="shared" si="20"/>
        <v>805.21821652488097</v>
      </c>
      <c r="BZ13" s="141">
        <f t="shared" si="21"/>
        <v>0.78345556202420852</v>
      </c>
      <c r="CA13" s="142" t="b">
        <f t="shared" si="22"/>
        <v>0</v>
      </c>
    </row>
    <row r="14" spans="1:79">
      <c r="A14" s="203" t="str">
        <f t="shared" si="4"/>
        <v>1ADSLPremiumnieuwunshared</v>
      </c>
      <c r="B14" s="203" t="str">
        <f t="shared" si="5"/>
        <v>1ADSLPremiumnieuwunshared</v>
      </c>
      <c r="C14" s="438">
        <v>1</v>
      </c>
      <c r="D14" s="438" t="s">
        <v>42</v>
      </c>
      <c r="E14" s="438" t="s">
        <v>70</v>
      </c>
      <c r="F14" s="438"/>
      <c r="G14" s="438"/>
      <c r="H14" s="438" t="s">
        <v>125</v>
      </c>
      <c r="I14" s="438" t="s">
        <v>128</v>
      </c>
      <c r="J14" s="274" t="str">
        <f t="shared" si="6"/>
        <v>ADSLnieuwunshared</v>
      </c>
      <c r="L14" s="160">
        <f>INDEX(Mapping!$J:$J,MATCH(C$3&amp;C14,Mapping!$B:$B,0))</f>
        <v>1</v>
      </c>
      <c r="M14" s="148" t="str">
        <f>INDEX(Mapping!$H:$H,MATCH($E14,Mapping!$B:$B,0))</f>
        <v>WBA ZM Ethernet</v>
      </c>
      <c r="N14" s="179" t="str">
        <f>INDEX(Mapping!$I:$I,MATCH($D14&amp;$I14,Mapping!$B:$B,0))</f>
        <v>ADSL</v>
      </c>
      <c r="O14" s="179" t="str">
        <f>INDEX(Mapping!$I:$I,MATCH($D14,Mapping!$B:$B,0))</f>
        <v>ADSL</v>
      </c>
      <c r="P14" s="179"/>
      <c r="Q14" s="179" t="str">
        <f>INDEX(Mapping!$H:$H,MATCH($H14,Mapping!$B:$B,0))</f>
        <v>New line</v>
      </c>
      <c r="R14" s="179" t="s">
        <v>115</v>
      </c>
      <c r="S14" s="148" t="str">
        <f>INDEX(Mapping!$J:$J,MATCH($D14&amp;$I14,Mapping!$B:$B,0))</f>
        <v>unshared</v>
      </c>
      <c r="T14" s="148" t="str">
        <f t="shared" si="0"/>
        <v>WBA ZM EthernetADSLNew line</v>
      </c>
      <c r="U14" s="142" t="str">
        <f t="shared" si="1"/>
        <v>WBA ZM EthernetADSLunshared</v>
      </c>
      <c r="W14" s="160">
        <f>MATCH($J14,'Tarieven ZM'!$B:$B,0)</f>
        <v>97</v>
      </c>
      <c r="X14" s="148">
        <f>INDEX('Tarieven ZM'!$H:$H,$W14)</f>
        <v>1000</v>
      </c>
      <c r="Y14" s="161">
        <f>-INDEX(Parameters!$B:$B,MATCH(Y$3,Parameters!$A:$A,0))*$X14</f>
        <v>0</v>
      </c>
      <c r="Z14" s="149">
        <f>-INDEX(Parameters!$B:$B,MATCH(Z$3,Parameters!$A:$A,0))*$X14</f>
        <v>0</v>
      </c>
      <c r="AA14" s="148">
        <f t="shared" si="7"/>
        <v>1000</v>
      </c>
      <c r="AB14" s="148">
        <f>AA14/INDEX(Parameters!$B:$B,MATCH("AfschrijftermijnVVE"&amp;12*$C14,Parameters!$A:$A,0))</f>
        <v>27.777777777777779</v>
      </c>
      <c r="AC14" s="148">
        <f>INDEX('Tarieven ZM'!$G:$G,$W14)</f>
        <v>1000</v>
      </c>
      <c r="AD14" s="161">
        <f>-INDEX(Parameters!$B:$B,MATCH(AD$3,Parameters!$A:$A,0))*$AC14</f>
        <v>0</v>
      </c>
      <c r="AE14" s="161">
        <f>-INDEX(Parameters!$B:$B,MATCH(AE$3,Parameters!$A:$A,0))*$AC14</f>
        <v>0</v>
      </c>
      <c r="AF14" s="148">
        <f t="shared" si="8"/>
        <v>1000</v>
      </c>
      <c r="AG14" s="151">
        <f t="shared" si="9"/>
        <v>1027.7777777777778</v>
      </c>
      <c r="AH14" s="209"/>
      <c r="AI14" s="147">
        <f>IF(Q14&lt;&gt;"nvt",MATCH($T14,'Tarieven W&amp;O'!$B:$B,0),"nvt")</f>
        <v>36</v>
      </c>
      <c r="AJ14" s="262">
        <f>IF(AI14&lt;&gt;"nvt",INDEX('Tarieven W&amp;O'!$H:$H,$AI14)+INDEX(Parameters!C:C,MATCH("NLSx "&amp;O14&amp;" "&amp;M14,Parameters!A:A,0)),0)</f>
        <v>64</v>
      </c>
      <c r="AK14" s="148">
        <f>IF(AI14&lt;&gt;"nvt",INDEX('Tarieven W&amp;O'!$I:$I,$AI14),0)</f>
        <v>25</v>
      </c>
      <c r="AL14" s="149">
        <f>IF(AI14&lt;&gt;"nvt",-INDEX(Parameters!$B:$B,MATCH(AL$3&amp;$M14,Parameters!$A:$A,0))*(AJ14+AK14),0)</f>
        <v>0</v>
      </c>
      <c r="AM14" s="149"/>
      <c r="AN14" s="148">
        <f t="shared" si="10"/>
        <v>89</v>
      </c>
      <c r="AO14" s="171">
        <f>AN14/INDEX(Parameters!$B:$B,MATCH("AfschrijftermijnVVE"&amp;12*$C14,Parameters!$A:$A,0))</f>
        <v>2.4722222222222223</v>
      </c>
      <c r="AP14" s="148">
        <f>MATCH($U14,'Tarieven W&amp;O'!$B:$B,0)</f>
        <v>28</v>
      </c>
      <c r="AQ14" s="150">
        <f>IF(AP14&lt;&gt;"nvt",INDEX('Tarieven W&amp;O'!$G:$G,$AP14),0)</f>
        <v>11.2</v>
      </c>
      <c r="AR14" s="277">
        <f>-INDEX(Parameters!$B:$B,MATCH(AR$3&amp;$M14&amp;O14,Parameters!$A:$A,0))*(AQ14)</f>
        <v>0</v>
      </c>
      <c r="AS14" s="148"/>
      <c r="AT14" s="148"/>
      <c r="AU14" s="150">
        <f t="shared" si="11"/>
        <v>11.2</v>
      </c>
      <c r="AV14" s="150">
        <f t="shared" si="12"/>
        <v>13.672222222222221</v>
      </c>
      <c r="AW14" s="202"/>
      <c r="AX14" s="150">
        <f>Parameters!$B$6*AV14</f>
        <v>0.13672222222222222</v>
      </c>
      <c r="AY14" s="202">
        <v>0</v>
      </c>
      <c r="AZ14" s="202"/>
      <c r="BA14" s="150">
        <f t="shared" si="13"/>
        <v>0.13672222222222222</v>
      </c>
      <c r="BB14" s="202"/>
      <c r="BC14" s="151">
        <f t="shared" si="14"/>
        <v>13.808944444444442</v>
      </c>
      <c r="BD14" s="209"/>
      <c r="BE14" s="140">
        <f t="shared" si="2"/>
        <v>1013.9688333333334</v>
      </c>
      <c r="BF14" s="141">
        <f t="shared" si="3"/>
        <v>0.98656427027027027</v>
      </c>
      <c r="BG14" s="142" t="b">
        <f t="shared" si="15"/>
        <v>0</v>
      </c>
      <c r="BI14" s="188" t="s">
        <v>538</v>
      </c>
      <c r="BJ14" s="189"/>
      <c r="BK14">
        <f>VLOOKUP(J14,'Tarieven ZM'!$B$7:$I$146,8,0)</f>
        <v>0</v>
      </c>
      <c r="BL14" s="203" t="str">
        <f t="shared" si="16"/>
        <v>ADSLNew lineunshared</v>
      </c>
      <c r="BM14" s="282">
        <f>INDEX('inkoop ULL tbv Epacity'!$J:$J,MATCH(BL14,'inkoop ULL tbv Epacity'!$H:$H,0),0)</f>
        <v>75</v>
      </c>
      <c r="BN14" s="171">
        <f>BM14/INDEX(Parameters!$B:$B,MATCH("AfschrijftermijnVVE"&amp;12*$C14,Parameters!$A:$A,0))</f>
        <v>2.0833333333333335</v>
      </c>
      <c r="BO14" s="263">
        <f>INDEX('inkoop ULL tbv Epacity'!$I:$I,MATCH(BL14,'inkoop ULL tbv Epacity'!$H:$H,0),0)</f>
        <v>12.501783475119046</v>
      </c>
      <c r="BP14" s="263">
        <f t="shared" si="17"/>
        <v>14.58511680845238</v>
      </c>
      <c r="BQ14" s="203"/>
      <c r="BR14" s="262">
        <f>Parameters!$B$12*AG14</f>
        <v>102.77777777777779</v>
      </c>
      <c r="BS14" s="262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SUM(Distributievergoedingen!$F$12,Distributievergoedingen!$I$12,Distributievergoedingen!$L$12,Distributievergoedingen!$O$12)*AF14+SUM(Distributievergoedingen!$O$12*AA14+Distributievergoedingen!$R$12+Distributievergoedingen!$U$12+Distributievergoedingen!$X$12)/(MAX(36,12*L14))</f>
        <v>112.77777777777777</v>
      </c>
      <c r="BT14" s="150"/>
      <c r="BU14" s="150">
        <f t="shared" si="18"/>
        <v>215.55555555555554</v>
      </c>
      <c r="BW14" s="151">
        <f t="shared" si="19"/>
        <v>230.14067236400791</v>
      </c>
      <c r="BY14" s="140">
        <f t="shared" si="20"/>
        <v>797.63710541376986</v>
      </c>
      <c r="BZ14" s="141">
        <f t="shared" si="21"/>
        <v>0.7760793458079922</v>
      </c>
      <c r="CA14" s="142" t="b">
        <f t="shared" si="22"/>
        <v>0</v>
      </c>
    </row>
    <row r="15" spans="1:79">
      <c r="A15" s="203" t="str">
        <f t="shared" si="4"/>
        <v>1VDSLPremiumnieuwunshared</v>
      </c>
      <c r="B15" s="203" t="str">
        <f t="shared" si="5"/>
        <v>1VDSLPremiumnieuwunshared</v>
      </c>
      <c r="C15" s="438">
        <v>1</v>
      </c>
      <c r="D15" s="438" t="s">
        <v>77</v>
      </c>
      <c r="E15" s="438" t="s">
        <v>70</v>
      </c>
      <c r="F15" s="438"/>
      <c r="G15" s="438"/>
      <c r="H15" s="438" t="s">
        <v>125</v>
      </c>
      <c r="I15" s="438" t="s">
        <v>128</v>
      </c>
      <c r="J15" s="274" t="str">
        <f t="shared" si="6"/>
        <v>VDSLnieuwunshared</v>
      </c>
      <c r="L15" s="160">
        <f>INDEX(Mapping!$J:$J,MATCH(C$3&amp;C15,Mapping!$B:$B,0))</f>
        <v>1</v>
      </c>
      <c r="M15" s="148" t="str">
        <f>INDEX(Mapping!$H:$H,MATCH($E15,Mapping!$B:$B,0))</f>
        <v>WBA ZM Ethernet</v>
      </c>
      <c r="N15" s="179" t="str">
        <f>INDEX(Mapping!$I:$I,MATCH($D15&amp;$I15,Mapping!$B:$B,0))</f>
        <v>VDSL</v>
      </c>
      <c r="O15" s="179" t="str">
        <f>INDEX(Mapping!$I:$I,MATCH($D15,Mapping!$B:$B,0))</f>
        <v>VDSL</v>
      </c>
      <c r="P15" s="179"/>
      <c r="Q15" s="179" t="str">
        <f>INDEX(Mapping!$H:$H,MATCH($H15,Mapping!$B:$B,0))</f>
        <v>New line</v>
      </c>
      <c r="R15" s="179" t="s">
        <v>115</v>
      </c>
      <c r="S15" s="148" t="str">
        <f>INDEX(Mapping!$J:$J,MATCH($D15&amp;$I15,Mapping!$B:$B,0))</f>
        <v>unshared</v>
      </c>
      <c r="T15" s="148" t="str">
        <f t="shared" si="0"/>
        <v>WBA ZM EthernetVDSLNew line</v>
      </c>
      <c r="U15" s="142" t="str">
        <f t="shared" si="1"/>
        <v>WBA ZM EthernetVDSLunshared</v>
      </c>
      <c r="W15" s="160">
        <f>MATCH($J15,'Tarieven ZM'!$B:$B,0)</f>
        <v>98</v>
      </c>
      <c r="X15" s="148">
        <f>INDEX('Tarieven ZM'!$H:$H,$W15)</f>
        <v>1000</v>
      </c>
      <c r="Y15" s="161">
        <f>-INDEX(Parameters!$B:$B,MATCH(Y$3,Parameters!$A:$A,0))*$X15</f>
        <v>0</v>
      </c>
      <c r="Z15" s="149">
        <f>-INDEX(Parameters!$B:$B,MATCH(Z$3,Parameters!$A:$A,0))*$X15</f>
        <v>0</v>
      </c>
      <c r="AA15" s="148">
        <f t="shared" si="7"/>
        <v>1000</v>
      </c>
      <c r="AB15" s="148">
        <f>AA15/INDEX(Parameters!$B:$B,MATCH("AfschrijftermijnVVE"&amp;12*$C15,Parameters!$A:$A,0))</f>
        <v>27.777777777777779</v>
      </c>
      <c r="AC15" s="148">
        <f>INDEX('Tarieven ZM'!$G:$G,$W15)</f>
        <v>1000</v>
      </c>
      <c r="AD15" s="161">
        <f>-INDEX(Parameters!$B:$B,MATCH(AD$3,Parameters!$A:$A,0))*$AC15</f>
        <v>0</v>
      </c>
      <c r="AE15" s="161">
        <f>-INDEX(Parameters!$B:$B,MATCH(AE$3,Parameters!$A:$A,0))*$AC15</f>
        <v>0</v>
      </c>
      <c r="AF15" s="148">
        <f t="shared" si="8"/>
        <v>1000</v>
      </c>
      <c r="AG15" s="151">
        <f t="shared" si="9"/>
        <v>1027.7777777777778</v>
      </c>
      <c r="AH15" s="209"/>
      <c r="AI15" s="147">
        <f>IF(Q15&lt;&gt;"nvt",MATCH($T15,'Tarieven W&amp;O'!$B:$B,0),"nvt")</f>
        <v>37</v>
      </c>
      <c r="AJ15" s="262">
        <f>IF(AI15&lt;&gt;"nvt",INDEX('Tarieven W&amp;O'!$H:$H,$AI15)+INDEX(Parameters!C:C,MATCH("NLSx "&amp;O15&amp;" "&amp;M15,Parameters!A:A,0)),0)</f>
        <v>64</v>
      </c>
      <c r="AK15" s="148">
        <f>IF(AI15&lt;&gt;"nvt",INDEX('Tarieven W&amp;O'!$I:$I,$AI15),0)</f>
        <v>25</v>
      </c>
      <c r="AL15" s="149">
        <f>IF(AI15&lt;&gt;"nvt",-INDEX(Parameters!$B:$B,MATCH(AL$3&amp;$M15,Parameters!$A:$A,0))*(AJ15+AK15),0)</f>
        <v>0</v>
      </c>
      <c r="AM15" s="149"/>
      <c r="AN15" s="148">
        <f t="shared" si="10"/>
        <v>89</v>
      </c>
      <c r="AO15" s="171">
        <f>AN15/INDEX(Parameters!$B:$B,MATCH("AfschrijftermijnVVE"&amp;12*$C15,Parameters!$A:$A,0))</f>
        <v>2.4722222222222223</v>
      </c>
      <c r="AP15" s="148">
        <f>MATCH($U15,'Tarieven W&amp;O'!$B:$B,0)</f>
        <v>29</v>
      </c>
      <c r="AQ15" s="150">
        <f>IF(AP15&lt;&gt;"nvt",INDEX('Tarieven W&amp;O'!$G:$G,$AP15),0)</f>
        <v>11.2</v>
      </c>
      <c r="AR15" s="277">
        <f>-INDEX(Parameters!$B:$B,MATCH(AR$3&amp;$M15&amp;O15,Parameters!$A:$A,0))*(AQ15)</f>
        <v>0</v>
      </c>
      <c r="AS15" s="148"/>
      <c r="AT15" s="148"/>
      <c r="AU15" s="150">
        <f t="shared" si="11"/>
        <v>11.2</v>
      </c>
      <c r="AV15" s="150">
        <f t="shared" si="12"/>
        <v>13.672222222222221</v>
      </c>
      <c r="AW15" s="202"/>
      <c r="AX15" s="150">
        <f>Parameters!$B$6*AV15</f>
        <v>0.13672222222222222</v>
      </c>
      <c r="AY15" s="202">
        <v>0</v>
      </c>
      <c r="AZ15" s="202"/>
      <c r="BA15" s="150">
        <f t="shared" si="13"/>
        <v>0.13672222222222222</v>
      </c>
      <c r="BB15" s="202"/>
      <c r="BC15" s="151">
        <f t="shared" si="14"/>
        <v>13.808944444444442</v>
      </c>
      <c r="BD15" s="209"/>
      <c r="BE15" s="140">
        <f t="shared" si="2"/>
        <v>1013.9688333333334</v>
      </c>
      <c r="BF15" s="141">
        <f t="shared" si="3"/>
        <v>0.98656427027027027</v>
      </c>
      <c r="BG15" s="142" t="b">
        <f t="shared" si="15"/>
        <v>0</v>
      </c>
      <c r="BI15" s="188" t="s">
        <v>538</v>
      </c>
      <c r="BJ15" s="189"/>
      <c r="BK15">
        <f>VLOOKUP(J15,'Tarieven ZM'!$B$7:$I$146,8,0)</f>
        <v>0</v>
      </c>
      <c r="BL15" s="203" t="str">
        <f t="shared" si="16"/>
        <v>VDSLNew lineunshared</v>
      </c>
      <c r="BM15" s="282">
        <f>INDEX('inkoop ULL tbv Epacity'!$J:$J,MATCH(BL15,'inkoop ULL tbv Epacity'!$H:$H,0),0)</f>
        <v>75</v>
      </c>
      <c r="BN15" s="171">
        <f>BM15/INDEX(Parameters!$B:$B,MATCH("AfschrijftermijnVVE"&amp;12*$C15,Parameters!$A:$A,0))</f>
        <v>2.0833333333333335</v>
      </c>
      <c r="BO15" s="263">
        <f>INDEX('inkoop ULL tbv Epacity'!$I:$I,MATCH(BL15,'inkoop ULL tbv Epacity'!$H:$H,0),0)</f>
        <v>12.501783475119046</v>
      </c>
      <c r="BP15" s="263">
        <f t="shared" si="17"/>
        <v>14.58511680845238</v>
      </c>
      <c r="BQ15" s="203"/>
      <c r="BR15" s="262">
        <f>Parameters!$B$12*AG15</f>
        <v>102.77777777777779</v>
      </c>
      <c r="BS15" s="262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SUM(Distributievergoedingen!$F$12,Distributievergoedingen!$I$12,Distributievergoedingen!$L$12,Distributievergoedingen!$O$12)*AF15+SUM(Distributievergoedingen!$O$12*AA15+Distributievergoedingen!$R$12+Distributievergoedingen!$U$12+Distributievergoedingen!$X$12)/(MAX(36,12*L15))</f>
        <v>112.77777777777777</v>
      </c>
      <c r="BT15" s="150"/>
      <c r="BU15" s="150">
        <f t="shared" si="18"/>
        <v>215.55555555555554</v>
      </c>
      <c r="BW15" s="151">
        <f t="shared" si="19"/>
        <v>230.14067236400791</v>
      </c>
      <c r="BY15" s="140">
        <f t="shared" si="20"/>
        <v>797.63710541376986</v>
      </c>
      <c r="BZ15" s="141">
        <f t="shared" si="21"/>
        <v>0.7760793458079922</v>
      </c>
      <c r="CA15" s="142" t="b">
        <f t="shared" si="22"/>
        <v>0</v>
      </c>
    </row>
    <row r="16" spans="1:79">
      <c r="A16" s="203" t="str">
        <f t="shared" si="4"/>
        <v>1VDSL bondingPremiumnieuwunshared</v>
      </c>
      <c r="B16" s="203" t="str">
        <f t="shared" si="5"/>
        <v>1VDSL bondingPremiumnieuwunshared</v>
      </c>
      <c r="C16" s="438">
        <v>1</v>
      </c>
      <c r="D16" s="438" t="s">
        <v>222</v>
      </c>
      <c r="E16" s="438" t="s">
        <v>70</v>
      </c>
      <c r="F16" s="438"/>
      <c r="G16" s="438"/>
      <c r="H16" s="438" t="s">
        <v>125</v>
      </c>
      <c r="I16" s="438" t="s">
        <v>128</v>
      </c>
      <c r="J16" s="274" t="str">
        <f t="shared" si="6"/>
        <v>VDSL bondingnieuwunshared</v>
      </c>
      <c r="L16" s="160">
        <f>INDEX(Mapping!$J:$J,MATCH(C$3&amp;C16,Mapping!$B:$B,0))</f>
        <v>1</v>
      </c>
      <c r="M16" s="148" t="str">
        <f>INDEX(Mapping!$H:$H,MATCH($E16,Mapping!$B:$B,0))</f>
        <v>WBA ZM Ethernet</v>
      </c>
      <c r="N16" s="179" t="str">
        <f>INDEX(Mapping!$I:$I,MATCH($D16&amp;$I16,Mapping!$B:$B,0))</f>
        <v>VDSL Bonding</v>
      </c>
      <c r="O16" s="179" t="str">
        <f>INDEX(Mapping!$I:$I,MATCH($D16,Mapping!$B:$B,0))</f>
        <v>VDSL Bonding</v>
      </c>
      <c r="P16" s="179"/>
      <c r="Q16" s="179" t="str">
        <f>INDEX(Mapping!$H:$H,MATCH($H16,Mapping!$B:$B,0))</f>
        <v>New line</v>
      </c>
      <c r="R16" s="179" t="s">
        <v>115</v>
      </c>
      <c r="S16" s="148" t="str">
        <f>INDEX(Mapping!$J:$J,MATCH($D16&amp;$I16,Mapping!$B:$B,0))</f>
        <v>unshared</v>
      </c>
      <c r="T16" s="148" t="str">
        <f t="shared" si="0"/>
        <v>WBA ZM EthernetVDSL BondingNew line</v>
      </c>
      <c r="U16" s="142" t="str">
        <f t="shared" si="1"/>
        <v>WBA ZM EthernetVDSL Bondingunshared</v>
      </c>
      <c r="W16" s="160">
        <f>MATCH($J16,'Tarieven ZM'!$B:$B,0)</f>
        <v>99</v>
      </c>
      <c r="X16" s="148">
        <f>INDEX('Tarieven ZM'!$H:$H,$W16)</f>
        <v>1000</v>
      </c>
      <c r="Y16" s="161">
        <f>-INDEX(Parameters!$B:$B,MATCH(Y$3,Parameters!$A:$A,0))*$X16</f>
        <v>0</v>
      </c>
      <c r="Z16" s="149">
        <f>-INDEX(Parameters!$B:$B,MATCH(Z$3,Parameters!$A:$A,0))*$X16</f>
        <v>0</v>
      </c>
      <c r="AA16" s="148">
        <f t="shared" ref="AA16" si="40">SUM(X16:Z16)</f>
        <v>1000</v>
      </c>
      <c r="AB16" s="148">
        <f>AA16/INDEX(Parameters!$B:$B,MATCH("AfschrijftermijnVVE"&amp;12*$C16,Parameters!$A:$A,0))</f>
        <v>27.777777777777779</v>
      </c>
      <c r="AC16" s="148">
        <f>INDEX('Tarieven ZM'!$G:$G,$W16)</f>
        <v>1000</v>
      </c>
      <c r="AD16" s="161">
        <f>-INDEX(Parameters!$B:$B,MATCH(AD$3,Parameters!$A:$A,0))*$AC16</f>
        <v>0</v>
      </c>
      <c r="AE16" s="161">
        <f>-INDEX(Parameters!$B:$B,MATCH(AE$3,Parameters!$A:$A,0))*$AC16</f>
        <v>0</v>
      </c>
      <c r="AF16" s="148">
        <f t="shared" ref="AF16" si="41">SUM(AC16:AE16)</f>
        <v>1000</v>
      </c>
      <c r="AG16" s="151">
        <f t="shared" ref="AG16" si="42">SUM(AB16,AF16)</f>
        <v>1027.7777777777778</v>
      </c>
      <c r="AH16" s="209"/>
      <c r="AI16" s="147">
        <f>IF(Q16&lt;&gt;"nvt",MATCH($T16,'Tarieven W&amp;O'!$B:$B,0),"nvt")</f>
        <v>43</v>
      </c>
      <c r="AJ16" s="262">
        <f>IF(AI16&lt;&gt;"nvt",INDEX('Tarieven W&amp;O'!$H:$H,$AI16)+INDEX(Parameters!C:C,MATCH("NLSx "&amp;O16&amp;" "&amp;M16,Parameters!A:A,0)),0)</f>
        <v>173.45</v>
      </c>
      <c r="AK16" s="148">
        <f>IF(AI16&lt;&gt;"nvt",INDEX('Tarieven W&amp;O'!$I:$I,$AI16),0)</f>
        <v>25</v>
      </c>
      <c r="AL16" s="149">
        <f>IF(AI16&lt;&gt;"nvt",-INDEX(Parameters!$B:$B,MATCH(AL$3&amp;$M16,Parameters!$A:$A,0))*(AJ16+AK16),0)</f>
        <v>0</v>
      </c>
      <c r="AM16" s="149"/>
      <c r="AN16" s="148">
        <f t="shared" ref="AN16" si="43">SUM(AJ16:AM16)</f>
        <v>198.45</v>
      </c>
      <c r="AO16" s="171">
        <f>AN16/INDEX(Parameters!$B:$B,MATCH("AfschrijftermijnVVE"&amp;12*$C16,Parameters!$A:$A,0))</f>
        <v>5.5124999999999993</v>
      </c>
      <c r="AP16" s="148">
        <f>MATCH($U16,'Tarieven W&amp;O'!$B:$B,0)</f>
        <v>33</v>
      </c>
      <c r="AQ16" s="150">
        <f>IF(AP16&lt;&gt;"nvt",INDEX('Tarieven W&amp;O'!$G:$G,$AP16),0)</f>
        <v>17.34</v>
      </c>
      <c r="AR16" s="277">
        <f>-INDEX(Parameters!$B:$B,MATCH(AR$3&amp;$M16&amp;O16,Parameters!$A:$A,0))*(AQ16)</f>
        <v>0</v>
      </c>
      <c r="AS16" s="148"/>
      <c r="AT16" s="148"/>
      <c r="AU16" s="150">
        <f t="shared" ref="AU16" si="44">SUM(AQ16:AT16)</f>
        <v>17.34</v>
      </c>
      <c r="AV16" s="150">
        <f t="shared" ref="AV16" si="45">SUM(AO16,AU16)</f>
        <v>22.852499999999999</v>
      </c>
      <c r="AW16" s="202"/>
      <c r="AX16" s="150">
        <f>Parameters!$B$6*AV16</f>
        <v>0.22852500000000001</v>
      </c>
      <c r="AY16" s="202">
        <v>0</v>
      </c>
      <c r="AZ16" s="202"/>
      <c r="BA16" s="150">
        <f t="shared" ref="BA16" si="46">SUM(AX16:AZ16)</f>
        <v>0.22852500000000001</v>
      </c>
      <c r="BB16" s="202"/>
      <c r="BC16" s="151">
        <f t="shared" ref="BC16" si="47">SUM(AV16,BA16)</f>
        <v>23.081025</v>
      </c>
      <c r="BD16" s="209"/>
      <c r="BE16" s="140">
        <f t="shared" ref="BE16" si="48">AG16-BC16</f>
        <v>1004.6967527777779</v>
      </c>
      <c r="BF16" s="141">
        <f t="shared" ref="BF16" si="49">IF(AG16=0,-999%,BE16/AG16)</f>
        <v>0.97754278648648651</v>
      </c>
      <c r="BG16" s="142" t="b">
        <f t="shared" ref="BG16" si="50">BF16&lt;0</f>
        <v>0</v>
      </c>
      <c r="BI16" s="188" t="s">
        <v>538</v>
      </c>
      <c r="BJ16" s="189"/>
      <c r="BK16">
        <f>VLOOKUP(J16,'Tarieven ZM'!$B$7:$I$146,8,0)</f>
        <v>0</v>
      </c>
      <c r="BL16" s="203" t="str">
        <f t="shared" si="16"/>
        <v>VDSL BondingNew lineunshared</v>
      </c>
      <c r="BM16" s="282">
        <f>INDEX('inkoop ULL tbv Epacity'!$J:$J,MATCH(BL16,'inkoop ULL tbv Epacity'!$H:$H,0),0)</f>
        <v>35</v>
      </c>
      <c r="BN16" s="171">
        <f>BM16/INDEX(Parameters!$B:$B,MATCH("AfschrijftermijnVVE"&amp;12*$C16,Parameters!$A:$A,0))</f>
        <v>0.97222222222222221</v>
      </c>
      <c r="BO16" s="263">
        <f>INDEX('inkoop ULL tbv Epacity'!$I:$I,MATCH(BL16,'inkoop ULL tbv Epacity'!$H:$H,0),0)</f>
        <v>16.787259665595236</v>
      </c>
      <c r="BP16" s="263">
        <f t="shared" ref="BP16" si="51">BN16+BO16</f>
        <v>17.759481887817458</v>
      </c>
      <c r="BQ16" s="203"/>
      <c r="BR16" s="262">
        <f>Parameters!$B$12*AG16</f>
        <v>102.77777777777779</v>
      </c>
      <c r="BS16" s="262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SUM(Distributievergoedingen!$F$12,Distributievergoedingen!$I$12,Distributievergoedingen!$L$12,Distributievergoedingen!$O$12)*AF16+SUM(Distributievergoedingen!$O$12*AA16+Distributievergoedingen!$R$12+Distributievergoedingen!$U$12+Distributievergoedingen!$X$12)/(MAX(36,12*L16))</f>
        <v>112.77777777777777</v>
      </c>
      <c r="BT16" s="150"/>
      <c r="BU16" s="150">
        <f t="shared" ref="BU16" si="52">SUM(BR16:BT16)</f>
        <v>215.55555555555554</v>
      </c>
      <c r="BW16" s="151">
        <f t="shared" ref="BW16" si="53">SUM(BP16,BU16)</f>
        <v>233.315037443373</v>
      </c>
      <c r="BY16" s="140">
        <f t="shared" ref="BY16" si="54">AG16-BW16</f>
        <v>794.46274033440477</v>
      </c>
      <c r="BZ16" s="141">
        <f t="shared" ref="BZ16" si="55">IF(AG16=0,-999%,BY16/AG16)</f>
        <v>0.77299077437942088</v>
      </c>
      <c r="CA16" s="142" t="b">
        <f t="shared" ref="CA16" si="56">BZ16&lt;0</f>
        <v>0</v>
      </c>
    </row>
    <row r="17" spans="1:79">
      <c r="A17" s="203" t="str">
        <f t="shared" si="4"/>
        <v>1SDSLPremiumnieuwunshared</v>
      </c>
      <c r="B17" s="203" t="str">
        <f t="shared" si="5"/>
        <v>1SDSLPremiumnieuwunshared</v>
      </c>
      <c r="C17" s="438">
        <v>1</v>
      </c>
      <c r="D17" s="438" t="s">
        <v>64</v>
      </c>
      <c r="E17" s="438" t="s">
        <v>70</v>
      </c>
      <c r="F17" s="438"/>
      <c r="G17" s="438"/>
      <c r="H17" s="438" t="s">
        <v>125</v>
      </c>
      <c r="I17" s="438" t="s">
        <v>128</v>
      </c>
      <c r="J17" s="274" t="str">
        <f t="shared" si="6"/>
        <v>SDSLnieuwunshared</v>
      </c>
      <c r="L17" s="160">
        <f>INDEX(Mapping!$J:$J,MATCH(C$3&amp;C17,Mapping!$B:$B,0))</f>
        <v>1</v>
      </c>
      <c r="M17" s="148" t="str">
        <f>INDEX(Mapping!$H:$H,MATCH($E17,Mapping!$B:$B,0))</f>
        <v>WBA ZM Ethernet</v>
      </c>
      <c r="N17" s="179" t="str">
        <f>INDEX(Mapping!$I:$I,MATCH($D17&amp;$I17,Mapping!$B:$B,0))</f>
        <v>SDSL</v>
      </c>
      <c r="O17" s="179" t="str">
        <f>INDEX(Mapping!$I:$I,MATCH($D17,Mapping!$B:$B,0))</f>
        <v>SDSL</v>
      </c>
      <c r="P17" s="179"/>
      <c r="Q17" s="179" t="str">
        <f>INDEX(Mapping!$H:$H,MATCH($H17,Mapping!$B:$B,0))</f>
        <v>New line</v>
      </c>
      <c r="R17" s="179" t="s">
        <v>115</v>
      </c>
      <c r="S17" s="148" t="str">
        <f>INDEX(Mapping!$J:$J,MATCH($D17&amp;$I17,Mapping!$B:$B,0))</f>
        <v>unshared</v>
      </c>
      <c r="T17" s="148" t="str">
        <f t="shared" si="0"/>
        <v>WBA ZM EthernetSDSLNew line</v>
      </c>
      <c r="U17" s="142" t="str">
        <f t="shared" si="1"/>
        <v>WBA ZM EthernetSDSLunshared</v>
      </c>
      <c r="W17" s="160">
        <f>MATCH($J17,'Tarieven ZM'!$B:$B,0)</f>
        <v>100</v>
      </c>
      <c r="X17" s="148">
        <f>INDEX('Tarieven ZM'!$H:$H,$W17)</f>
        <v>1000</v>
      </c>
      <c r="Y17" s="161">
        <f>-INDEX(Parameters!$B:$B,MATCH(Y$3,Parameters!$A:$A,0))*$X17</f>
        <v>0</v>
      </c>
      <c r="Z17" s="149">
        <f>-INDEX(Parameters!$B:$B,MATCH(Z$3,Parameters!$A:$A,0))*$X17</f>
        <v>0</v>
      </c>
      <c r="AA17" s="148">
        <f t="shared" si="7"/>
        <v>1000</v>
      </c>
      <c r="AB17" s="148">
        <f>AA17/INDEX(Parameters!$B:$B,MATCH("AfschrijftermijnVVE"&amp;12*$C17,Parameters!$A:$A,0))</f>
        <v>27.777777777777779</v>
      </c>
      <c r="AC17" s="148">
        <f>INDEX('Tarieven ZM'!$G:$G,$W17)</f>
        <v>1000</v>
      </c>
      <c r="AD17" s="161">
        <f>-INDEX(Parameters!$B:$B,MATCH(AD$3,Parameters!$A:$A,0))*$AC17</f>
        <v>0</v>
      </c>
      <c r="AE17" s="161">
        <f>-INDEX(Parameters!$B:$B,MATCH(AE$3,Parameters!$A:$A,0))*$AC17</f>
        <v>0</v>
      </c>
      <c r="AF17" s="148">
        <f t="shared" si="8"/>
        <v>1000</v>
      </c>
      <c r="AG17" s="151">
        <f t="shared" si="9"/>
        <v>1027.7777777777778</v>
      </c>
      <c r="AH17" s="209"/>
      <c r="AI17" s="147">
        <f>IF(Q17&lt;&gt;"nvt",MATCH($T17,'Tarieven W&amp;O'!$B:$B,0),"nvt")</f>
        <v>38</v>
      </c>
      <c r="AJ17" s="262">
        <f>IF(AI17&lt;&gt;"nvt",INDEX('Tarieven W&amp;O'!$H:$H,$AI17)+INDEX(Parameters!C:C,MATCH("NLSx "&amp;O17&amp;" "&amp;M17,Parameters!A:A,0)),0)</f>
        <v>64</v>
      </c>
      <c r="AK17" s="148">
        <f>IF(AI17&lt;&gt;"nvt",INDEX('Tarieven W&amp;O'!$I:$I,$AI17),0)</f>
        <v>25</v>
      </c>
      <c r="AL17" s="149">
        <f>IF(AI17&lt;&gt;"nvt",-INDEX(Parameters!$B:$B,MATCH(AL$3&amp;$M17,Parameters!$A:$A,0))*(AJ17+AK17),0)</f>
        <v>0</v>
      </c>
      <c r="AM17" s="149"/>
      <c r="AN17" s="148">
        <f t="shared" si="10"/>
        <v>89</v>
      </c>
      <c r="AO17" s="171">
        <f>AN17/INDEX(Parameters!$B:$B,MATCH("AfschrijftermijnVVE"&amp;12*$C17,Parameters!$A:$A,0))</f>
        <v>2.4722222222222223</v>
      </c>
      <c r="AP17" s="148">
        <f>MATCH($U17,'Tarieven W&amp;O'!$B:$B,0)</f>
        <v>30</v>
      </c>
      <c r="AQ17" s="150">
        <f>IF(AP17&lt;&gt;"nvt",INDEX('Tarieven W&amp;O'!$G:$G,$AP17),0)</f>
        <v>22.1</v>
      </c>
      <c r="AR17" s="277">
        <f>-INDEX(Parameters!$B:$B,MATCH(AR$3&amp;$M17&amp;O17,Parameters!$A:$A,0))*(AQ17)</f>
        <v>0</v>
      </c>
      <c r="AS17" s="148"/>
      <c r="AT17" s="148"/>
      <c r="AU17" s="150">
        <f t="shared" si="11"/>
        <v>22.1</v>
      </c>
      <c r="AV17" s="150">
        <f t="shared" si="12"/>
        <v>24.572222222222223</v>
      </c>
      <c r="AW17" s="202"/>
      <c r="AX17" s="150">
        <f>Parameters!$B$6*AV17</f>
        <v>0.24572222222222223</v>
      </c>
      <c r="AY17" s="202">
        <v>0</v>
      </c>
      <c r="AZ17" s="202"/>
      <c r="BA17" s="150">
        <f t="shared" si="13"/>
        <v>0.24572222222222223</v>
      </c>
      <c r="BB17" s="202"/>
      <c r="BC17" s="151">
        <f t="shared" si="14"/>
        <v>24.817944444444446</v>
      </c>
      <c r="BD17" s="209"/>
      <c r="BE17" s="140">
        <f t="shared" si="2"/>
        <v>1002.9598333333333</v>
      </c>
      <c r="BF17" s="141">
        <f t="shared" si="3"/>
        <v>0.97585281081081077</v>
      </c>
      <c r="BG17" s="142" t="b">
        <f t="shared" si="15"/>
        <v>0</v>
      </c>
      <c r="BI17" s="188" t="s">
        <v>538</v>
      </c>
      <c r="BJ17" s="189"/>
      <c r="BK17">
        <f>VLOOKUP(J17,'Tarieven ZM'!$B$7:$I$146,8,0)</f>
        <v>0</v>
      </c>
      <c r="BL17" s="203" t="str">
        <f t="shared" si="16"/>
        <v>SDSLNew lineunshared</v>
      </c>
      <c r="BM17" s="282">
        <f>INDEX('inkoop ULL tbv Epacity'!$J:$J,MATCH(BL17,'inkoop ULL tbv Epacity'!$H:$H,0),0)</f>
        <v>76.960000000000008</v>
      </c>
      <c r="BN17" s="171">
        <f>BM17/INDEX(Parameters!$B:$B,MATCH("AfschrijftermijnVVE"&amp;12*$C17,Parameters!$A:$A,0))</f>
        <v>2.137777777777778</v>
      </c>
      <c r="BO17" s="263">
        <f>INDEX('inkoop ULL tbv Epacity'!$I:$I,MATCH(BL17,'inkoop ULL tbv Epacity'!$H:$H,0),0)</f>
        <v>9.3855844444444436</v>
      </c>
      <c r="BP17" s="263">
        <f t="shared" si="17"/>
        <v>11.523362222222222</v>
      </c>
      <c r="BQ17" s="203"/>
      <c r="BR17" s="262">
        <f>Parameters!$B$12*AG17</f>
        <v>102.77777777777779</v>
      </c>
      <c r="BS17" s="262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SUM(Distributievergoedingen!$F$12,Distributievergoedingen!$I$12,Distributievergoedingen!$L$12,Distributievergoedingen!$O$12)*AF17+SUM(Distributievergoedingen!$O$12*AA17+Distributievergoedingen!$R$12+Distributievergoedingen!$U$12+Distributievergoedingen!$X$12)/(MAX(36,12*L17))</f>
        <v>112.77777777777777</v>
      </c>
      <c r="BT17" s="150"/>
      <c r="BU17" s="150">
        <f t="shared" si="18"/>
        <v>215.55555555555554</v>
      </c>
      <c r="BW17" s="151">
        <f t="shared" si="19"/>
        <v>227.07891777777778</v>
      </c>
      <c r="BY17" s="140">
        <f t="shared" si="20"/>
        <v>800.69886000000008</v>
      </c>
      <c r="BZ17" s="141">
        <f t="shared" si="21"/>
        <v>0.77905835027027026</v>
      </c>
      <c r="CA17" s="142" t="b">
        <f t="shared" si="22"/>
        <v>0</v>
      </c>
    </row>
    <row r="18" spans="1:79">
      <c r="A18" s="203" t="str">
        <f t="shared" si="4"/>
        <v>1SA IPVPNPremiumnieuwunshared</v>
      </c>
      <c r="B18" s="203" t="str">
        <f t="shared" si="5"/>
        <v>1SA IPVPNPremiumnieuwunshared</v>
      </c>
      <c r="C18" s="438">
        <v>1</v>
      </c>
      <c r="D18" s="438" t="s">
        <v>93</v>
      </c>
      <c r="E18" s="438" t="s">
        <v>70</v>
      </c>
      <c r="F18" s="438"/>
      <c r="G18" s="438"/>
      <c r="H18" s="438" t="s">
        <v>125</v>
      </c>
      <c r="I18" s="438" t="s">
        <v>128</v>
      </c>
      <c r="J18" s="274" t="str">
        <f t="shared" si="6"/>
        <v>SA IPVPNnieuwunshared</v>
      </c>
      <c r="L18" s="160">
        <f>INDEX(Mapping!$J:$J,MATCH(C$3&amp;C18,Mapping!$B:$B,0))</f>
        <v>1</v>
      </c>
      <c r="M18" s="148" t="str">
        <f>INDEX(Mapping!$H:$H,MATCH($E18,Mapping!$B:$B,0))</f>
        <v>WBA ZM Ethernet</v>
      </c>
      <c r="N18" s="179" t="str">
        <f>INDEX(Mapping!$I:$I,MATCH($D18&amp;$I18,Mapping!$B:$B,0))</f>
        <v>FttH</v>
      </c>
      <c r="O18" s="179" t="str">
        <f>INDEX(Mapping!$I:$I,MATCH($D18,Mapping!$B:$B,0))</f>
        <v>FttH</v>
      </c>
      <c r="P18" s="179"/>
      <c r="Q18" s="179" t="str">
        <f>INDEX(Mapping!$H:$H,MATCH($H18,Mapping!$B:$B,0))</f>
        <v>New line</v>
      </c>
      <c r="R18" s="179" t="s">
        <v>115</v>
      </c>
      <c r="S18" s="148" t="str">
        <f>INDEX(Mapping!$J:$J,MATCH($D18&amp;$I18,Mapping!$B:$B,0))</f>
        <v>unshared</v>
      </c>
      <c r="T18" s="148" t="str">
        <f t="shared" si="0"/>
        <v>WBA ZM EthernetFttHNew line</v>
      </c>
      <c r="U18" s="142" t="str">
        <f t="shared" si="1"/>
        <v>WBA ZM EthernetFttHunshared</v>
      </c>
      <c r="W18" s="160">
        <f>MATCH($J18,'Tarieven ZM'!$B:$B,0)</f>
        <v>101</v>
      </c>
      <c r="X18" s="148">
        <f>INDEX('Tarieven ZM'!$H:$H,$W18)</f>
        <v>1000</v>
      </c>
      <c r="Y18" s="161">
        <f>-INDEX(Parameters!$B:$B,MATCH(Y$3,Parameters!$A:$A,0))*$X18</f>
        <v>0</v>
      </c>
      <c r="Z18" s="149">
        <f>-INDEX(Parameters!$B:$B,MATCH(Z$3,Parameters!$A:$A,0))*$X18</f>
        <v>0</v>
      </c>
      <c r="AA18" s="148">
        <f t="shared" si="7"/>
        <v>1000</v>
      </c>
      <c r="AB18" s="148">
        <f>AA18/INDEX(Parameters!$B:$B,MATCH("AfschrijftermijnVVE"&amp;12*$C18,Parameters!$A:$A,0))</f>
        <v>27.777777777777779</v>
      </c>
      <c r="AC18" s="148">
        <f>INDEX('Tarieven ZM'!$G:$G,$W18)</f>
        <v>1000</v>
      </c>
      <c r="AD18" s="161">
        <f>-INDEX(Parameters!$B:$B,MATCH(AD$3,Parameters!$A:$A,0))*$AC18</f>
        <v>0</v>
      </c>
      <c r="AE18" s="161">
        <f>-INDEX(Parameters!$B:$B,MATCH(AE$3,Parameters!$A:$A,0))*$AC18</f>
        <v>0</v>
      </c>
      <c r="AF18" s="148">
        <f t="shared" si="8"/>
        <v>1000</v>
      </c>
      <c r="AG18" s="151">
        <f t="shared" si="9"/>
        <v>1027.7777777777778</v>
      </c>
      <c r="AH18" s="209"/>
      <c r="AI18" s="147">
        <f>IF(Q18&lt;&gt;"nvt",MATCH($T18,'Tarieven W&amp;O'!$B:$B,0),"nvt")</f>
        <v>39</v>
      </c>
      <c r="AJ18" s="262">
        <f>IF(AI18&lt;&gt;"nvt",INDEX('Tarieven W&amp;O'!$H:$H,$AI18)+INDEX(Parameters!C:C,MATCH("NLSx "&amp;O18&amp;" "&amp;M18,Parameters!A:A,0)),0)</f>
        <v>24</v>
      </c>
      <c r="AK18" s="148">
        <f>IF(AI18&lt;&gt;"nvt",INDEX('Tarieven W&amp;O'!$I:$I,$AI18),0)</f>
        <v>25</v>
      </c>
      <c r="AL18" s="149">
        <f>IF(AI18&lt;&gt;"nvt",-INDEX(Parameters!$B:$B,MATCH(AL$3&amp;$M18,Parameters!$A:$A,0))*(AJ18+AK18),0)</f>
        <v>0</v>
      </c>
      <c r="AM18" s="149"/>
      <c r="AN18" s="148">
        <f t="shared" si="10"/>
        <v>49</v>
      </c>
      <c r="AO18" s="171">
        <f>AN18/INDEX(Parameters!$B:$B,MATCH("AfschrijftermijnVVE"&amp;12*$C18,Parameters!$A:$A,0))</f>
        <v>1.3611111111111112</v>
      </c>
      <c r="AP18" s="148">
        <f>MATCH($U18,'Tarieven W&amp;O'!$B:$B,0)</f>
        <v>31</v>
      </c>
      <c r="AQ18" s="150">
        <f>IF(AP18&lt;&gt;"nvt",INDEX('Tarieven W&amp;O'!$G:$G,$AP18),0)</f>
        <v>19</v>
      </c>
      <c r="AR18" s="277">
        <f>-INDEX(Parameters!$B:$B,MATCH(AR$3&amp;$M18&amp;O18,Parameters!$A:$A,0))*(AQ18)</f>
        <v>0</v>
      </c>
      <c r="AS18" s="148"/>
      <c r="AT18" s="148"/>
      <c r="AU18" s="150">
        <f t="shared" si="11"/>
        <v>19</v>
      </c>
      <c r="AV18" s="150">
        <f t="shared" si="12"/>
        <v>20.361111111111111</v>
      </c>
      <c r="AW18" s="202"/>
      <c r="AX18" s="150">
        <f>Parameters!$B$6*AV18</f>
        <v>0.2036111111111111</v>
      </c>
      <c r="AY18" s="202">
        <v>0</v>
      </c>
      <c r="AZ18" s="202"/>
      <c r="BA18" s="150">
        <f t="shared" si="13"/>
        <v>0.2036111111111111</v>
      </c>
      <c r="BB18" s="202"/>
      <c r="BC18" s="151">
        <f t="shared" si="14"/>
        <v>20.564722222222223</v>
      </c>
      <c r="BD18" s="209"/>
      <c r="BE18" s="140">
        <f t="shared" si="2"/>
        <v>1007.2130555555556</v>
      </c>
      <c r="BF18" s="141">
        <f t="shared" si="3"/>
        <v>0.97999108108108102</v>
      </c>
      <c r="BG18" s="142" t="b">
        <f t="shared" si="15"/>
        <v>0</v>
      </c>
      <c r="BI18" s="188" t="s">
        <v>538</v>
      </c>
      <c r="BJ18" s="189"/>
      <c r="BK18">
        <f>VLOOKUP(J18,'Tarieven ZM'!$B$7:$I$146,8,0)</f>
        <v>0</v>
      </c>
      <c r="BL18" s="203" t="str">
        <f t="shared" si="16"/>
        <v>FttHNew lineunshared</v>
      </c>
      <c r="BM18" s="282">
        <f>INDEX('inkoop ULL tbv Epacity'!$J:$J,MATCH(BL18,'inkoop ULL tbv Epacity'!$H:$H,0),0)</f>
        <v>114.6</v>
      </c>
      <c r="BN18" s="171">
        <f>BM18/INDEX(Parameters!$B:$B,MATCH("AfschrijftermijnVVE"&amp;12*$C18,Parameters!$A:$A,0))</f>
        <v>3.1833333333333331</v>
      </c>
      <c r="BO18" s="263">
        <f>INDEX('inkoop ULL tbv Epacity'!$I:$I,MATCH(BL18,'inkoop ULL tbv Epacity'!$H:$H,0),0)</f>
        <v>18.2732188395</v>
      </c>
      <c r="BP18" s="263">
        <f t="shared" si="17"/>
        <v>21.456552172833334</v>
      </c>
      <c r="BQ18" s="203"/>
      <c r="BR18" s="262">
        <f>Parameters!$B$12*AG18</f>
        <v>102.77777777777779</v>
      </c>
      <c r="BS18" s="262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SUM(Distributievergoedingen!$F$12,Distributievergoedingen!$I$12,Distributievergoedingen!$L$12,Distributievergoedingen!$O$12)*AF18+SUM(Distributievergoedingen!$O$12*AA18+Distributievergoedingen!$R$12+Distributievergoedingen!$U$12+Distributievergoedingen!$X$12)/(MAX(36,12*L18))</f>
        <v>112.77777777777777</v>
      </c>
      <c r="BT18" s="150"/>
      <c r="BU18" s="150">
        <f t="shared" si="18"/>
        <v>215.55555555555554</v>
      </c>
      <c r="BW18" s="151">
        <f t="shared" si="19"/>
        <v>237.01210772838888</v>
      </c>
      <c r="BY18" s="140">
        <f t="shared" si="20"/>
        <v>790.76567004938897</v>
      </c>
      <c r="BZ18" s="141">
        <f t="shared" si="21"/>
        <v>0.76939362491291896</v>
      </c>
      <c r="CA18" s="142" t="b">
        <f t="shared" si="22"/>
        <v>0</v>
      </c>
    </row>
    <row r="19" spans="1:79">
      <c r="A19" s="203" t="str">
        <f t="shared" si="4"/>
        <v>1VDSLPremiumbestaandunshared</v>
      </c>
      <c r="B19" s="203" t="str">
        <f t="shared" si="5"/>
        <v>1VDSLPremiumbestaandunshared</v>
      </c>
      <c r="C19" s="438">
        <v>1</v>
      </c>
      <c r="D19" s="438" t="s">
        <v>77</v>
      </c>
      <c r="E19" s="438" t="s">
        <v>70</v>
      </c>
      <c r="F19" s="438"/>
      <c r="G19" s="438"/>
      <c r="H19" s="438" t="s">
        <v>124</v>
      </c>
      <c r="I19" s="438" t="s">
        <v>128</v>
      </c>
      <c r="J19" s="274" t="str">
        <f t="shared" si="6"/>
        <v>VDSLbestaandunshared</v>
      </c>
      <c r="L19" s="160">
        <f>INDEX(Mapping!$J:$J,MATCH(C$3&amp;C19,Mapping!$B:$B,0))</f>
        <v>1</v>
      </c>
      <c r="M19" s="148" t="str">
        <f>INDEX(Mapping!$H:$H,MATCH($E19,Mapping!$B:$B,0))</f>
        <v>WBA ZM Ethernet</v>
      </c>
      <c r="N19" s="179" t="str">
        <f>INDEX(Mapping!$I:$I,MATCH($D19&amp;$I19,Mapping!$B:$B,0))</f>
        <v>VDSL</v>
      </c>
      <c r="O19" s="179" t="str">
        <f>INDEX(Mapping!$I:$I,MATCH($D19,Mapping!$B:$B,0))</f>
        <v>VDSL</v>
      </c>
      <c r="P19" s="179"/>
      <c r="Q19" s="179" t="str">
        <f>INDEX(Mapping!$H:$H,MATCH($H19,Mapping!$B:$B,0))</f>
        <v>nvt</v>
      </c>
      <c r="R19" s="179" t="s">
        <v>115</v>
      </c>
      <c r="S19" s="148" t="str">
        <f>INDEX(Mapping!$J:$J,MATCH($D19&amp;$I19,Mapping!$B:$B,0))</f>
        <v>unshared</v>
      </c>
      <c r="T19" s="148" t="str">
        <f t="shared" si="0"/>
        <v>WBA ZM EthernetVDSLnvt</v>
      </c>
      <c r="U19" s="142" t="str">
        <f t="shared" si="1"/>
        <v>WBA ZM EthernetVDSLunshared</v>
      </c>
      <c r="W19" s="160">
        <f>MATCH($J19,'Tarieven ZM'!$B:$B,0)</f>
        <v>102</v>
      </c>
      <c r="X19" s="148">
        <f>INDEX('Tarieven ZM'!$H:$H,$W19)</f>
        <v>1000</v>
      </c>
      <c r="Y19" s="161">
        <f>-INDEX(Parameters!$B:$B,MATCH(Y$3,Parameters!$A:$A,0))*$X19</f>
        <v>0</v>
      </c>
      <c r="Z19" s="149">
        <f>-INDEX(Parameters!$B:$B,MATCH(Z$3,Parameters!$A:$A,0))*$X19</f>
        <v>0</v>
      </c>
      <c r="AA19" s="148">
        <f t="shared" si="7"/>
        <v>1000</v>
      </c>
      <c r="AB19" s="148">
        <f>AA19/INDEX(Parameters!$B:$B,MATCH("AfschrijftermijnVVE"&amp;12*$C19,Parameters!$A:$A,0))</f>
        <v>27.777777777777779</v>
      </c>
      <c r="AC19" s="148">
        <f>INDEX('Tarieven ZM'!$G:$G,$W19)</f>
        <v>1000</v>
      </c>
      <c r="AD19" s="161">
        <f>-INDEX(Parameters!$B:$B,MATCH(AD$3,Parameters!$A:$A,0))*$AC19</f>
        <v>0</v>
      </c>
      <c r="AE19" s="161">
        <f>-INDEX(Parameters!$B:$B,MATCH(AE$3,Parameters!$A:$A,0))*$AC19</f>
        <v>0</v>
      </c>
      <c r="AF19" s="148">
        <f t="shared" si="8"/>
        <v>1000</v>
      </c>
      <c r="AG19" s="151">
        <f t="shared" si="9"/>
        <v>1027.7777777777778</v>
      </c>
      <c r="AH19" s="209"/>
      <c r="AI19" s="147" t="str">
        <f>IF(Q19&lt;&gt;"nvt",MATCH($T19,'Tarieven W&amp;O'!$B:$B,0),"nvt")</f>
        <v>nvt</v>
      </c>
      <c r="AJ19" s="262">
        <f>IF(AI19&lt;&gt;"nvt",INDEX('Tarieven W&amp;O'!$H:$H,$AI19)+INDEX(Parameters!C:C,MATCH("NLSx "&amp;O19&amp;" "&amp;M19,Parameters!A:A,0)),0)</f>
        <v>0</v>
      </c>
      <c r="AK19" s="148">
        <f>IF(AI19&lt;&gt;"nvt",INDEX('Tarieven W&amp;O'!$I:$I,$AI19),0)</f>
        <v>0</v>
      </c>
      <c r="AL19" s="149">
        <f>IF(AI19&lt;&gt;"nvt",-INDEX(Parameters!$B:$B,MATCH(AL$3&amp;$M19,Parameters!$A:$A,0))*(AJ19+AK19),0)</f>
        <v>0</v>
      </c>
      <c r="AM19" s="149"/>
      <c r="AN19" s="148">
        <f t="shared" si="10"/>
        <v>0</v>
      </c>
      <c r="AO19" s="171">
        <f>AN19/INDEX(Parameters!$B:$B,MATCH("AfschrijftermijnVVE"&amp;12*$C19,Parameters!$A:$A,0))</f>
        <v>0</v>
      </c>
      <c r="AP19" s="148">
        <f>MATCH($U19,'Tarieven W&amp;O'!$B:$B,0)</f>
        <v>29</v>
      </c>
      <c r="AQ19" s="150">
        <f>IF(AP19&lt;&gt;"nvt",INDEX('Tarieven W&amp;O'!$G:$G,$AP19),0)</f>
        <v>11.2</v>
      </c>
      <c r="AR19" s="277">
        <f>-INDEX(Parameters!$B:$B,MATCH(AR$3&amp;$M19&amp;O19,Parameters!$A:$A,0))*(AQ19)</f>
        <v>0</v>
      </c>
      <c r="AS19" s="148"/>
      <c r="AT19" s="148"/>
      <c r="AU19" s="150">
        <f t="shared" si="11"/>
        <v>11.2</v>
      </c>
      <c r="AV19" s="150">
        <f t="shared" si="12"/>
        <v>11.2</v>
      </c>
      <c r="AW19" s="202"/>
      <c r="AX19" s="150">
        <f>Parameters!$B$6*AV19</f>
        <v>0.11199999999999999</v>
      </c>
      <c r="AY19" s="202">
        <v>0</v>
      </c>
      <c r="AZ19" s="202"/>
      <c r="BA19" s="150">
        <f t="shared" si="13"/>
        <v>0.11199999999999999</v>
      </c>
      <c r="BB19" s="202"/>
      <c r="BC19" s="151">
        <f t="shared" si="14"/>
        <v>11.311999999999999</v>
      </c>
      <c r="BD19" s="209"/>
      <c r="BE19" s="140">
        <f t="shared" si="2"/>
        <v>1016.4657777777778</v>
      </c>
      <c r="BF19" s="141">
        <f t="shared" si="3"/>
        <v>0.98899372972972976</v>
      </c>
      <c r="BG19" s="142" t="b">
        <f t="shared" si="15"/>
        <v>0</v>
      </c>
      <c r="BI19" s="188" t="s">
        <v>538</v>
      </c>
      <c r="BJ19" s="189"/>
      <c r="BK19">
        <f>VLOOKUP(J19,'Tarieven ZM'!$B$7:$I$146,8,0)</f>
        <v>0</v>
      </c>
      <c r="BL19" s="203" t="str">
        <f t="shared" si="16"/>
        <v>VDSLnvtunshared</v>
      </c>
      <c r="BM19" s="282">
        <f>INDEX('inkoop ULL tbv Epacity'!$J:$J,MATCH(BL19,'inkoop ULL tbv Epacity'!$H:$H,0),0)</f>
        <v>35</v>
      </c>
      <c r="BN19" s="171">
        <f>BM19/INDEX(Parameters!$B:$B,MATCH("AfschrijftermijnVVE"&amp;12*$C19,Parameters!$A:$A,0))</f>
        <v>0.97222222222222221</v>
      </c>
      <c r="BO19" s="263">
        <f>INDEX('inkoop ULL tbv Epacity'!$I:$I,MATCH(BL19,'inkoop ULL tbv Epacity'!$H:$H,0),0)</f>
        <v>12.501783475119046</v>
      </c>
      <c r="BP19" s="263">
        <f t="shared" si="17"/>
        <v>13.474005697341267</v>
      </c>
      <c r="BQ19" s="203"/>
      <c r="BR19" s="262">
        <f>Parameters!$B$12*AG19</f>
        <v>102.77777777777779</v>
      </c>
      <c r="BS19" s="262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SUM(Distributievergoedingen!$F$12,Distributievergoedingen!$I$12,Distributievergoedingen!$L$12,Distributievergoedingen!$O$12)*AF19+SUM(Distributievergoedingen!$O$12*AA19+Distributievergoedingen!$R$12+Distributievergoedingen!$U$12+Distributievergoedingen!$X$12)/(MAX(36,12*L19))</f>
        <v>112.77777777777777</v>
      </c>
      <c r="BT19" s="150"/>
      <c r="BU19" s="150">
        <f t="shared" si="18"/>
        <v>215.55555555555554</v>
      </c>
      <c r="BW19" s="151">
        <f t="shared" si="19"/>
        <v>229.0295612528968</v>
      </c>
      <c r="BY19" s="140">
        <f t="shared" si="20"/>
        <v>798.74821652488106</v>
      </c>
      <c r="BZ19" s="141">
        <f t="shared" si="21"/>
        <v>0.77716042688907339</v>
      </c>
      <c r="CA19" s="142" t="b">
        <f t="shared" si="22"/>
        <v>0</v>
      </c>
    </row>
    <row r="20" spans="1:79">
      <c r="A20" s="203" t="str">
        <f t="shared" si="4"/>
        <v>1ADSLPremiumbestaandunshared</v>
      </c>
      <c r="B20" s="203" t="str">
        <f t="shared" si="5"/>
        <v>1ADSLPremiumbestaandunshared</v>
      </c>
      <c r="C20" s="438">
        <v>1</v>
      </c>
      <c r="D20" s="438" t="s">
        <v>42</v>
      </c>
      <c r="E20" s="438" t="s">
        <v>70</v>
      </c>
      <c r="F20" s="438"/>
      <c r="G20" s="438"/>
      <c r="H20" s="438" t="s">
        <v>124</v>
      </c>
      <c r="I20" s="438" t="s">
        <v>128</v>
      </c>
      <c r="J20" s="274" t="str">
        <f t="shared" si="6"/>
        <v>ADSLbestaandunshared</v>
      </c>
      <c r="L20" s="160">
        <f>INDEX(Mapping!$J:$J,MATCH(C$3&amp;C20,Mapping!$B:$B,0))</f>
        <v>1</v>
      </c>
      <c r="M20" s="148" t="str">
        <f>INDEX(Mapping!$H:$H,MATCH($E20,Mapping!$B:$B,0))</f>
        <v>WBA ZM Ethernet</v>
      </c>
      <c r="N20" s="179" t="str">
        <f>INDEX(Mapping!$I:$I,MATCH($D20&amp;$I20,Mapping!$B:$B,0))</f>
        <v>ADSL</v>
      </c>
      <c r="O20" s="179" t="str">
        <f>INDEX(Mapping!$I:$I,MATCH($D20,Mapping!$B:$B,0))</f>
        <v>ADSL</v>
      </c>
      <c r="P20" s="179"/>
      <c r="Q20" s="179" t="str">
        <f>INDEX(Mapping!$H:$H,MATCH($H20,Mapping!$B:$B,0))</f>
        <v>nvt</v>
      </c>
      <c r="R20" s="179" t="s">
        <v>115</v>
      </c>
      <c r="S20" s="148" t="str">
        <f>INDEX(Mapping!$J:$J,MATCH($D20&amp;$I20,Mapping!$B:$B,0))</f>
        <v>unshared</v>
      </c>
      <c r="T20" s="148" t="str">
        <f t="shared" si="0"/>
        <v>WBA ZM EthernetADSLnvt</v>
      </c>
      <c r="U20" s="142" t="str">
        <f t="shared" si="1"/>
        <v>WBA ZM EthernetADSLunshared</v>
      </c>
      <c r="W20" s="160">
        <f>MATCH($J20,'Tarieven ZM'!$B:$B,0)</f>
        <v>103</v>
      </c>
      <c r="X20" s="148">
        <f>INDEX('Tarieven ZM'!$H:$H,$W20)</f>
        <v>1000</v>
      </c>
      <c r="Y20" s="161">
        <f>-INDEX(Parameters!$B:$B,MATCH(Y$3,Parameters!$A:$A,0))*$X20</f>
        <v>0</v>
      </c>
      <c r="Z20" s="149">
        <f>-INDEX(Parameters!$B:$B,MATCH(Z$3,Parameters!$A:$A,0))*$X20</f>
        <v>0</v>
      </c>
      <c r="AA20" s="148">
        <f t="shared" si="7"/>
        <v>1000</v>
      </c>
      <c r="AB20" s="148">
        <f>AA20/INDEX(Parameters!$B:$B,MATCH("AfschrijftermijnVVE"&amp;12*$C20,Parameters!$A:$A,0))</f>
        <v>27.777777777777779</v>
      </c>
      <c r="AC20" s="148">
        <f>INDEX('Tarieven ZM'!$G:$G,$W20)</f>
        <v>1000</v>
      </c>
      <c r="AD20" s="161">
        <f>-INDEX(Parameters!$B:$B,MATCH(AD$3,Parameters!$A:$A,0))*$AC20</f>
        <v>0</v>
      </c>
      <c r="AE20" s="161">
        <f>-INDEX(Parameters!$B:$B,MATCH(AE$3,Parameters!$A:$A,0))*$AC20</f>
        <v>0</v>
      </c>
      <c r="AF20" s="148">
        <f t="shared" si="8"/>
        <v>1000</v>
      </c>
      <c r="AG20" s="151">
        <f t="shared" si="9"/>
        <v>1027.7777777777778</v>
      </c>
      <c r="AH20" s="209"/>
      <c r="AI20" s="147" t="str">
        <f>IF(Q20&lt;&gt;"nvt",MATCH($T20,'Tarieven W&amp;O'!$B:$B,0),"nvt")</f>
        <v>nvt</v>
      </c>
      <c r="AJ20" s="262">
        <f>IF(AI20&lt;&gt;"nvt",INDEX('Tarieven W&amp;O'!$H:$H,$AI20)+INDEX(Parameters!C:C,MATCH("NLSx "&amp;O20&amp;" "&amp;M20,Parameters!A:A,0)),0)</f>
        <v>0</v>
      </c>
      <c r="AK20" s="148">
        <f>IF(AI20&lt;&gt;"nvt",INDEX('Tarieven W&amp;O'!$I:$I,$AI20),0)</f>
        <v>0</v>
      </c>
      <c r="AL20" s="149">
        <f>IF(AI20&lt;&gt;"nvt",-INDEX(Parameters!$B:$B,MATCH(AL$3&amp;$M20,Parameters!$A:$A,0))*(AJ20+AK20),0)</f>
        <v>0</v>
      </c>
      <c r="AM20" s="149"/>
      <c r="AN20" s="148">
        <f t="shared" si="10"/>
        <v>0</v>
      </c>
      <c r="AO20" s="171">
        <f>AN20/INDEX(Parameters!$B:$B,MATCH("AfschrijftermijnVVE"&amp;12*$C20,Parameters!$A:$A,0))</f>
        <v>0</v>
      </c>
      <c r="AP20" s="148">
        <f>MATCH($U20,'Tarieven W&amp;O'!$B:$B,0)</f>
        <v>28</v>
      </c>
      <c r="AQ20" s="150">
        <f>IF(AP20&lt;&gt;"nvt",INDEX('Tarieven W&amp;O'!$G:$G,$AP20),0)</f>
        <v>11.2</v>
      </c>
      <c r="AR20" s="277">
        <f>-INDEX(Parameters!$B:$B,MATCH(AR$3&amp;$M20&amp;O20,Parameters!$A:$A,0))*(AQ20)</f>
        <v>0</v>
      </c>
      <c r="AS20" s="148"/>
      <c r="AT20" s="148"/>
      <c r="AU20" s="150">
        <f t="shared" si="11"/>
        <v>11.2</v>
      </c>
      <c r="AV20" s="150">
        <f t="shared" si="12"/>
        <v>11.2</v>
      </c>
      <c r="AW20" s="202"/>
      <c r="AX20" s="150">
        <f>Parameters!$B$6*AV20</f>
        <v>0.11199999999999999</v>
      </c>
      <c r="AY20" s="202">
        <v>0</v>
      </c>
      <c r="AZ20" s="202"/>
      <c r="BA20" s="150">
        <f t="shared" si="13"/>
        <v>0.11199999999999999</v>
      </c>
      <c r="BB20" s="202"/>
      <c r="BC20" s="151">
        <f t="shared" si="14"/>
        <v>11.311999999999999</v>
      </c>
      <c r="BD20" s="209"/>
      <c r="BE20" s="140">
        <f t="shared" si="2"/>
        <v>1016.4657777777778</v>
      </c>
      <c r="BF20" s="141">
        <f t="shared" si="3"/>
        <v>0.98899372972972976</v>
      </c>
      <c r="BG20" s="142" t="b">
        <f t="shared" si="15"/>
        <v>0</v>
      </c>
      <c r="BI20" s="188" t="s">
        <v>538</v>
      </c>
      <c r="BJ20" s="189"/>
      <c r="BK20">
        <f>VLOOKUP(J20,'Tarieven ZM'!$B$7:$I$146,8,0)</f>
        <v>0</v>
      </c>
      <c r="BL20" s="203" t="str">
        <f t="shared" si="16"/>
        <v>ADSLnvtunshared</v>
      </c>
      <c r="BM20" s="282">
        <f>INDEX('inkoop ULL tbv Epacity'!$J:$J,MATCH(BL20,'inkoop ULL tbv Epacity'!$H:$H,0),0)</f>
        <v>35</v>
      </c>
      <c r="BN20" s="171">
        <f>BM20/INDEX(Parameters!$B:$B,MATCH("AfschrijftermijnVVE"&amp;12*$C20,Parameters!$A:$A,0))</f>
        <v>0.97222222222222221</v>
      </c>
      <c r="BO20" s="263">
        <f>INDEX('inkoop ULL tbv Epacity'!$I:$I,MATCH(BL20,'inkoop ULL tbv Epacity'!$H:$H,0),0)</f>
        <v>12.501783475119046</v>
      </c>
      <c r="BP20" s="263">
        <f t="shared" si="17"/>
        <v>13.474005697341267</v>
      </c>
      <c r="BQ20" s="203"/>
      <c r="BR20" s="262">
        <f>Parameters!$B$12*AG20</f>
        <v>102.77777777777779</v>
      </c>
      <c r="BS20" s="262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SUM(Distributievergoedingen!$F$12,Distributievergoedingen!$I$12,Distributievergoedingen!$L$12,Distributievergoedingen!$O$12)*AF20+SUM(Distributievergoedingen!$O$12*AA20+Distributievergoedingen!$R$12+Distributievergoedingen!$U$12+Distributievergoedingen!$X$12)/(MAX(36,12*L20))</f>
        <v>112.77777777777777</v>
      </c>
      <c r="BT20" s="150"/>
      <c r="BU20" s="150">
        <f t="shared" si="18"/>
        <v>215.55555555555554</v>
      </c>
      <c r="BW20" s="151">
        <f t="shared" si="19"/>
        <v>229.0295612528968</v>
      </c>
      <c r="BY20" s="140">
        <f t="shared" si="20"/>
        <v>798.74821652488106</v>
      </c>
      <c r="BZ20" s="141">
        <f t="shared" si="21"/>
        <v>0.77716042688907339</v>
      </c>
      <c r="CA20" s="142" t="b">
        <f t="shared" si="22"/>
        <v>0</v>
      </c>
    </row>
    <row r="21" spans="1:79">
      <c r="A21" s="203" t="str">
        <f t="shared" si="4"/>
        <v>1SDSLPremiumbestaandunshared</v>
      </c>
      <c r="B21" s="203" t="str">
        <f t="shared" si="5"/>
        <v>1SDSLPremiumbestaandunshared</v>
      </c>
      <c r="C21" s="438">
        <v>1</v>
      </c>
      <c r="D21" s="438" t="s">
        <v>64</v>
      </c>
      <c r="E21" s="438" t="s">
        <v>70</v>
      </c>
      <c r="F21" s="438"/>
      <c r="G21" s="438"/>
      <c r="H21" s="438" t="s">
        <v>124</v>
      </c>
      <c r="I21" s="438" t="s">
        <v>128</v>
      </c>
      <c r="J21" s="274" t="str">
        <f t="shared" si="6"/>
        <v>SDSLbestaandunshared</v>
      </c>
      <c r="L21" s="160">
        <f>INDEX(Mapping!$J:$J,MATCH(C$3&amp;C21,Mapping!$B:$B,0))</f>
        <v>1</v>
      </c>
      <c r="M21" s="148" t="str">
        <f>INDEX(Mapping!$H:$H,MATCH($E21,Mapping!$B:$B,0))</f>
        <v>WBA ZM Ethernet</v>
      </c>
      <c r="N21" s="179" t="str">
        <f>INDEX(Mapping!$I:$I,MATCH($D21&amp;$I21,Mapping!$B:$B,0))</f>
        <v>SDSL</v>
      </c>
      <c r="O21" s="179" t="str">
        <f>INDEX(Mapping!$I:$I,MATCH($D21,Mapping!$B:$B,0))</f>
        <v>SDSL</v>
      </c>
      <c r="P21" s="179"/>
      <c r="Q21" s="179" t="str">
        <f>INDEX(Mapping!$H:$H,MATCH($H21,Mapping!$B:$B,0))</f>
        <v>nvt</v>
      </c>
      <c r="R21" s="179" t="s">
        <v>115</v>
      </c>
      <c r="S21" s="148" t="str">
        <f>INDEX(Mapping!$J:$J,MATCH($D21&amp;$I21,Mapping!$B:$B,0))</f>
        <v>unshared</v>
      </c>
      <c r="T21" s="148" t="str">
        <f t="shared" si="0"/>
        <v>WBA ZM EthernetSDSLnvt</v>
      </c>
      <c r="U21" s="142" t="str">
        <f t="shared" si="1"/>
        <v>WBA ZM EthernetSDSLunshared</v>
      </c>
      <c r="W21" s="160">
        <f>MATCH($J21,'Tarieven ZM'!$B:$B,0)</f>
        <v>104</v>
      </c>
      <c r="X21" s="148">
        <f>INDEX('Tarieven ZM'!$H:$H,$W21)</f>
        <v>1000</v>
      </c>
      <c r="Y21" s="161">
        <f>-INDEX(Parameters!$B:$B,MATCH(Y$3,Parameters!$A:$A,0))*$X21</f>
        <v>0</v>
      </c>
      <c r="Z21" s="149">
        <f>-INDEX(Parameters!$B:$B,MATCH(Z$3,Parameters!$A:$A,0))*$X21</f>
        <v>0</v>
      </c>
      <c r="AA21" s="148">
        <f t="shared" si="7"/>
        <v>1000</v>
      </c>
      <c r="AB21" s="148">
        <f>AA21/INDEX(Parameters!$B:$B,MATCH("AfschrijftermijnVVE"&amp;12*$C21,Parameters!$A:$A,0))</f>
        <v>27.777777777777779</v>
      </c>
      <c r="AC21" s="148">
        <f>INDEX('Tarieven ZM'!$G:$G,$W21)</f>
        <v>1000</v>
      </c>
      <c r="AD21" s="161">
        <f>-INDEX(Parameters!$B:$B,MATCH(AD$3,Parameters!$A:$A,0))*$AC21</f>
        <v>0</v>
      </c>
      <c r="AE21" s="161">
        <f>-INDEX(Parameters!$B:$B,MATCH(AE$3,Parameters!$A:$A,0))*$AC21</f>
        <v>0</v>
      </c>
      <c r="AF21" s="148">
        <f t="shared" si="8"/>
        <v>1000</v>
      </c>
      <c r="AG21" s="151">
        <f t="shared" si="9"/>
        <v>1027.7777777777778</v>
      </c>
      <c r="AH21" s="209"/>
      <c r="AI21" s="147" t="str">
        <f>IF(Q21&lt;&gt;"nvt",MATCH($T21,'Tarieven W&amp;O'!$B:$B,0),"nvt")</f>
        <v>nvt</v>
      </c>
      <c r="AJ21" s="262">
        <f>IF(AI21&lt;&gt;"nvt",INDEX('Tarieven W&amp;O'!$H:$H,$AI21)+INDEX(Parameters!C:C,MATCH("NLSx "&amp;O21&amp;" "&amp;M21,Parameters!A:A,0)),0)</f>
        <v>0</v>
      </c>
      <c r="AK21" s="148">
        <f>IF(AI21&lt;&gt;"nvt",INDEX('Tarieven W&amp;O'!$I:$I,$AI21),0)</f>
        <v>0</v>
      </c>
      <c r="AL21" s="149">
        <f>IF(AI21&lt;&gt;"nvt",-INDEX(Parameters!$B:$B,MATCH(AL$3&amp;$M21,Parameters!$A:$A,0))*(AJ21+AK21),0)</f>
        <v>0</v>
      </c>
      <c r="AM21" s="149"/>
      <c r="AN21" s="148">
        <f t="shared" si="10"/>
        <v>0</v>
      </c>
      <c r="AO21" s="171">
        <f>AN21/INDEX(Parameters!$B:$B,MATCH("AfschrijftermijnVVE"&amp;12*$C21,Parameters!$A:$A,0))</f>
        <v>0</v>
      </c>
      <c r="AP21" s="148">
        <f>MATCH($U21,'Tarieven W&amp;O'!$B:$B,0)</f>
        <v>30</v>
      </c>
      <c r="AQ21" s="150">
        <f>IF(AP21&lt;&gt;"nvt",INDEX('Tarieven W&amp;O'!$G:$G,$AP21),0)</f>
        <v>22.1</v>
      </c>
      <c r="AR21" s="277">
        <f>-INDEX(Parameters!$B:$B,MATCH(AR$3&amp;$M21&amp;O21,Parameters!$A:$A,0))*(AQ21)</f>
        <v>0</v>
      </c>
      <c r="AS21" s="148"/>
      <c r="AT21" s="148"/>
      <c r="AU21" s="150">
        <f t="shared" si="11"/>
        <v>22.1</v>
      </c>
      <c r="AV21" s="150">
        <f t="shared" si="12"/>
        <v>22.1</v>
      </c>
      <c r="AW21" s="202"/>
      <c r="AX21" s="150">
        <f>Parameters!$B$6*AV21</f>
        <v>0.22100000000000003</v>
      </c>
      <c r="AY21" s="202">
        <v>0</v>
      </c>
      <c r="AZ21" s="202"/>
      <c r="BA21" s="150">
        <f t="shared" si="13"/>
        <v>0.22100000000000003</v>
      </c>
      <c r="BB21" s="202"/>
      <c r="BC21" s="151">
        <f t="shared" si="14"/>
        <v>22.321000000000002</v>
      </c>
      <c r="BD21" s="209"/>
      <c r="BE21" s="140">
        <f t="shared" si="2"/>
        <v>1005.4567777777778</v>
      </c>
      <c r="BF21" s="141">
        <f t="shared" si="3"/>
        <v>0.97828227027027026</v>
      </c>
      <c r="BG21" s="142" t="b">
        <f t="shared" si="15"/>
        <v>0</v>
      </c>
      <c r="BI21" s="188" t="s">
        <v>538</v>
      </c>
      <c r="BJ21" s="189"/>
      <c r="BK21">
        <f>VLOOKUP(J21,'Tarieven ZM'!$B$7:$I$146,8,0)</f>
        <v>0</v>
      </c>
      <c r="BL21" s="203" t="str">
        <f t="shared" si="16"/>
        <v>SDSLnvtunshared</v>
      </c>
      <c r="BM21" s="282">
        <f>INDEX('inkoop ULL tbv Epacity'!$J:$J,MATCH(BL21,'inkoop ULL tbv Epacity'!$H:$H,0),0)</f>
        <v>19.3</v>
      </c>
      <c r="BN21" s="171">
        <f>BM21/INDEX(Parameters!$B:$B,MATCH("AfschrijftermijnVVE"&amp;12*$C21,Parameters!$A:$A,0))</f>
        <v>0.53611111111111109</v>
      </c>
      <c r="BO21" s="263">
        <f>INDEX('inkoop ULL tbv Epacity'!$I:$I,MATCH(BL21,'inkoop ULL tbv Epacity'!$H:$H,0),0)</f>
        <v>9.3855844444444436</v>
      </c>
      <c r="BP21" s="263">
        <f t="shared" si="17"/>
        <v>9.921695555555555</v>
      </c>
      <c r="BQ21" s="203"/>
      <c r="BR21" s="262">
        <f>Parameters!$B$12*AG21</f>
        <v>102.77777777777779</v>
      </c>
      <c r="BS21" s="262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SUM(Distributievergoedingen!$F$12,Distributievergoedingen!$I$12,Distributievergoedingen!$L$12,Distributievergoedingen!$O$12)*AF21+SUM(Distributievergoedingen!$O$12*AA21+Distributievergoedingen!$R$12+Distributievergoedingen!$U$12+Distributievergoedingen!$X$12)/(MAX(36,12*L21))</f>
        <v>112.77777777777777</v>
      </c>
      <c r="BT21" s="150"/>
      <c r="BU21" s="150">
        <f t="shared" si="18"/>
        <v>215.55555555555554</v>
      </c>
      <c r="BW21" s="151">
        <f t="shared" si="19"/>
        <v>225.47725111111109</v>
      </c>
      <c r="BY21" s="140">
        <f t="shared" si="20"/>
        <v>802.30052666666677</v>
      </c>
      <c r="BZ21" s="141">
        <f t="shared" si="21"/>
        <v>0.78061672864864873</v>
      </c>
      <c r="CA21" s="142" t="b">
        <f t="shared" si="22"/>
        <v>0</v>
      </c>
    </row>
    <row r="22" spans="1:79">
      <c r="A22" s="203" t="str">
        <f t="shared" si="4"/>
        <v>1VDSLPremiumbestaandshared</v>
      </c>
      <c r="B22" s="203" t="str">
        <f t="shared" si="5"/>
        <v>1VDSLPremiumbestaandshared</v>
      </c>
      <c r="C22" s="438">
        <v>1</v>
      </c>
      <c r="D22" s="438" t="s">
        <v>77</v>
      </c>
      <c r="E22" s="438" t="s">
        <v>70</v>
      </c>
      <c r="F22" s="438"/>
      <c r="G22" s="438"/>
      <c r="H22" s="438" t="s">
        <v>124</v>
      </c>
      <c r="I22" s="438" t="s">
        <v>127</v>
      </c>
      <c r="J22" s="274" t="str">
        <f t="shared" si="6"/>
        <v>VDSLbestaandshared</v>
      </c>
      <c r="L22" s="160">
        <f>INDEX(Mapping!$J:$J,MATCH(C$3&amp;C22,Mapping!$B:$B,0))</f>
        <v>1</v>
      </c>
      <c r="M22" s="148" t="str">
        <f>INDEX(Mapping!$H:$H,MATCH($E22,Mapping!$B:$B,0))</f>
        <v>WBA ZM Ethernet</v>
      </c>
      <c r="N22" s="179" t="str">
        <f>INDEX(Mapping!$I:$I,MATCH($D22&amp;$I22,Mapping!$B:$B,0))</f>
        <v>VDSL</v>
      </c>
      <c r="O22" s="179" t="str">
        <f>INDEX(Mapping!$I:$I,MATCH($D22,Mapping!$B:$B,0))</f>
        <v>VDSL</v>
      </c>
      <c r="P22" s="179"/>
      <c r="Q22" s="179" t="str">
        <f>INDEX(Mapping!$H:$H,MATCH($H22,Mapping!$B:$B,0))</f>
        <v>nvt</v>
      </c>
      <c r="R22" s="179" t="s">
        <v>115</v>
      </c>
      <c r="S22" s="148" t="str">
        <f>INDEX(Mapping!$J:$J,MATCH($D22&amp;$I22,Mapping!$B:$B,0))</f>
        <v>shared</v>
      </c>
      <c r="T22" s="148" t="str">
        <f t="shared" si="0"/>
        <v>WBA ZM EthernetVDSLnvt</v>
      </c>
      <c r="U22" s="142" t="str">
        <f t="shared" si="1"/>
        <v>WBA ZM EthernetVDSLshared</v>
      </c>
      <c r="W22" s="160">
        <f>MATCH($J22,'Tarieven ZM'!$B:$B,0)</f>
        <v>105</v>
      </c>
      <c r="X22" s="148">
        <f>INDEX('Tarieven ZM'!$H:$H,$W22)</f>
        <v>1000</v>
      </c>
      <c r="Y22" s="161">
        <f>-INDEX(Parameters!$B:$B,MATCH(Y$3,Parameters!$A:$A,0))*$X22</f>
        <v>0</v>
      </c>
      <c r="Z22" s="149">
        <f>-INDEX(Parameters!$B:$B,MATCH(Z$3,Parameters!$A:$A,0))*$X22</f>
        <v>0</v>
      </c>
      <c r="AA22" s="148">
        <f t="shared" si="7"/>
        <v>1000</v>
      </c>
      <c r="AB22" s="148">
        <f>AA22/INDEX(Parameters!$B:$B,MATCH("AfschrijftermijnVVE"&amp;12*$C22,Parameters!$A:$A,0))</f>
        <v>27.777777777777779</v>
      </c>
      <c r="AC22" s="148">
        <f>INDEX('Tarieven ZM'!$G:$G,$W22)</f>
        <v>1000</v>
      </c>
      <c r="AD22" s="161">
        <f>-INDEX(Parameters!$B:$B,MATCH(AD$3,Parameters!$A:$A,0))*$AC22</f>
        <v>0</v>
      </c>
      <c r="AE22" s="161">
        <f>-INDEX(Parameters!$B:$B,MATCH(AE$3,Parameters!$A:$A,0))*$AC22</f>
        <v>0</v>
      </c>
      <c r="AF22" s="148">
        <f t="shared" si="8"/>
        <v>1000</v>
      </c>
      <c r="AG22" s="151">
        <f t="shared" si="9"/>
        <v>1027.7777777777778</v>
      </c>
      <c r="AH22" s="209"/>
      <c r="AI22" s="147" t="str">
        <f>IF(Q22&lt;&gt;"nvt",MATCH($T22,'Tarieven W&amp;O'!$B:$B,0),"nvt")</f>
        <v>nvt</v>
      </c>
      <c r="AJ22" s="262">
        <f>IF(AI22&lt;&gt;"nvt",INDEX('Tarieven W&amp;O'!$H:$H,$AI22)+INDEX(Parameters!C:C,MATCH("NLSx "&amp;O22&amp;" "&amp;M22,Parameters!A:A,0)),0)</f>
        <v>0</v>
      </c>
      <c r="AK22" s="148">
        <f>IF(AI22&lt;&gt;"nvt",INDEX('Tarieven W&amp;O'!$I:$I,$AI22),0)</f>
        <v>0</v>
      </c>
      <c r="AL22" s="149">
        <f>IF(AI22&lt;&gt;"nvt",-INDEX(Parameters!$B:$B,MATCH(AL$3&amp;$M22,Parameters!$A:$A,0))*(AJ22+AK22),0)</f>
        <v>0</v>
      </c>
      <c r="AM22" s="149"/>
      <c r="AN22" s="148">
        <f t="shared" si="10"/>
        <v>0</v>
      </c>
      <c r="AO22" s="171">
        <f>AN22/INDEX(Parameters!$B:$B,MATCH("AfschrijftermijnVVE"&amp;12*$C22,Parameters!$A:$A,0))</f>
        <v>0</v>
      </c>
      <c r="AP22" s="148">
        <f>MATCH($U22,'Tarieven W&amp;O'!$B:$B,0)</f>
        <v>34</v>
      </c>
      <c r="AQ22" s="150">
        <f>IF(AP22&lt;&gt;"nvt",INDEX('Tarieven W&amp;O'!$G:$G,$AP22),0)</f>
        <v>2.88</v>
      </c>
      <c r="AR22" s="277">
        <f>-INDEX(Parameters!$B:$B,MATCH(AR$3&amp;$M22&amp;O22,Parameters!$A:$A,0))*(AQ22)</f>
        <v>0</v>
      </c>
      <c r="AS22" s="148"/>
      <c r="AT22" s="148"/>
      <c r="AU22" s="150">
        <f t="shared" si="11"/>
        <v>2.88</v>
      </c>
      <c r="AV22" s="150">
        <f t="shared" si="12"/>
        <v>2.88</v>
      </c>
      <c r="AW22" s="202"/>
      <c r="AX22" s="150">
        <f>Parameters!$B$6*AV22</f>
        <v>2.8799999999999999E-2</v>
      </c>
      <c r="AY22" s="202">
        <v>0</v>
      </c>
      <c r="AZ22" s="202"/>
      <c r="BA22" s="150">
        <f t="shared" si="13"/>
        <v>2.8799999999999999E-2</v>
      </c>
      <c r="BB22" s="202"/>
      <c r="BC22" s="151">
        <f t="shared" si="14"/>
        <v>2.9087999999999998</v>
      </c>
      <c r="BD22" s="209"/>
      <c r="BE22" s="140">
        <f t="shared" si="2"/>
        <v>1024.8689777777779</v>
      </c>
      <c r="BF22" s="141">
        <f t="shared" si="3"/>
        <v>0.99716981621621625</v>
      </c>
      <c r="BG22" s="142" t="b">
        <f t="shared" si="15"/>
        <v>0</v>
      </c>
      <c r="BI22" s="188" t="s">
        <v>538</v>
      </c>
      <c r="BJ22" s="189"/>
      <c r="BK22">
        <f>VLOOKUP(J22,'Tarieven ZM'!$B$7:$I$146,8,0)</f>
        <v>0</v>
      </c>
      <c r="BL22" s="203" t="str">
        <f t="shared" si="16"/>
        <v>VDSLnvtshared</v>
      </c>
      <c r="BM22" s="282">
        <f>INDEX('inkoop ULL tbv Epacity'!$J:$J,MATCH(BL22,'inkoop ULL tbv Epacity'!$H:$H,0),0)</f>
        <v>35</v>
      </c>
      <c r="BN22" s="171">
        <f>BM22/INDEX(Parameters!$B:$B,MATCH("AfschrijftermijnVVE"&amp;12*$C22,Parameters!$A:$A,0))</f>
        <v>0.97222222222222221</v>
      </c>
      <c r="BO22" s="263">
        <f>INDEX('inkoop ULL tbv Epacity'!$I:$I,MATCH(BL22,'inkoop ULL tbv Epacity'!$H:$H,0),0)</f>
        <v>6.031783475119048</v>
      </c>
      <c r="BP22" s="263">
        <f t="shared" si="17"/>
        <v>7.0040056973412703</v>
      </c>
      <c r="BQ22" s="203"/>
      <c r="BR22" s="262">
        <f>Parameters!$B$12*AG22</f>
        <v>102.77777777777779</v>
      </c>
      <c r="BS22" s="262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SUM(Distributievergoedingen!$F$12,Distributievergoedingen!$I$12,Distributievergoedingen!$L$12,Distributievergoedingen!$O$12)*AF22+SUM(Distributievergoedingen!$O$12*AA22+Distributievergoedingen!$R$12+Distributievergoedingen!$U$12+Distributievergoedingen!$X$12)/(MAX(36,12*L22))</f>
        <v>112.77777777777777</v>
      </c>
      <c r="BT22" s="150"/>
      <c r="BU22" s="150">
        <f t="shared" si="18"/>
        <v>215.55555555555554</v>
      </c>
      <c r="BW22" s="151">
        <f t="shared" si="19"/>
        <v>222.5595612528968</v>
      </c>
      <c r="BY22" s="140">
        <f t="shared" si="20"/>
        <v>805.21821652488097</v>
      </c>
      <c r="BZ22" s="141">
        <f t="shared" si="21"/>
        <v>0.78345556202420852</v>
      </c>
      <c r="CA22" s="142" t="b">
        <f t="shared" si="22"/>
        <v>0</v>
      </c>
    </row>
    <row r="23" spans="1:79">
      <c r="A23" s="203" t="str">
        <f t="shared" si="4"/>
        <v>1ADSLPremiumbestaandshared</v>
      </c>
      <c r="B23" s="203" t="str">
        <f t="shared" si="5"/>
        <v>1ADSLPremiumbestaandshared</v>
      </c>
      <c r="C23" s="438">
        <v>1</v>
      </c>
      <c r="D23" s="438" t="s">
        <v>42</v>
      </c>
      <c r="E23" s="438" t="s">
        <v>70</v>
      </c>
      <c r="F23" s="438"/>
      <c r="G23" s="438"/>
      <c r="H23" s="438" t="s">
        <v>124</v>
      </c>
      <c r="I23" s="438" t="s">
        <v>127</v>
      </c>
      <c r="J23" s="274" t="str">
        <f t="shared" si="6"/>
        <v>ADSLbestaandshared</v>
      </c>
      <c r="L23" s="160">
        <f>INDEX(Mapping!$J:$J,MATCH(C$3&amp;C23,Mapping!$B:$B,0))</f>
        <v>1</v>
      </c>
      <c r="M23" s="148" t="str">
        <f>INDEX(Mapping!$H:$H,MATCH($E23,Mapping!$B:$B,0))</f>
        <v>WBA ZM Ethernet</v>
      </c>
      <c r="N23" s="179" t="str">
        <f>INDEX(Mapping!$I:$I,MATCH($D23&amp;$I23,Mapping!$B:$B,0))</f>
        <v>ADSL</v>
      </c>
      <c r="O23" s="179" t="str">
        <f>INDEX(Mapping!$I:$I,MATCH($D23,Mapping!$B:$B,0))</f>
        <v>ADSL</v>
      </c>
      <c r="P23" s="179"/>
      <c r="Q23" s="179" t="str">
        <f>INDEX(Mapping!$H:$H,MATCH($H23,Mapping!$B:$B,0))</f>
        <v>nvt</v>
      </c>
      <c r="R23" s="179" t="s">
        <v>115</v>
      </c>
      <c r="S23" s="148" t="str">
        <f>INDEX(Mapping!$J:$J,MATCH($D23&amp;$I23,Mapping!$B:$B,0))</f>
        <v>shared</v>
      </c>
      <c r="T23" s="148" t="str">
        <f t="shared" si="0"/>
        <v>WBA ZM EthernetADSLnvt</v>
      </c>
      <c r="U23" s="142" t="str">
        <f t="shared" si="1"/>
        <v>WBA ZM EthernetADSLshared</v>
      </c>
      <c r="W23" s="160">
        <f>MATCH($J23,'Tarieven ZM'!$B:$B,0)</f>
        <v>106</v>
      </c>
      <c r="X23" s="148">
        <f>INDEX('Tarieven ZM'!$H:$H,$W23)</f>
        <v>1000</v>
      </c>
      <c r="Y23" s="161">
        <f>-INDEX(Parameters!$B:$B,MATCH(Y$3,Parameters!$A:$A,0))*$X23</f>
        <v>0</v>
      </c>
      <c r="Z23" s="149">
        <f>-INDEX(Parameters!$B:$B,MATCH(Z$3,Parameters!$A:$A,0))*$X23</f>
        <v>0</v>
      </c>
      <c r="AA23" s="148">
        <f t="shared" si="7"/>
        <v>1000</v>
      </c>
      <c r="AB23" s="148">
        <f>AA23/INDEX(Parameters!$B:$B,MATCH("AfschrijftermijnVVE"&amp;12*$C23,Parameters!$A:$A,0))</f>
        <v>27.777777777777779</v>
      </c>
      <c r="AC23" s="148">
        <f>INDEX('Tarieven ZM'!$G:$G,$W23)</f>
        <v>1000</v>
      </c>
      <c r="AD23" s="161">
        <f>-INDEX(Parameters!$B:$B,MATCH(AD$3,Parameters!$A:$A,0))*$AC23</f>
        <v>0</v>
      </c>
      <c r="AE23" s="161">
        <f>-INDEX(Parameters!$B:$B,MATCH(AE$3,Parameters!$A:$A,0))*$AC23</f>
        <v>0</v>
      </c>
      <c r="AF23" s="148">
        <f t="shared" si="8"/>
        <v>1000</v>
      </c>
      <c r="AG23" s="151">
        <f t="shared" si="9"/>
        <v>1027.7777777777778</v>
      </c>
      <c r="AH23" s="209"/>
      <c r="AI23" s="147" t="str">
        <f>IF(Q23&lt;&gt;"nvt",MATCH($T23,'Tarieven W&amp;O'!$B:$B,0),"nvt")</f>
        <v>nvt</v>
      </c>
      <c r="AJ23" s="262">
        <f>IF(AI23&lt;&gt;"nvt",INDEX('Tarieven W&amp;O'!$H:$H,$AI23)+INDEX(Parameters!C:C,MATCH("NLSx "&amp;O23&amp;" "&amp;M23,Parameters!A:A,0)),0)</f>
        <v>0</v>
      </c>
      <c r="AK23" s="148">
        <f>IF(AI23&lt;&gt;"nvt",INDEX('Tarieven W&amp;O'!$I:$I,$AI23),0)</f>
        <v>0</v>
      </c>
      <c r="AL23" s="149">
        <f>IF(AI23&lt;&gt;"nvt",-INDEX(Parameters!$B:$B,MATCH(AL$3&amp;$M23,Parameters!$A:$A,0))*(AJ23+AK23),0)</f>
        <v>0</v>
      </c>
      <c r="AM23" s="149"/>
      <c r="AN23" s="148">
        <f t="shared" si="10"/>
        <v>0</v>
      </c>
      <c r="AO23" s="171">
        <f>AN23/INDEX(Parameters!$B:$B,MATCH("AfschrijftermijnVVE"&amp;12*$C23,Parameters!$A:$A,0))</f>
        <v>0</v>
      </c>
      <c r="AP23" s="148">
        <f>MATCH($U23,'Tarieven W&amp;O'!$B:$B,0)</f>
        <v>35</v>
      </c>
      <c r="AQ23" s="150">
        <f>IF(AP23&lt;&gt;"nvt",INDEX('Tarieven W&amp;O'!$G:$G,$AP23),0)</f>
        <v>2.88</v>
      </c>
      <c r="AR23" s="277">
        <f>-INDEX(Parameters!$B:$B,MATCH(AR$3&amp;$M23&amp;O23,Parameters!$A:$A,0))*(AQ23)</f>
        <v>0</v>
      </c>
      <c r="AS23" s="148"/>
      <c r="AT23" s="148"/>
      <c r="AU23" s="150">
        <f t="shared" si="11"/>
        <v>2.88</v>
      </c>
      <c r="AV23" s="150">
        <f t="shared" si="12"/>
        <v>2.88</v>
      </c>
      <c r="AW23" s="202"/>
      <c r="AX23" s="150">
        <f>Parameters!$B$6*AV23</f>
        <v>2.8799999999999999E-2</v>
      </c>
      <c r="AY23" s="202">
        <v>0</v>
      </c>
      <c r="AZ23" s="202"/>
      <c r="BA23" s="150">
        <f t="shared" si="13"/>
        <v>2.8799999999999999E-2</v>
      </c>
      <c r="BB23" s="202"/>
      <c r="BC23" s="151">
        <f t="shared" si="14"/>
        <v>2.9087999999999998</v>
      </c>
      <c r="BD23" s="209"/>
      <c r="BE23" s="140">
        <f t="shared" si="2"/>
        <v>1024.8689777777779</v>
      </c>
      <c r="BF23" s="141">
        <f t="shared" si="3"/>
        <v>0.99716981621621625</v>
      </c>
      <c r="BG23" s="142" t="b">
        <f t="shared" si="15"/>
        <v>0</v>
      </c>
      <c r="BI23" s="188" t="s">
        <v>538</v>
      </c>
      <c r="BJ23" s="189"/>
      <c r="BK23">
        <f>VLOOKUP(J23,'Tarieven ZM'!$B$7:$I$146,8,0)</f>
        <v>0</v>
      </c>
      <c r="BL23" s="203" t="str">
        <f t="shared" si="16"/>
        <v>ADSLnvtshared</v>
      </c>
      <c r="BM23" s="282">
        <f>INDEX('inkoop ULL tbv Epacity'!$J:$J,MATCH(BL23,'inkoop ULL tbv Epacity'!$H:$H,0),0)</f>
        <v>35</v>
      </c>
      <c r="BN23" s="171">
        <f>BM23/INDEX(Parameters!$B:$B,MATCH("AfschrijftermijnVVE"&amp;12*$C23,Parameters!$A:$A,0))</f>
        <v>0.97222222222222221</v>
      </c>
      <c r="BO23" s="263">
        <f>INDEX('inkoop ULL tbv Epacity'!$I:$I,MATCH(BL23,'inkoop ULL tbv Epacity'!$H:$H,0),0)</f>
        <v>6.031783475119048</v>
      </c>
      <c r="BP23" s="263">
        <f t="shared" si="17"/>
        <v>7.0040056973412703</v>
      </c>
      <c r="BQ23" s="203"/>
      <c r="BR23" s="262">
        <f>Parameters!$B$12*AG23</f>
        <v>102.77777777777779</v>
      </c>
      <c r="BS23" s="262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SUM(Distributievergoedingen!$F$12,Distributievergoedingen!$I$12,Distributievergoedingen!$L$12,Distributievergoedingen!$O$12)*AF23+SUM(Distributievergoedingen!$O$12*AA23+Distributievergoedingen!$R$12+Distributievergoedingen!$U$12+Distributievergoedingen!$X$12)/(MAX(36,12*L23))</f>
        <v>112.77777777777777</v>
      </c>
      <c r="BT23" s="150"/>
      <c r="BU23" s="150">
        <f t="shared" si="18"/>
        <v>215.55555555555554</v>
      </c>
      <c r="BW23" s="151">
        <f t="shared" si="19"/>
        <v>222.5595612528968</v>
      </c>
      <c r="BY23" s="140">
        <f t="shared" si="20"/>
        <v>805.21821652488097</v>
      </c>
      <c r="BZ23" s="141">
        <f t="shared" si="21"/>
        <v>0.78345556202420852</v>
      </c>
      <c r="CA23" s="142" t="b">
        <f t="shared" si="22"/>
        <v>0</v>
      </c>
    </row>
    <row r="24" spans="1:79">
      <c r="A24" s="203" t="str">
        <f>C24&amp;D24&amp;E24&amp;H24&amp;I24</f>
        <v>2ADSLBasicnieuwunshared</v>
      </c>
      <c r="B24" s="203" t="str">
        <f t="shared" si="5"/>
        <v>2ADSLBasicnieuwunshared</v>
      </c>
      <c r="C24" s="438">
        <v>2</v>
      </c>
      <c r="D24" s="438" t="s">
        <v>42</v>
      </c>
      <c r="E24" s="438" t="s">
        <v>44</v>
      </c>
      <c r="F24" s="438"/>
      <c r="G24" s="438"/>
      <c r="H24" s="438" t="s">
        <v>125</v>
      </c>
      <c r="I24" s="438" t="s">
        <v>128</v>
      </c>
      <c r="J24" s="274" t="str">
        <f>D24&amp;H24&amp;I24</f>
        <v>ADSLnieuwunshared</v>
      </c>
      <c r="L24" s="160">
        <f>INDEX(Mapping!$J:$J,MATCH(C$3&amp;C24,Mapping!$B:$B,0))</f>
        <v>1</v>
      </c>
      <c r="M24" s="148" t="str">
        <f>INDEX(Mapping!$H:$H,MATCH($E24,Mapping!$B:$B,0))</f>
        <v>WBA CM Ethernet</v>
      </c>
      <c r="N24" s="179" t="str">
        <f>INDEX(Mapping!$I:$I,MATCH($D24&amp;$I24,Mapping!$B:$B,0))</f>
        <v>ADSL</v>
      </c>
      <c r="O24" s="179" t="str">
        <f>INDEX(Mapping!$I:$I,MATCH($D24,Mapping!$B:$B,0))</f>
        <v>ADSL</v>
      </c>
      <c r="P24" s="179"/>
      <c r="Q24" s="179" t="str">
        <f>INDEX(Mapping!$H:$H,MATCH($H24,Mapping!$B:$B,0))</f>
        <v>New line</v>
      </c>
      <c r="R24" s="179" t="s">
        <v>115</v>
      </c>
      <c r="S24" s="148" t="str">
        <f>INDEX(Mapping!$J:$J,MATCH($D24&amp;$I24,Mapping!$B:$B,0))</f>
        <v>unshared</v>
      </c>
      <c r="T24" s="148" t="str">
        <f t="shared" si="0"/>
        <v>WBA CM EthernetADSLNew line</v>
      </c>
      <c r="U24" s="142" t="str">
        <f t="shared" si="1"/>
        <v>WBA CM EthernetADSLunshared</v>
      </c>
      <c r="W24" s="160">
        <f>MATCH($J24,'Tarieven ZM'!$B:$B,0)</f>
        <v>97</v>
      </c>
      <c r="X24" s="148">
        <f>INDEX('Tarieven ZM'!$H:$H,$W24)</f>
        <v>1000</v>
      </c>
      <c r="Y24" s="161">
        <f>-INDEX(Parameters!$B:$B,MATCH(Y$3,Parameters!$A:$A,0))*$X24</f>
        <v>0</v>
      </c>
      <c r="Z24" s="149">
        <f>-INDEX(Parameters!$B:$B,MATCH(Z$3,Parameters!$A:$A,0))*$X24</f>
        <v>0</v>
      </c>
      <c r="AA24" s="148">
        <f>SUM(X24:Z24)</f>
        <v>1000</v>
      </c>
      <c r="AB24" s="148">
        <f>AA24/INDEX(Parameters!$B:$B,MATCH("AfschrijftermijnVVE"&amp;12*$C24,Parameters!$A:$A,0))</f>
        <v>27.777777777777779</v>
      </c>
      <c r="AC24" s="148">
        <f>INDEX('Tarieven ZM'!$G:$G,$W24)</f>
        <v>1000</v>
      </c>
      <c r="AD24" s="161">
        <f>-INDEX(Parameters!$B:$B,MATCH(AD$3,Parameters!$A:$A,0))*$AC24</f>
        <v>0</v>
      </c>
      <c r="AE24" s="161">
        <f>-INDEX(Parameters!$B:$B,MATCH(AE$3,Parameters!$A:$A,0))*$AC24</f>
        <v>0</v>
      </c>
      <c r="AF24" s="148">
        <f>SUM(AC24:AE24)</f>
        <v>1000</v>
      </c>
      <c r="AG24" s="151">
        <f t="shared" si="9"/>
        <v>1027.7777777777778</v>
      </c>
      <c r="AH24" s="209"/>
      <c r="AI24" s="147">
        <f>IF(Q24&lt;&gt;"nvt",MATCH($T24,'Tarieven W&amp;O'!$B:$B,0),"nvt")</f>
        <v>16</v>
      </c>
      <c r="AJ24" s="262">
        <f>IF(AI24&lt;&gt;"nvt",INDEX('Tarieven W&amp;O'!$H:$H,$AI24)+INDEX(Parameters!C:C,MATCH("NLSx "&amp;O24&amp;" "&amp;M24,Parameters!A:A,0)),0)</f>
        <v>65</v>
      </c>
      <c r="AK24" s="148">
        <f>IF(AI24&lt;&gt;"nvt",INDEX('Tarieven W&amp;O'!$I:$I,$AI24),0)</f>
        <v>25</v>
      </c>
      <c r="AL24" s="149">
        <f>IF(AI24&lt;&gt;"nvt",-INDEX(Parameters!$B:$B,MATCH(AL$3&amp;$M24,Parameters!$A:$A,0))*(AJ24+AK24),0)</f>
        <v>0</v>
      </c>
      <c r="AM24" s="149"/>
      <c r="AN24" s="148">
        <f t="shared" si="10"/>
        <v>90</v>
      </c>
      <c r="AO24" s="171">
        <f>AN24/INDEX(Parameters!$B:$B,MATCH("AfschrijftermijnVVE"&amp;12*$C24,Parameters!$A:$A,0))</f>
        <v>2.5</v>
      </c>
      <c r="AP24" s="148">
        <f>MATCH($U24,'Tarieven W&amp;O'!$B:$B,0)</f>
        <v>8</v>
      </c>
      <c r="AQ24" s="150">
        <f>IF(AP24&lt;&gt;"nvt",INDEX('Tarieven W&amp;O'!$G:$G,$AP24),0)</f>
        <v>13.09</v>
      </c>
      <c r="AR24" s="277">
        <f>-INDEX(Parameters!$B:$B,MATCH(AR$3&amp;$M24&amp;O24,Parameters!$A:$A,0))*(AQ24)</f>
        <v>-1.3090000000000002</v>
      </c>
      <c r="AS24" s="148"/>
      <c r="AT24" s="148"/>
      <c r="AU24" s="150">
        <f t="shared" si="11"/>
        <v>11.780999999999999</v>
      </c>
      <c r="AV24" s="150">
        <f t="shared" si="12"/>
        <v>14.280999999999999</v>
      </c>
      <c r="AW24" s="202"/>
      <c r="AX24" s="150">
        <f>Parameters!$B$6*AV24</f>
        <v>0.14280999999999999</v>
      </c>
      <c r="AY24" s="202">
        <v>0</v>
      </c>
      <c r="AZ24" s="202"/>
      <c r="BA24" s="150">
        <f t="shared" si="13"/>
        <v>0.14280999999999999</v>
      </c>
      <c r="BB24" s="202"/>
      <c r="BC24" s="151">
        <f t="shared" si="14"/>
        <v>14.42381</v>
      </c>
      <c r="BD24" s="209"/>
      <c r="BE24" s="140">
        <f t="shared" si="2"/>
        <v>1013.3539677777778</v>
      </c>
      <c r="BF24" s="141">
        <f t="shared" si="3"/>
        <v>0.98596602270270273</v>
      </c>
      <c r="BG24" s="142" t="b">
        <f>BF24&lt;0</f>
        <v>0</v>
      </c>
      <c r="BI24" s="188" t="s">
        <v>538</v>
      </c>
      <c r="BJ24" s="189"/>
      <c r="BK24">
        <f>VLOOKUP(J24,'Tarieven ZM'!$B$7:$I$146,8,0)</f>
        <v>0</v>
      </c>
      <c r="BL24" s="203" t="str">
        <f t="shared" si="16"/>
        <v>ADSLNew lineunshared</v>
      </c>
      <c r="BM24" s="282">
        <f>INDEX('inkoop ULL tbv Epacity'!$J:$J,MATCH(BL24,'inkoop ULL tbv Epacity'!$H:$H,0),0)</f>
        <v>75</v>
      </c>
      <c r="BN24" s="171">
        <f>BM24/INDEX(Parameters!$B:$B,MATCH("AfschrijftermijnVVE"&amp;12*$C24,Parameters!$A:$A,0))</f>
        <v>2.0833333333333335</v>
      </c>
      <c r="BO24" s="263">
        <f>INDEX('inkoop ULL tbv Epacity'!$I:$I,MATCH(BL24,'inkoop ULL tbv Epacity'!$H:$H,0),0)</f>
        <v>12.501783475119046</v>
      </c>
      <c r="BP24" s="263">
        <f t="shared" si="17"/>
        <v>14.58511680845238</v>
      </c>
      <c r="BQ24" s="203"/>
      <c r="BR24" s="262">
        <f>Parameters!$B$12*AG24</f>
        <v>102.77777777777779</v>
      </c>
      <c r="BS24" s="262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SUM(Distributievergoedingen!$F$12,Distributievergoedingen!$I$12,Distributievergoedingen!$L$12,Distributievergoedingen!$O$12)*AF24+SUM(Distributievergoedingen!$O$12*AA24+Distributievergoedingen!$R$12+Distributievergoedingen!$U$12+Distributievergoedingen!$X$12)/(MAX(36,12*L24))</f>
        <v>112.77777777777777</v>
      </c>
      <c r="BT24" s="150"/>
      <c r="BU24" s="150">
        <f t="shared" si="18"/>
        <v>215.55555555555554</v>
      </c>
      <c r="BW24" s="151">
        <f t="shared" si="19"/>
        <v>230.14067236400791</v>
      </c>
      <c r="BY24" s="140">
        <f t="shared" si="20"/>
        <v>797.63710541376986</v>
      </c>
      <c r="BZ24" s="141">
        <f t="shared" si="21"/>
        <v>0.7760793458079922</v>
      </c>
      <c r="CA24" s="142" t="b">
        <f t="shared" si="22"/>
        <v>0</v>
      </c>
    </row>
    <row r="25" spans="1:79">
      <c r="A25" s="203" t="str">
        <f t="shared" ref="A25:A43" si="57">C25&amp;D25&amp;E25&amp;H25&amp;I25</f>
        <v>2VDSLEntrynieuwunshared</v>
      </c>
      <c r="B25" s="203" t="str">
        <f t="shared" si="5"/>
        <v>2VDSLEntrynieuwunshared</v>
      </c>
      <c r="C25" s="438">
        <v>2</v>
      </c>
      <c r="D25" s="438" t="s">
        <v>77</v>
      </c>
      <c r="E25" s="438" t="s">
        <v>78</v>
      </c>
      <c r="F25" s="438"/>
      <c r="G25" s="438"/>
      <c r="H25" s="438" t="s">
        <v>125</v>
      </c>
      <c r="I25" s="438" t="s">
        <v>128</v>
      </c>
      <c r="J25" s="274" t="str">
        <f t="shared" ref="J25:J43" si="58">D25&amp;H25&amp;I25</f>
        <v>VDSLnieuwunshared</v>
      </c>
      <c r="L25" s="160">
        <f>INDEX(Mapping!$J:$J,MATCH(C$3&amp;C25,Mapping!$B:$B,0))</f>
        <v>1</v>
      </c>
      <c r="M25" s="148" t="str">
        <f>INDEX(Mapping!$H:$H,MATCH($E25,Mapping!$B:$B,0))</f>
        <v>WBA CM Ethernet</v>
      </c>
      <c r="N25" s="179" t="str">
        <f>INDEX(Mapping!$I:$I,MATCH($D25&amp;$I25,Mapping!$B:$B,0))</f>
        <v>VDSL</v>
      </c>
      <c r="O25" s="179" t="str">
        <f>INDEX(Mapping!$I:$I,MATCH($D25,Mapping!$B:$B,0))</f>
        <v>VDSL</v>
      </c>
      <c r="P25" s="179"/>
      <c r="Q25" s="179" t="str">
        <f>INDEX(Mapping!$H:$H,MATCH($H25,Mapping!$B:$B,0))</f>
        <v>New line</v>
      </c>
      <c r="R25" s="179" t="s">
        <v>115</v>
      </c>
      <c r="S25" s="148" t="str">
        <f>INDEX(Mapping!$J:$J,MATCH($D25&amp;$I25,Mapping!$B:$B,0))</f>
        <v>unshared</v>
      </c>
      <c r="T25" s="148" t="str">
        <f t="shared" si="0"/>
        <v>WBA CM EthernetVDSLNew line</v>
      </c>
      <c r="U25" s="142" t="str">
        <f t="shared" si="1"/>
        <v>WBA CM EthernetVDSLunshared</v>
      </c>
      <c r="W25" s="160">
        <f>MATCH($J25,'Tarieven ZM'!$B:$B,0)</f>
        <v>98</v>
      </c>
      <c r="X25" s="148">
        <f>INDEX('Tarieven ZM'!$H:$H,$W25)</f>
        <v>1000</v>
      </c>
      <c r="Y25" s="161">
        <f>-INDEX(Parameters!$B:$B,MATCH(Y$3,Parameters!$A:$A,0))*$X25</f>
        <v>0</v>
      </c>
      <c r="Z25" s="149">
        <f>-INDEX(Parameters!$B:$B,MATCH(Z$3,Parameters!$A:$A,0))*$X25</f>
        <v>0</v>
      </c>
      <c r="AA25" s="148">
        <f t="shared" ref="AA25:AA43" si="59">SUM(X25:Z25)</f>
        <v>1000</v>
      </c>
      <c r="AB25" s="148">
        <f>AA25/INDEX(Parameters!$B:$B,MATCH("AfschrijftermijnVVE"&amp;12*$C25,Parameters!$A:$A,0))</f>
        <v>27.777777777777779</v>
      </c>
      <c r="AC25" s="148">
        <f>INDEX('Tarieven ZM'!$G:$G,$W25)</f>
        <v>1000</v>
      </c>
      <c r="AD25" s="161">
        <f>-INDEX(Parameters!$B:$B,MATCH(AD$3,Parameters!$A:$A,0))*$AC25</f>
        <v>0</v>
      </c>
      <c r="AE25" s="161">
        <f>-INDEX(Parameters!$B:$B,MATCH(AE$3,Parameters!$A:$A,0))*$AC25</f>
        <v>0</v>
      </c>
      <c r="AF25" s="148">
        <f t="shared" ref="AF25:AF43" si="60">SUM(AC25:AE25)</f>
        <v>1000</v>
      </c>
      <c r="AG25" s="151">
        <f t="shared" si="9"/>
        <v>1027.7777777777778</v>
      </c>
      <c r="AH25" s="209"/>
      <c r="AI25" s="147">
        <f>IF(Q25&lt;&gt;"nvt",MATCH($T25,'Tarieven W&amp;O'!$B:$B,0),"nvt")</f>
        <v>17</v>
      </c>
      <c r="AJ25" s="262">
        <f>IF(AI25&lt;&gt;"nvt",INDEX('Tarieven W&amp;O'!$H:$H,$AI25)+INDEX(Parameters!C:C,MATCH("NLSx "&amp;O25&amp;" "&amp;M25,Parameters!A:A,0)),0)</f>
        <v>65</v>
      </c>
      <c r="AK25" s="148">
        <f>IF(AI25&lt;&gt;"nvt",INDEX('Tarieven W&amp;O'!$I:$I,$AI25),0)</f>
        <v>25</v>
      </c>
      <c r="AL25" s="149">
        <f>IF(AI25&lt;&gt;"nvt",-INDEX(Parameters!$B:$B,MATCH(AL$3&amp;$M25,Parameters!$A:$A,0))*(AJ25+AK25),0)</f>
        <v>0</v>
      </c>
      <c r="AM25" s="149"/>
      <c r="AN25" s="148">
        <f t="shared" si="10"/>
        <v>90</v>
      </c>
      <c r="AO25" s="171">
        <f>AN25/INDEX(Parameters!$B:$B,MATCH("AfschrijftermijnVVE"&amp;12*$C25,Parameters!$A:$A,0))</f>
        <v>2.5</v>
      </c>
      <c r="AP25" s="148">
        <f>MATCH($U25,'Tarieven W&amp;O'!$B:$B,0)</f>
        <v>9</v>
      </c>
      <c r="AQ25" s="150">
        <f>IF(AP25&lt;&gt;"nvt",INDEX('Tarieven W&amp;O'!$G:$G,$AP25),0)</f>
        <v>13.09</v>
      </c>
      <c r="AR25" s="277">
        <f>-INDEX(Parameters!$B:$B,MATCH(AR$3&amp;$M25&amp;O25,Parameters!$A:$A,0))*(AQ25)</f>
        <v>-1.3090000000000002</v>
      </c>
      <c r="AS25" s="148"/>
      <c r="AT25" s="148"/>
      <c r="AU25" s="150">
        <f t="shared" si="11"/>
        <v>11.780999999999999</v>
      </c>
      <c r="AV25" s="150">
        <f t="shared" si="12"/>
        <v>14.280999999999999</v>
      </c>
      <c r="AW25" s="202"/>
      <c r="AX25" s="150">
        <f>Parameters!$B$6*AV25</f>
        <v>0.14280999999999999</v>
      </c>
      <c r="AY25" s="202">
        <v>0</v>
      </c>
      <c r="AZ25" s="202"/>
      <c r="BA25" s="150">
        <f t="shared" si="13"/>
        <v>0.14280999999999999</v>
      </c>
      <c r="BB25" s="202"/>
      <c r="BC25" s="151">
        <f t="shared" si="14"/>
        <v>14.42381</v>
      </c>
      <c r="BD25" s="209"/>
      <c r="BE25" s="140">
        <f t="shared" si="2"/>
        <v>1013.3539677777778</v>
      </c>
      <c r="BF25" s="141">
        <f t="shared" si="3"/>
        <v>0.98596602270270273</v>
      </c>
      <c r="BG25" s="142" t="b">
        <f t="shared" si="15"/>
        <v>0</v>
      </c>
      <c r="BI25" s="188" t="s">
        <v>538</v>
      </c>
      <c r="BJ25" s="189"/>
      <c r="BK25">
        <f>VLOOKUP(J25,'Tarieven ZM'!$B$7:$I$146,8,0)</f>
        <v>0</v>
      </c>
      <c r="BL25" s="203" t="str">
        <f t="shared" si="16"/>
        <v>VDSLNew lineunshared</v>
      </c>
      <c r="BM25" s="282">
        <f>INDEX('inkoop ULL tbv Epacity'!$J:$J,MATCH(BL25,'inkoop ULL tbv Epacity'!$H:$H,0),0)</f>
        <v>75</v>
      </c>
      <c r="BN25" s="171">
        <f>BM25/INDEX(Parameters!$B:$B,MATCH("AfschrijftermijnVVE"&amp;12*$C25,Parameters!$A:$A,0))</f>
        <v>2.0833333333333335</v>
      </c>
      <c r="BO25" s="263">
        <f>INDEX('inkoop ULL tbv Epacity'!$I:$I,MATCH(BL25,'inkoop ULL tbv Epacity'!$H:$H,0),0)</f>
        <v>12.501783475119046</v>
      </c>
      <c r="BP25" s="263">
        <f t="shared" si="17"/>
        <v>14.58511680845238</v>
      </c>
      <c r="BQ25" s="203"/>
      <c r="BR25" s="262">
        <f>Parameters!$B$12*AG25</f>
        <v>102.77777777777779</v>
      </c>
      <c r="BS25" s="262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SUM(Distributievergoedingen!$F$12,Distributievergoedingen!$I$12,Distributievergoedingen!$L$12,Distributievergoedingen!$O$12)*AF25+SUM(Distributievergoedingen!$O$12*AA25+Distributievergoedingen!$R$12+Distributievergoedingen!$U$12+Distributievergoedingen!$X$12)/(MAX(36,12*L25))</f>
        <v>112.77777777777777</v>
      </c>
      <c r="BT25" s="150"/>
      <c r="BU25" s="150">
        <f t="shared" si="18"/>
        <v>215.55555555555554</v>
      </c>
      <c r="BW25" s="151">
        <f t="shared" si="19"/>
        <v>230.14067236400791</v>
      </c>
      <c r="BY25" s="140">
        <f t="shared" si="20"/>
        <v>797.63710541376986</v>
      </c>
      <c r="BZ25" s="141">
        <f t="shared" si="21"/>
        <v>0.7760793458079922</v>
      </c>
      <c r="CA25" s="142" t="b">
        <f t="shared" si="22"/>
        <v>0</v>
      </c>
    </row>
    <row r="26" spans="1:79">
      <c r="A26" s="203" t="str">
        <f t="shared" si="57"/>
        <v>2VDSL bondingEntrynieuwunshared</v>
      </c>
      <c r="B26" s="203" t="str">
        <f t="shared" ref="B26" si="61">A26</f>
        <v>2VDSL bondingEntrynieuwunshared</v>
      </c>
      <c r="C26" s="438">
        <v>2</v>
      </c>
      <c r="D26" s="438" t="s">
        <v>222</v>
      </c>
      <c r="E26" s="438" t="s">
        <v>78</v>
      </c>
      <c r="F26" s="438"/>
      <c r="G26" s="438"/>
      <c r="H26" s="438" t="s">
        <v>125</v>
      </c>
      <c r="I26" s="438" t="s">
        <v>128</v>
      </c>
      <c r="J26" s="274" t="str">
        <f t="shared" si="58"/>
        <v>VDSL bondingnieuwunshared</v>
      </c>
      <c r="L26" s="160">
        <f>INDEX(Mapping!$J:$J,MATCH(C$3&amp;C26,Mapping!$B:$B,0))</f>
        <v>1</v>
      </c>
      <c r="M26" s="148" t="str">
        <f>INDEX(Mapping!$H:$H,MATCH($E26,Mapping!$B:$B,0))</f>
        <v>WBA CM Ethernet</v>
      </c>
      <c r="N26" s="179" t="str">
        <f>INDEX(Mapping!$I:$I,MATCH($D26&amp;$I26,Mapping!$B:$B,0))</f>
        <v>VDSL Bonding</v>
      </c>
      <c r="O26" s="179" t="str">
        <f>INDEX(Mapping!$I:$I,MATCH($D26,Mapping!$B:$B,0))</f>
        <v>VDSL Bonding</v>
      </c>
      <c r="P26" s="179"/>
      <c r="Q26" s="179" t="str">
        <f>INDEX(Mapping!$H:$H,MATCH($H26,Mapping!$B:$B,0))</f>
        <v>New line</v>
      </c>
      <c r="R26" s="179" t="s">
        <v>115</v>
      </c>
      <c r="S26" s="148" t="str">
        <f>INDEX(Mapping!$J:$J,MATCH($D26&amp;$I26,Mapping!$B:$B,0))</f>
        <v>unshared</v>
      </c>
      <c r="T26" s="148" t="str">
        <f t="shared" si="0"/>
        <v>WBA CM EthernetVDSL BondingNew line</v>
      </c>
      <c r="U26" s="142" t="str">
        <f t="shared" si="1"/>
        <v>WBA CM EthernetVDSL Bondingunshared</v>
      </c>
      <c r="W26" s="160">
        <f>MATCH($J26,'Tarieven ZM'!$B:$B,0)</f>
        <v>99</v>
      </c>
      <c r="X26" s="148">
        <f>INDEX('Tarieven ZM'!$H:$H,$W26)</f>
        <v>1000</v>
      </c>
      <c r="Y26" s="161">
        <f>-INDEX(Parameters!$B:$B,MATCH(Y$3,Parameters!$A:$A,0))*$X26</f>
        <v>0</v>
      </c>
      <c r="Z26" s="149">
        <f>-INDEX(Parameters!$B:$B,MATCH(Z$3,Parameters!$A:$A,0))*$X26</f>
        <v>0</v>
      </c>
      <c r="AA26" s="148">
        <f t="shared" si="59"/>
        <v>1000</v>
      </c>
      <c r="AB26" s="148">
        <f>AA26/INDEX(Parameters!$B:$B,MATCH("AfschrijftermijnVVE"&amp;12*$C26,Parameters!$A:$A,0))</f>
        <v>27.777777777777779</v>
      </c>
      <c r="AC26" s="148">
        <f>INDEX('Tarieven ZM'!$G:$G,$W26)</f>
        <v>1000</v>
      </c>
      <c r="AD26" s="161">
        <f>-INDEX(Parameters!$B:$B,MATCH(AD$3,Parameters!$A:$A,0))*$AC26</f>
        <v>0</v>
      </c>
      <c r="AE26" s="161">
        <f>-INDEX(Parameters!$B:$B,MATCH(AE$3,Parameters!$A:$A,0))*$AC26</f>
        <v>0</v>
      </c>
      <c r="AF26" s="148">
        <f t="shared" si="60"/>
        <v>1000</v>
      </c>
      <c r="AG26" s="151">
        <f t="shared" si="9"/>
        <v>1027.7777777777778</v>
      </c>
      <c r="AH26" s="209"/>
      <c r="AI26" s="147">
        <f>IF(Q26&lt;&gt;"nvt",MATCH($T26,'Tarieven W&amp;O'!$B:$B,0),"nvt")</f>
        <v>25</v>
      </c>
      <c r="AJ26" s="262">
        <f>IF(AI26&lt;&gt;"nvt",INDEX('Tarieven W&amp;O'!$H:$H,$AI26)+INDEX(Parameters!C:C,MATCH("NLSx "&amp;O26&amp;" "&amp;M26,Parameters!A:A,0)),0)</f>
        <v>174.45</v>
      </c>
      <c r="AK26" s="148">
        <f>IF(AI26&lt;&gt;"nvt",INDEX('Tarieven W&amp;O'!$I:$I,$AI26),0)</f>
        <v>25</v>
      </c>
      <c r="AL26" s="149">
        <f>IF(AI26&lt;&gt;"nvt",-INDEX(Parameters!$B:$B,MATCH(AL$3&amp;$M26,Parameters!$A:$A,0))*(AJ26+AK26),0)</f>
        <v>0</v>
      </c>
      <c r="AM26" s="149"/>
      <c r="AN26" s="148">
        <f t="shared" si="10"/>
        <v>199.45</v>
      </c>
      <c r="AO26" s="171">
        <f>AN26/INDEX(Parameters!$B:$B,MATCH("AfschrijftermijnVVE"&amp;12*$C26,Parameters!$A:$A,0))</f>
        <v>5.5402777777777779</v>
      </c>
      <c r="AP26" s="148">
        <f>MATCH($U26,'Tarieven W&amp;O'!$B:$B,0)</f>
        <v>13</v>
      </c>
      <c r="AQ26" s="150">
        <f>IF(AP26&lt;&gt;"nvt",INDEX('Tarieven W&amp;O'!$G:$G,$AP26),0)</f>
        <v>19.82</v>
      </c>
      <c r="AR26" s="277">
        <f>-INDEX(Parameters!$B:$B,MATCH(AR$3&amp;$M26&amp;O26,Parameters!$A:$A,0))*(AQ26)</f>
        <v>-1.9820000000000002</v>
      </c>
      <c r="AS26" s="148"/>
      <c r="AT26" s="148"/>
      <c r="AU26" s="150">
        <f t="shared" si="11"/>
        <v>17.838000000000001</v>
      </c>
      <c r="AV26" s="150">
        <f t="shared" si="12"/>
        <v>23.378277777777779</v>
      </c>
      <c r="AW26" s="202"/>
      <c r="AX26" s="150">
        <f>Parameters!$B$6*AV26</f>
        <v>0.23378277777777778</v>
      </c>
      <c r="AY26" s="202">
        <v>0</v>
      </c>
      <c r="AZ26" s="202"/>
      <c r="BA26" s="150">
        <f t="shared" si="13"/>
        <v>0.23378277777777778</v>
      </c>
      <c r="BB26" s="202"/>
      <c r="BC26" s="151">
        <f t="shared" si="14"/>
        <v>23.612060555555555</v>
      </c>
      <c r="BD26" s="209"/>
      <c r="BE26" s="140">
        <f t="shared" si="2"/>
        <v>1004.1657172222223</v>
      </c>
      <c r="BF26" s="141">
        <f t="shared" si="3"/>
        <v>0.97702610324324324</v>
      </c>
      <c r="BG26" s="142" t="b">
        <f t="shared" si="15"/>
        <v>0</v>
      </c>
      <c r="BI26" s="188" t="s">
        <v>538</v>
      </c>
      <c r="BJ26" s="189"/>
      <c r="BK26">
        <f>VLOOKUP(J26,'Tarieven ZM'!$B$7:$I$146,8,0)</f>
        <v>0</v>
      </c>
      <c r="BL26" s="203" t="str">
        <f t="shared" si="16"/>
        <v>VDSL BondingNew lineunshared</v>
      </c>
      <c r="BM26" s="282">
        <f>INDEX('inkoop ULL tbv Epacity'!$J:$J,MATCH(BL26,'inkoop ULL tbv Epacity'!$H:$H,0),0)</f>
        <v>35</v>
      </c>
      <c r="BN26" s="171">
        <f>BM26/INDEX(Parameters!$B:$B,MATCH("AfschrijftermijnVVE"&amp;12*$C26,Parameters!$A:$A,0))</f>
        <v>0.97222222222222221</v>
      </c>
      <c r="BO26" s="263">
        <f>INDEX('inkoop ULL tbv Epacity'!$I:$I,MATCH(BL26,'inkoop ULL tbv Epacity'!$H:$H,0),0)</f>
        <v>16.787259665595236</v>
      </c>
      <c r="BP26" s="263">
        <f t="shared" si="17"/>
        <v>17.759481887817458</v>
      </c>
      <c r="BQ26" s="203"/>
      <c r="BR26" s="262">
        <f>Parameters!$B$12*AG26</f>
        <v>102.77777777777779</v>
      </c>
      <c r="BS26" s="262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SUM(Distributievergoedingen!$F$12,Distributievergoedingen!$I$12,Distributievergoedingen!$L$12,Distributievergoedingen!$O$12)*AF26+SUM(Distributievergoedingen!$O$12*AA26+Distributievergoedingen!$R$12+Distributievergoedingen!$U$12+Distributievergoedingen!$X$12)/(MAX(36,12*L26))</f>
        <v>112.77777777777777</v>
      </c>
      <c r="BT26" s="150"/>
      <c r="BU26" s="150">
        <f t="shared" si="18"/>
        <v>215.55555555555554</v>
      </c>
      <c r="BW26" s="151">
        <f t="shared" si="19"/>
        <v>233.315037443373</v>
      </c>
      <c r="BY26" s="140">
        <f t="shared" si="20"/>
        <v>794.46274033440477</v>
      </c>
      <c r="BZ26" s="141">
        <f t="shared" si="21"/>
        <v>0.77299077437942088</v>
      </c>
      <c r="CA26" s="142" t="b">
        <f t="shared" si="22"/>
        <v>0</v>
      </c>
    </row>
    <row r="27" spans="1:79">
      <c r="A27" s="203" t="str">
        <f t="shared" si="57"/>
        <v>2SDSLBasicnieuwunshared</v>
      </c>
      <c r="B27" s="203" t="str">
        <f t="shared" si="5"/>
        <v>2SDSLBasicnieuwunshared</v>
      </c>
      <c r="C27" s="438">
        <v>2</v>
      </c>
      <c r="D27" s="438" t="s">
        <v>64</v>
      </c>
      <c r="E27" s="438" t="s">
        <v>44</v>
      </c>
      <c r="F27" s="438"/>
      <c r="G27" s="438"/>
      <c r="H27" s="438" t="s">
        <v>125</v>
      </c>
      <c r="I27" s="438" t="s">
        <v>128</v>
      </c>
      <c r="J27" s="274" t="str">
        <f t="shared" si="58"/>
        <v>SDSLnieuwunshared</v>
      </c>
      <c r="L27" s="160">
        <f>INDEX(Mapping!$J:$J,MATCH(C$3&amp;C27,Mapping!$B:$B,0))</f>
        <v>1</v>
      </c>
      <c r="M27" s="148" t="str">
        <f>INDEX(Mapping!$H:$H,MATCH($E27,Mapping!$B:$B,0))</f>
        <v>WBA CM Ethernet</v>
      </c>
      <c r="N27" s="179" t="str">
        <f>INDEX(Mapping!$I:$I,MATCH($D27&amp;$I27,Mapping!$B:$B,0))</f>
        <v>SDSL</v>
      </c>
      <c r="O27" s="179" t="str">
        <f>INDEX(Mapping!$I:$I,MATCH($D27,Mapping!$B:$B,0))</f>
        <v>SDSL</v>
      </c>
      <c r="P27" s="179"/>
      <c r="Q27" s="179" t="str">
        <f>INDEX(Mapping!$H:$H,MATCH($H27,Mapping!$B:$B,0))</f>
        <v>New line</v>
      </c>
      <c r="R27" s="179" t="s">
        <v>115</v>
      </c>
      <c r="S27" s="148" t="str">
        <f>INDEX(Mapping!$J:$J,MATCH($D27&amp;$I27,Mapping!$B:$B,0))</f>
        <v>unshared</v>
      </c>
      <c r="T27" s="148" t="str">
        <f t="shared" si="0"/>
        <v>WBA CM EthernetSDSLNew line</v>
      </c>
      <c r="U27" s="142" t="str">
        <f t="shared" si="1"/>
        <v>WBA CM EthernetSDSLunshared</v>
      </c>
      <c r="W27" s="160">
        <f>MATCH($J27,'Tarieven ZM'!$B:$B,0)</f>
        <v>100</v>
      </c>
      <c r="X27" s="148">
        <f>INDEX('Tarieven ZM'!$H:$H,$W27)</f>
        <v>1000</v>
      </c>
      <c r="Y27" s="161">
        <f>-INDEX(Parameters!$B:$B,MATCH(Y$3,Parameters!$A:$A,0))*$X27</f>
        <v>0</v>
      </c>
      <c r="Z27" s="149">
        <f>-INDEX(Parameters!$B:$B,MATCH(Z$3,Parameters!$A:$A,0))*$X27</f>
        <v>0</v>
      </c>
      <c r="AA27" s="148">
        <f t="shared" si="59"/>
        <v>1000</v>
      </c>
      <c r="AB27" s="148">
        <f>AA27/INDEX(Parameters!$B:$B,MATCH("AfschrijftermijnVVE"&amp;12*$C27,Parameters!$A:$A,0))</f>
        <v>27.777777777777779</v>
      </c>
      <c r="AC27" s="148">
        <f>INDEX('Tarieven ZM'!$G:$G,$W27)</f>
        <v>1000</v>
      </c>
      <c r="AD27" s="161">
        <f>-INDEX(Parameters!$B:$B,MATCH(AD$3,Parameters!$A:$A,0))*$AC27</f>
        <v>0</v>
      </c>
      <c r="AE27" s="161">
        <f>-INDEX(Parameters!$B:$B,MATCH(AE$3,Parameters!$A:$A,0))*$AC27</f>
        <v>0</v>
      </c>
      <c r="AF27" s="148">
        <f t="shared" si="60"/>
        <v>1000</v>
      </c>
      <c r="AG27" s="151">
        <f t="shared" si="9"/>
        <v>1027.7777777777778</v>
      </c>
      <c r="AH27" s="209"/>
      <c r="AI27" s="147">
        <f>IF(Q27&lt;&gt;"nvt",MATCH($T27,'Tarieven W&amp;O'!$B:$B,0),"nvt")</f>
        <v>18</v>
      </c>
      <c r="AJ27" s="262">
        <f>IF(AI27&lt;&gt;"nvt",INDEX('Tarieven W&amp;O'!$H:$H,$AI27)+INDEX(Parameters!C:C,MATCH("NLSx "&amp;O27&amp;" "&amp;M27,Parameters!A:A,0)),0)</f>
        <v>65</v>
      </c>
      <c r="AK27" s="148">
        <f>IF(AI27&lt;&gt;"nvt",INDEX('Tarieven W&amp;O'!$I:$I,$AI27),0)</f>
        <v>25</v>
      </c>
      <c r="AL27" s="149">
        <f>IF(AI27&lt;&gt;"nvt",-INDEX(Parameters!$B:$B,MATCH(AL$3&amp;$M27,Parameters!$A:$A,0))*(AJ27+AK27),0)</f>
        <v>0</v>
      </c>
      <c r="AM27" s="149"/>
      <c r="AN27" s="148">
        <f t="shared" si="10"/>
        <v>90</v>
      </c>
      <c r="AO27" s="171">
        <f>AN27/INDEX(Parameters!$B:$B,MATCH("AfschrijftermijnVVE"&amp;12*$C27,Parameters!$A:$A,0))</f>
        <v>2.5</v>
      </c>
      <c r="AP27" s="148">
        <f>MATCH($U27,'Tarieven W&amp;O'!$B:$B,0)</f>
        <v>10</v>
      </c>
      <c r="AQ27" s="150">
        <f>IF(AP27&lt;&gt;"nvt",INDEX('Tarieven W&amp;O'!$G:$G,$AP27),0)</f>
        <v>33.729999999999997</v>
      </c>
      <c r="AR27" s="277">
        <f>-INDEX(Parameters!$B:$B,MATCH(AR$3&amp;$M27&amp;O27,Parameters!$A:$A,0))*(AQ27)</f>
        <v>-3.3729999999999998</v>
      </c>
      <c r="AS27" s="148"/>
      <c r="AT27" s="148"/>
      <c r="AU27" s="150">
        <f t="shared" si="11"/>
        <v>30.356999999999996</v>
      </c>
      <c r="AV27" s="150">
        <f t="shared" si="12"/>
        <v>32.856999999999999</v>
      </c>
      <c r="AW27" s="202"/>
      <c r="AX27" s="150">
        <f>Parameters!$B$6*AV27</f>
        <v>0.32856999999999997</v>
      </c>
      <c r="AY27" s="202">
        <v>0</v>
      </c>
      <c r="AZ27" s="202"/>
      <c r="BA27" s="150">
        <f t="shared" si="13"/>
        <v>0.32856999999999997</v>
      </c>
      <c r="BB27" s="202"/>
      <c r="BC27" s="151">
        <f t="shared" si="14"/>
        <v>33.185569999999998</v>
      </c>
      <c r="BD27" s="209"/>
      <c r="BE27" s="140">
        <f t="shared" si="2"/>
        <v>994.59220777777784</v>
      </c>
      <c r="BF27" s="141">
        <f t="shared" si="3"/>
        <v>0.9677113372972973</v>
      </c>
      <c r="BG27" s="142" t="b">
        <f t="shared" si="15"/>
        <v>0</v>
      </c>
      <c r="BI27" s="188" t="s">
        <v>538</v>
      </c>
      <c r="BJ27" s="189"/>
      <c r="BK27">
        <f>VLOOKUP(J27,'Tarieven ZM'!$B$7:$I$146,8,0)</f>
        <v>0</v>
      </c>
      <c r="BL27" s="203" t="str">
        <f t="shared" si="16"/>
        <v>SDSLNew lineunshared</v>
      </c>
      <c r="BM27" s="282">
        <f>INDEX('inkoop ULL tbv Epacity'!$J:$J,MATCH(BL27,'inkoop ULL tbv Epacity'!$H:$H,0),0)</f>
        <v>76.960000000000008</v>
      </c>
      <c r="BN27" s="171">
        <f>BM27/INDEX(Parameters!$B:$B,MATCH("AfschrijftermijnVVE"&amp;12*$C27,Parameters!$A:$A,0))</f>
        <v>2.137777777777778</v>
      </c>
      <c r="BO27" s="263">
        <f>INDEX('inkoop ULL tbv Epacity'!$I:$I,MATCH(BL27,'inkoop ULL tbv Epacity'!$H:$H,0),0)</f>
        <v>9.3855844444444436</v>
      </c>
      <c r="BP27" s="263">
        <f t="shared" si="17"/>
        <v>11.523362222222222</v>
      </c>
      <c r="BQ27" s="203"/>
      <c r="BR27" s="262">
        <f>Parameters!$B$12*AG27</f>
        <v>102.77777777777779</v>
      </c>
      <c r="BS27" s="262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SUM(Distributievergoedingen!$F$12,Distributievergoedingen!$I$12,Distributievergoedingen!$L$12,Distributievergoedingen!$O$12)*AF27+SUM(Distributievergoedingen!$O$12*AA27+Distributievergoedingen!$R$12+Distributievergoedingen!$U$12+Distributievergoedingen!$X$12)/(MAX(36,12*L27))</f>
        <v>112.77777777777777</v>
      </c>
      <c r="BT27" s="150"/>
      <c r="BU27" s="150">
        <f t="shared" si="18"/>
        <v>215.55555555555554</v>
      </c>
      <c r="BW27" s="151">
        <f t="shared" si="19"/>
        <v>227.07891777777778</v>
      </c>
      <c r="BY27" s="140">
        <f t="shared" si="20"/>
        <v>800.69886000000008</v>
      </c>
      <c r="BZ27" s="141">
        <f t="shared" si="21"/>
        <v>0.77905835027027026</v>
      </c>
      <c r="CA27" s="142" t="b">
        <f t="shared" si="22"/>
        <v>0</v>
      </c>
    </row>
    <row r="28" spans="1:79">
      <c r="A28" s="203" t="str">
        <f t="shared" si="57"/>
        <v>2SA IPVPNEntrynieuwunshared</v>
      </c>
      <c r="B28" s="203" t="str">
        <f t="shared" si="5"/>
        <v>2SA IPVPNEntrynieuwunshared</v>
      </c>
      <c r="C28" s="438">
        <v>2</v>
      </c>
      <c r="D28" s="438" t="s">
        <v>93</v>
      </c>
      <c r="E28" s="438" t="s">
        <v>78</v>
      </c>
      <c r="F28" s="438"/>
      <c r="G28" s="438"/>
      <c r="H28" s="438" t="s">
        <v>125</v>
      </c>
      <c r="I28" s="438" t="s">
        <v>128</v>
      </c>
      <c r="J28" s="274" t="str">
        <f t="shared" si="58"/>
        <v>SA IPVPNnieuwunshared</v>
      </c>
      <c r="L28" s="160">
        <f>INDEX(Mapping!$J:$J,MATCH(C$3&amp;C28,Mapping!$B:$B,0))</f>
        <v>1</v>
      </c>
      <c r="M28" s="148" t="str">
        <f>INDEX(Mapping!$H:$H,MATCH($E28,Mapping!$B:$B,0))</f>
        <v>WBA CM Ethernet</v>
      </c>
      <c r="N28" s="179" t="str">
        <f>INDEX(Mapping!$I:$I,MATCH($D28&amp;$I28,Mapping!$B:$B,0))</f>
        <v>FttH</v>
      </c>
      <c r="O28" s="179" t="str">
        <f>INDEX(Mapping!$I:$I,MATCH($D28,Mapping!$B:$B,0))</f>
        <v>FttH</v>
      </c>
      <c r="P28" s="179"/>
      <c r="Q28" s="179" t="str">
        <f>INDEX(Mapping!$H:$H,MATCH($H28,Mapping!$B:$B,0))</f>
        <v>New line</v>
      </c>
      <c r="R28" s="179" t="s">
        <v>115</v>
      </c>
      <c r="S28" s="148" t="str">
        <f>INDEX(Mapping!$J:$J,MATCH($D28&amp;$I28,Mapping!$B:$B,0))</f>
        <v>unshared</v>
      </c>
      <c r="T28" s="148" t="str">
        <f t="shared" si="0"/>
        <v>WBA CM EthernetFttHNew line</v>
      </c>
      <c r="U28" s="142" t="str">
        <f t="shared" si="1"/>
        <v>WBA CM EthernetFttHunshared</v>
      </c>
      <c r="W28" s="160">
        <f>MATCH($J28,'Tarieven ZM'!$B:$B,0)</f>
        <v>101</v>
      </c>
      <c r="X28" s="148">
        <f>INDEX('Tarieven ZM'!$H:$H,$W28)</f>
        <v>1000</v>
      </c>
      <c r="Y28" s="161">
        <f>-INDEX(Parameters!$B:$B,MATCH(Y$3,Parameters!$A:$A,0))*$X28</f>
        <v>0</v>
      </c>
      <c r="Z28" s="149">
        <f>-INDEX(Parameters!$B:$B,MATCH(Z$3,Parameters!$A:$A,0))*$X28</f>
        <v>0</v>
      </c>
      <c r="AA28" s="148">
        <f t="shared" si="59"/>
        <v>1000</v>
      </c>
      <c r="AB28" s="148">
        <f>AA28/INDEX(Parameters!$B:$B,MATCH("AfschrijftermijnVVE"&amp;12*$C28,Parameters!$A:$A,0))</f>
        <v>27.777777777777779</v>
      </c>
      <c r="AC28" s="148">
        <f>INDEX('Tarieven ZM'!$G:$G,$W28)</f>
        <v>1000</v>
      </c>
      <c r="AD28" s="161">
        <f>-INDEX(Parameters!$B:$B,MATCH(AD$3,Parameters!$A:$A,0))*$AC28</f>
        <v>0</v>
      </c>
      <c r="AE28" s="161">
        <f>-INDEX(Parameters!$B:$B,MATCH(AE$3,Parameters!$A:$A,0))*$AC28</f>
        <v>0</v>
      </c>
      <c r="AF28" s="148">
        <f t="shared" si="60"/>
        <v>1000</v>
      </c>
      <c r="AG28" s="151">
        <f t="shared" si="9"/>
        <v>1027.7777777777778</v>
      </c>
      <c r="AH28" s="209"/>
      <c r="AI28" s="147">
        <f>IF(Q28&lt;&gt;"nvt",MATCH($T28,'Tarieven W&amp;O'!$B:$B,0),"nvt")</f>
        <v>22</v>
      </c>
      <c r="AJ28" s="262">
        <f>IF(AI28&lt;&gt;"nvt",INDEX('Tarieven W&amp;O'!$H:$H,$AI28)+INDEX(Parameters!C:C,MATCH("NLSx "&amp;O28&amp;" "&amp;M28,Parameters!A:A,0)),0)</f>
        <v>25</v>
      </c>
      <c r="AK28" s="148">
        <f>IF(AI28&lt;&gt;"nvt",INDEX('Tarieven W&amp;O'!$I:$I,$AI28),0)</f>
        <v>25</v>
      </c>
      <c r="AL28" s="149">
        <f>IF(AI28&lt;&gt;"nvt",-INDEX(Parameters!$B:$B,MATCH(AL$3&amp;$M28,Parameters!$A:$A,0))*(AJ28+AK28),0)</f>
        <v>0</v>
      </c>
      <c r="AM28" s="149"/>
      <c r="AN28" s="148">
        <f t="shared" si="10"/>
        <v>50</v>
      </c>
      <c r="AO28" s="171">
        <f>AN28/INDEX(Parameters!$B:$B,MATCH("AfschrijftermijnVVE"&amp;12*$C28,Parameters!$A:$A,0))</f>
        <v>1.3888888888888888</v>
      </c>
      <c r="AP28" s="148">
        <f>MATCH($U28,'Tarieven W&amp;O'!$B:$B,0)</f>
        <v>11</v>
      </c>
      <c r="AQ28" s="150">
        <f>IF(AP28&lt;&gt;"nvt",INDEX('Tarieven W&amp;O'!$G:$G,$AP28),0)</f>
        <v>19.13</v>
      </c>
      <c r="AR28" s="277">
        <f>-INDEX(Parameters!$B:$B,MATCH(AR$3&amp;$M28&amp;O28,Parameters!$A:$A,0))*(AQ28)</f>
        <v>0</v>
      </c>
      <c r="AS28" s="148"/>
      <c r="AT28" s="148"/>
      <c r="AU28" s="150">
        <f t="shared" si="11"/>
        <v>19.13</v>
      </c>
      <c r="AV28" s="150">
        <f t="shared" si="12"/>
        <v>20.518888888888888</v>
      </c>
      <c r="AW28" s="202"/>
      <c r="AX28" s="150">
        <f>Parameters!$B$6*AV28</f>
        <v>0.20518888888888889</v>
      </c>
      <c r="AY28" s="202">
        <v>0</v>
      </c>
      <c r="AZ28" s="202"/>
      <c r="BA28" s="150">
        <f t="shared" si="13"/>
        <v>0.20518888888888889</v>
      </c>
      <c r="BB28" s="202"/>
      <c r="BC28" s="151">
        <f t="shared" si="14"/>
        <v>20.724077777777776</v>
      </c>
      <c r="BD28" s="209"/>
      <c r="BE28" s="140">
        <f t="shared" si="2"/>
        <v>1007.0537</v>
      </c>
      <c r="BF28" s="141">
        <f t="shared" si="3"/>
        <v>0.97983603243243245</v>
      </c>
      <c r="BG28" s="142" t="b">
        <f t="shared" si="15"/>
        <v>0</v>
      </c>
      <c r="BI28" s="188" t="s">
        <v>538</v>
      </c>
      <c r="BJ28" s="189"/>
      <c r="BK28">
        <f>VLOOKUP(J28,'Tarieven ZM'!$B$7:$I$146,8,0)</f>
        <v>0</v>
      </c>
      <c r="BL28" s="203" t="str">
        <f t="shared" si="16"/>
        <v>FttHNew lineunshared</v>
      </c>
      <c r="BM28" s="282">
        <f>INDEX('inkoop ULL tbv Epacity'!$J:$J,MATCH(BL28,'inkoop ULL tbv Epacity'!$H:$H,0),0)</f>
        <v>114.6</v>
      </c>
      <c r="BN28" s="171">
        <f>BM28/INDEX(Parameters!$B:$B,MATCH("AfschrijftermijnVVE"&amp;12*$C28,Parameters!$A:$A,0))</f>
        <v>3.1833333333333331</v>
      </c>
      <c r="BO28" s="263">
        <f>INDEX('inkoop ULL tbv Epacity'!$I:$I,MATCH(BL28,'inkoop ULL tbv Epacity'!$H:$H,0),0)</f>
        <v>18.2732188395</v>
      </c>
      <c r="BP28" s="263">
        <f t="shared" si="17"/>
        <v>21.456552172833334</v>
      </c>
      <c r="BQ28" s="203"/>
      <c r="BR28" s="262">
        <f>Parameters!$B$12*AG28</f>
        <v>102.77777777777779</v>
      </c>
      <c r="BS28" s="262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SUM(Distributievergoedingen!$F$12,Distributievergoedingen!$I$12,Distributievergoedingen!$L$12,Distributievergoedingen!$O$12)*AF28+SUM(Distributievergoedingen!$O$12*AA28+Distributievergoedingen!$R$12+Distributievergoedingen!$U$12+Distributievergoedingen!$X$12)/(MAX(36,12*L28))</f>
        <v>112.77777777777777</v>
      </c>
      <c r="BT28" s="150"/>
      <c r="BU28" s="150">
        <f t="shared" si="18"/>
        <v>215.55555555555554</v>
      </c>
      <c r="BW28" s="151">
        <f t="shared" si="19"/>
        <v>237.01210772838888</v>
      </c>
      <c r="BY28" s="140">
        <f t="shared" si="20"/>
        <v>790.76567004938897</v>
      </c>
      <c r="BZ28" s="141">
        <f t="shared" si="21"/>
        <v>0.76939362491291896</v>
      </c>
      <c r="CA28" s="142" t="b">
        <f t="shared" si="22"/>
        <v>0</v>
      </c>
    </row>
    <row r="29" spans="1:79">
      <c r="A29" s="203" t="str">
        <f t="shared" si="57"/>
        <v>2VDSLEntrybestaandunshared</v>
      </c>
      <c r="B29" s="203" t="str">
        <f t="shared" si="5"/>
        <v>2VDSLEntrybestaandunshared</v>
      </c>
      <c r="C29" s="438">
        <v>2</v>
      </c>
      <c r="D29" s="438" t="s">
        <v>77</v>
      </c>
      <c r="E29" s="438" t="s">
        <v>78</v>
      </c>
      <c r="F29" s="438"/>
      <c r="G29" s="438"/>
      <c r="H29" s="438" t="s">
        <v>124</v>
      </c>
      <c r="I29" s="438" t="s">
        <v>128</v>
      </c>
      <c r="J29" s="274" t="str">
        <f t="shared" si="58"/>
        <v>VDSLbestaandunshared</v>
      </c>
      <c r="L29" s="160">
        <f>INDEX(Mapping!$J:$J,MATCH(C$3&amp;C29,Mapping!$B:$B,0))</f>
        <v>1</v>
      </c>
      <c r="M29" s="148" t="str">
        <f>INDEX(Mapping!$H:$H,MATCH($E29,Mapping!$B:$B,0))</f>
        <v>WBA CM Ethernet</v>
      </c>
      <c r="N29" s="179" t="str">
        <f>INDEX(Mapping!$I:$I,MATCH($D29&amp;$I29,Mapping!$B:$B,0))</f>
        <v>VDSL</v>
      </c>
      <c r="O29" s="179" t="str">
        <f>INDEX(Mapping!$I:$I,MATCH($D29,Mapping!$B:$B,0))</f>
        <v>VDSL</v>
      </c>
      <c r="P29" s="179"/>
      <c r="Q29" s="179" t="str">
        <f>INDEX(Mapping!$H:$H,MATCH($H29,Mapping!$B:$B,0))</f>
        <v>nvt</v>
      </c>
      <c r="R29" s="179" t="s">
        <v>115</v>
      </c>
      <c r="S29" s="148" t="str">
        <f>INDEX(Mapping!$J:$J,MATCH($D29&amp;$I29,Mapping!$B:$B,0))</f>
        <v>unshared</v>
      </c>
      <c r="T29" s="148" t="str">
        <f t="shared" si="0"/>
        <v>WBA CM EthernetVDSLnvt</v>
      </c>
      <c r="U29" s="142" t="str">
        <f t="shared" si="1"/>
        <v>WBA CM EthernetVDSLunshared</v>
      </c>
      <c r="W29" s="160">
        <f>MATCH($J29,'Tarieven ZM'!$B:$B,0)</f>
        <v>102</v>
      </c>
      <c r="X29" s="148">
        <f>INDEX('Tarieven ZM'!$H:$H,$W29)</f>
        <v>1000</v>
      </c>
      <c r="Y29" s="161">
        <f>-INDEX(Parameters!$B:$B,MATCH(Y$3,Parameters!$A:$A,0))*$X29</f>
        <v>0</v>
      </c>
      <c r="Z29" s="149">
        <f>-INDEX(Parameters!$B:$B,MATCH(Z$3,Parameters!$A:$A,0))*$X29</f>
        <v>0</v>
      </c>
      <c r="AA29" s="148">
        <f t="shared" si="59"/>
        <v>1000</v>
      </c>
      <c r="AB29" s="148">
        <f>AA29/INDEX(Parameters!$B:$B,MATCH("AfschrijftermijnVVE"&amp;12*$C29,Parameters!$A:$A,0))</f>
        <v>27.777777777777779</v>
      </c>
      <c r="AC29" s="148">
        <f>INDEX('Tarieven ZM'!$G:$G,$W29)</f>
        <v>1000</v>
      </c>
      <c r="AD29" s="161">
        <f>-INDEX(Parameters!$B:$B,MATCH(AD$3,Parameters!$A:$A,0))*$AC29</f>
        <v>0</v>
      </c>
      <c r="AE29" s="161">
        <f>-INDEX(Parameters!$B:$B,MATCH(AE$3,Parameters!$A:$A,0))*$AC29</f>
        <v>0</v>
      </c>
      <c r="AF29" s="148">
        <f t="shared" si="60"/>
        <v>1000</v>
      </c>
      <c r="AG29" s="151">
        <f t="shared" si="9"/>
        <v>1027.7777777777778</v>
      </c>
      <c r="AH29" s="209"/>
      <c r="AI29" s="147" t="str">
        <f>IF(Q29&lt;&gt;"nvt",MATCH($T29,'Tarieven W&amp;O'!$B:$B,0),"nvt")</f>
        <v>nvt</v>
      </c>
      <c r="AJ29" s="262">
        <f>IF(AI29&lt;&gt;"nvt",INDEX('Tarieven W&amp;O'!$H:$H,$AI29)+INDEX(Parameters!C:C,MATCH("NLSx "&amp;O29&amp;" "&amp;M29,Parameters!A:A,0)),0)</f>
        <v>0</v>
      </c>
      <c r="AK29" s="148">
        <f>IF(AI29&lt;&gt;"nvt",INDEX('Tarieven W&amp;O'!$I:$I,$AI29),0)</f>
        <v>0</v>
      </c>
      <c r="AL29" s="149">
        <f>IF(AI29&lt;&gt;"nvt",-INDEX(Parameters!$B:$B,MATCH(AL$3&amp;$M29,Parameters!$A:$A,0))*(AJ29+AK29),0)</f>
        <v>0</v>
      </c>
      <c r="AM29" s="149"/>
      <c r="AN29" s="148">
        <f t="shared" si="10"/>
        <v>0</v>
      </c>
      <c r="AO29" s="171">
        <f>AN29/INDEX(Parameters!$B:$B,MATCH("AfschrijftermijnVVE"&amp;12*$C29,Parameters!$A:$A,0))</f>
        <v>0</v>
      </c>
      <c r="AP29" s="148">
        <f>MATCH($U29,'Tarieven W&amp;O'!$B:$B,0)</f>
        <v>9</v>
      </c>
      <c r="AQ29" s="150">
        <f>IF(AP29&lt;&gt;"nvt",INDEX('Tarieven W&amp;O'!$G:$G,$AP29),0)</f>
        <v>13.09</v>
      </c>
      <c r="AR29" s="277">
        <f>-INDEX(Parameters!$B:$B,MATCH(AR$3&amp;$M29&amp;O29,Parameters!$A:$A,0))*(AQ29)</f>
        <v>-1.3090000000000002</v>
      </c>
      <c r="AS29" s="148"/>
      <c r="AT29" s="148"/>
      <c r="AU29" s="150">
        <f t="shared" si="11"/>
        <v>11.780999999999999</v>
      </c>
      <c r="AV29" s="150">
        <f t="shared" si="12"/>
        <v>11.780999999999999</v>
      </c>
      <c r="AW29" s="202"/>
      <c r="AX29" s="150">
        <f>Parameters!$B$6*AV29</f>
        <v>0.11780999999999998</v>
      </c>
      <c r="AY29" s="202">
        <v>0</v>
      </c>
      <c r="AZ29" s="202"/>
      <c r="BA29" s="150">
        <f t="shared" si="13"/>
        <v>0.11780999999999998</v>
      </c>
      <c r="BB29" s="202"/>
      <c r="BC29" s="151">
        <f t="shared" si="14"/>
        <v>11.898809999999999</v>
      </c>
      <c r="BD29" s="209"/>
      <c r="BE29" s="140">
        <f t="shared" si="2"/>
        <v>1015.8789677777778</v>
      </c>
      <c r="BF29" s="141">
        <f t="shared" si="3"/>
        <v>0.98842277945945944</v>
      </c>
      <c r="BG29" s="142" t="b">
        <f t="shared" si="15"/>
        <v>0</v>
      </c>
      <c r="BI29" s="188" t="s">
        <v>538</v>
      </c>
      <c r="BJ29" s="189"/>
      <c r="BK29">
        <f>VLOOKUP(J29,'Tarieven ZM'!$B$7:$I$146,8,0)</f>
        <v>0</v>
      </c>
      <c r="BL29" s="203" t="str">
        <f t="shared" si="16"/>
        <v>VDSLnvtunshared</v>
      </c>
      <c r="BM29" s="282">
        <f>INDEX('inkoop ULL tbv Epacity'!$J:$J,MATCH(BL29,'inkoop ULL tbv Epacity'!$H:$H,0),0)</f>
        <v>35</v>
      </c>
      <c r="BN29" s="171">
        <f>BM29/INDEX(Parameters!$B:$B,MATCH("AfschrijftermijnVVE"&amp;12*$C29,Parameters!$A:$A,0))</f>
        <v>0.97222222222222221</v>
      </c>
      <c r="BO29" s="263">
        <f>INDEX('inkoop ULL tbv Epacity'!$I:$I,MATCH(BL29,'inkoop ULL tbv Epacity'!$H:$H,0),0)</f>
        <v>12.501783475119046</v>
      </c>
      <c r="BP29" s="263">
        <f t="shared" si="17"/>
        <v>13.474005697341267</v>
      </c>
      <c r="BQ29" s="203"/>
      <c r="BR29" s="262">
        <f>Parameters!$B$12*AG29</f>
        <v>102.77777777777779</v>
      </c>
      <c r="BS29" s="262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SUM(Distributievergoedingen!$F$12,Distributievergoedingen!$I$12,Distributievergoedingen!$L$12,Distributievergoedingen!$O$12)*AF29+SUM(Distributievergoedingen!$O$12*AA29+Distributievergoedingen!$R$12+Distributievergoedingen!$U$12+Distributievergoedingen!$X$12)/(MAX(36,12*L29))</f>
        <v>112.77777777777777</v>
      </c>
      <c r="BT29" s="150"/>
      <c r="BU29" s="150">
        <f t="shared" si="18"/>
        <v>215.55555555555554</v>
      </c>
      <c r="BW29" s="151">
        <f t="shared" si="19"/>
        <v>229.0295612528968</v>
      </c>
      <c r="BY29" s="140">
        <f t="shared" si="20"/>
        <v>798.74821652488106</v>
      </c>
      <c r="BZ29" s="141">
        <f t="shared" si="21"/>
        <v>0.77716042688907339</v>
      </c>
      <c r="CA29" s="142" t="b">
        <f t="shared" si="22"/>
        <v>0</v>
      </c>
    </row>
    <row r="30" spans="1:79">
      <c r="A30" s="203" t="str">
        <f t="shared" si="57"/>
        <v>2ADSLBasicbestaandunshared</v>
      </c>
      <c r="B30" s="203" t="str">
        <f t="shared" si="5"/>
        <v>2ADSLBasicbestaandunshared</v>
      </c>
      <c r="C30" s="438">
        <v>2</v>
      </c>
      <c r="D30" s="438" t="s">
        <v>42</v>
      </c>
      <c r="E30" s="438" t="s">
        <v>44</v>
      </c>
      <c r="F30" s="438"/>
      <c r="G30" s="438"/>
      <c r="H30" s="438" t="s">
        <v>124</v>
      </c>
      <c r="I30" s="438" t="s">
        <v>128</v>
      </c>
      <c r="J30" s="274" t="str">
        <f t="shared" si="58"/>
        <v>ADSLbestaandunshared</v>
      </c>
      <c r="L30" s="160">
        <f>INDEX(Mapping!$J:$J,MATCH(C$3&amp;C30,Mapping!$B:$B,0))</f>
        <v>1</v>
      </c>
      <c r="M30" s="148" t="str">
        <f>INDEX(Mapping!$H:$H,MATCH($E30,Mapping!$B:$B,0))</f>
        <v>WBA CM Ethernet</v>
      </c>
      <c r="N30" s="179" t="str">
        <f>INDEX(Mapping!$I:$I,MATCH($D30&amp;$I30,Mapping!$B:$B,0))</f>
        <v>ADSL</v>
      </c>
      <c r="O30" s="179" t="str">
        <f>INDEX(Mapping!$I:$I,MATCH($D30,Mapping!$B:$B,0))</f>
        <v>ADSL</v>
      </c>
      <c r="P30" s="179"/>
      <c r="Q30" s="179" t="str">
        <f>INDEX(Mapping!$H:$H,MATCH($H30,Mapping!$B:$B,0))</f>
        <v>nvt</v>
      </c>
      <c r="R30" s="179" t="s">
        <v>115</v>
      </c>
      <c r="S30" s="148" t="str">
        <f>INDEX(Mapping!$J:$J,MATCH($D30&amp;$I30,Mapping!$B:$B,0))</f>
        <v>unshared</v>
      </c>
      <c r="T30" s="148" t="str">
        <f t="shared" si="0"/>
        <v>WBA CM EthernetADSLnvt</v>
      </c>
      <c r="U30" s="142" t="str">
        <f t="shared" si="1"/>
        <v>WBA CM EthernetADSLunshared</v>
      </c>
      <c r="W30" s="160">
        <f>MATCH($J30,'Tarieven ZM'!$B:$B,0)</f>
        <v>103</v>
      </c>
      <c r="X30" s="148">
        <f>INDEX('Tarieven ZM'!$H:$H,$W30)</f>
        <v>1000</v>
      </c>
      <c r="Y30" s="161">
        <f>-INDEX(Parameters!$B:$B,MATCH(Y$3,Parameters!$A:$A,0))*$X30</f>
        <v>0</v>
      </c>
      <c r="Z30" s="149">
        <f>-INDEX(Parameters!$B:$B,MATCH(Z$3,Parameters!$A:$A,0))*$X30</f>
        <v>0</v>
      </c>
      <c r="AA30" s="148">
        <f t="shared" si="59"/>
        <v>1000</v>
      </c>
      <c r="AB30" s="148">
        <f>AA30/INDEX(Parameters!$B:$B,MATCH("AfschrijftermijnVVE"&amp;12*$C30,Parameters!$A:$A,0))</f>
        <v>27.777777777777779</v>
      </c>
      <c r="AC30" s="148">
        <f>INDEX('Tarieven ZM'!$G:$G,$W30)</f>
        <v>1000</v>
      </c>
      <c r="AD30" s="161">
        <f>-INDEX(Parameters!$B:$B,MATCH(AD$3,Parameters!$A:$A,0))*$AC30</f>
        <v>0</v>
      </c>
      <c r="AE30" s="161">
        <f>-INDEX(Parameters!$B:$B,MATCH(AE$3,Parameters!$A:$A,0))*$AC30</f>
        <v>0</v>
      </c>
      <c r="AF30" s="148">
        <f t="shared" si="60"/>
        <v>1000</v>
      </c>
      <c r="AG30" s="151">
        <f t="shared" si="9"/>
        <v>1027.7777777777778</v>
      </c>
      <c r="AH30" s="209"/>
      <c r="AI30" s="147" t="str">
        <f>IF(Q30&lt;&gt;"nvt",MATCH($T30,'Tarieven W&amp;O'!$B:$B,0),"nvt")</f>
        <v>nvt</v>
      </c>
      <c r="AJ30" s="262">
        <f>IF(AI30&lt;&gt;"nvt",INDEX('Tarieven W&amp;O'!$H:$H,$AI30)+INDEX(Parameters!C:C,MATCH("NLSx "&amp;O30&amp;" "&amp;M30,Parameters!A:A,0)),0)</f>
        <v>0</v>
      </c>
      <c r="AK30" s="148">
        <f>IF(AI30&lt;&gt;"nvt",INDEX('Tarieven W&amp;O'!$I:$I,$AI30),0)</f>
        <v>0</v>
      </c>
      <c r="AL30" s="149">
        <f>IF(AI30&lt;&gt;"nvt",-INDEX(Parameters!$B:$B,MATCH(AL$3&amp;$M30,Parameters!$A:$A,0))*(AJ30+AK30),0)</f>
        <v>0</v>
      </c>
      <c r="AM30" s="149"/>
      <c r="AN30" s="148">
        <f t="shared" si="10"/>
        <v>0</v>
      </c>
      <c r="AO30" s="171">
        <f>AN30/INDEX(Parameters!$B:$B,MATCH("AfschrijftermijnVVE"&amp;12*$C30,Parameters!$A:$A,0))</f>
        <v>0</v>
      </c>
      <c r="AP30" s="148">
        <f>MATCH($U30,'Tarieven W&amp;O'!$B:$B,0)</f>
        <v>8</v>
      </c>
      <c r="AQ30" s="150">
        <f>IF(AP30&lt;&gt;"nvt",INDEX('Tarieven W&amp;O'!$G:$G,$AP30),0)</f>
        <v>13.09</v>
      </c>
      <c r="AR30" s="277">
        <f>-INDEX(Parameters!$B:$B,MATCH(AR$3&amp;$M30&amp;O30,Parameters!$A:$A,0))*(AQ30)</f>
        <v>-1.3090000000000002</v>
      </c>
      <c r="AS30" s="148"/>
      <c r="AT30" s="148"/>
      <c r="AU30" s="150">
        <f t="shared" si="11"/>
        <v>11.780999999999999</v>
      </c>
      <c r="AV30" s="150">
        <f t="shared" si="12"/>
        <v>11.780999999999999</v>
      </c>
      <c r="AW30" s="202"/>
      <c r="AX30" s="150">
        <f>Parameters!$B$6*AV30</f>
        <v>0.11780999999999998</v>
      </c>
      <c r="AY30" s="202">
        <v>0</v>
      </c>
      <c r="AZ30" s="202"/>
      <c r="BA30" s="150">
        <f t="shared" si="13"/>
        <v>0.11780999999999998</v>
      </c>
      <c r="BB30" s="202"/>
      <c r="BC30" s="151">
        <f t="shared" si="14"/>
        <v>11.898809999999999</v>
      </c>
      <c r="BD30" s="209"/>
      <c r="BE30" s="140">
        <f t="shared" si="2"/>
        <v>1015.8789677777778</v>
      </c>
      <c r="BF30" s="141">
        <f t="shared" si="3"/>
        <v>0.98842277945945944</v>
      </c>
      <c r="BG30" s="142" t="b">
        <f t="shared" si="15"/>
        <v>0</v>
      </c>
      <c r="BI30" s="188" t="s">
        <v>538</v>
      </c>
      <c r="BJ30" s="189"/>
      <c r="BK30">
        <f>VLOOKUP(J30,'Tarieven ZM'!$B$7:$I$146,8,0)</f>
        <v>0</v>
      </c>
      <c r="BL30" s="203" t="str">
        <f t="shared" si="16"/>
        <v>ADSLnvtunshared</v>
      </c>
      <c r="BM30" s="282">
        <f>INDEX('inkoop ULL tbv Epacity'!$J:$J,MATCH(BL30,'inkoop ULL tbv Epacity'!$H:$H,0),0)</f>
        <v>35</v>
      </c>
      <c r="BN30" s="171">
        <f>BM30/INDEX(Parameters!$B:$B,MATCH("AfschrijftermijnVVE"&amp;12*$C30,Parameters!$A:$A,0))</f>
        <v>0.97222222222222221</v>
      </c>
      <c r="BO30" s="263">
        <f>INDEX('inkoop ULL tbv Epacity'!$I:$I,MATCH(BL30,'inkoop ULL tbv Epacity'!$H:$H,0),0)</f>
        <v>12.501783475119046</v>
      </c>
      <c r="BP30" s="263">
        <f t="shared" si="17"/>
        <v>13.474005697341267</v>
      </c>
      <c r="BQ30" s="203"/>
      <c r="BR30" s="262">
        <f>Parameters!$B$12*AG30</f>
        <v>102.77777777777779</v>
      </c>
      <c r="BS30" s="262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SUM(Distributievergoedingen!$F$12,Distributievergoedingen!$I$12,Distributievergoedingen!$L$12,Distributievergoedingen!$O$12)*AF30+SUM(Distributievergoedingen!$O$12*AA30+Distributievergoedingen!$R$12+Distributievergoedingen!$U$12+Distributievergoedingen!$X$12)/(MAX(36,12*L30))</f>
        <v>112.77777777777777</v>
      </c>
      <c r="BT30" s="150"/>
      <c r="BU30" s="150">
        <f t="shared" si="18"/>
        <v>215.55555555555554</v>
      </c>
      <c r="BW30" s="151">
        <f t="shared" si="19"/>
        <v>229.0295612528968</v>
      </c>
      <c r="BY30" s="140">
        <f t="shared" si="20"/>
        <v>798.74821652488106</v>
      </c>
      <c r="BZ30" s="141">
        <f t="shared" si="21"/>
        <v>0.77716042688907339</v>
      </c>
      <c r="CA30" s="142" t="b">
        <f t="shared" si="22"/>
        <v>0</v>
      </c>
    </row>
    <row r="31" spans="1:79">
      <c r="A31" s="203" t="str">
        <f t="shared" si="57"/>
        <v>2SDSLBasicbestaandunshared</v>
      </c>
      <c r="B31" s="203" t="str">
        <f t="shared" si="5"/>
        <v>2SDSLBasicbestaandunshared</v>
      </c>
      <c r="C31" s="438">
        <v>2</v>
      </c>
      <c r="D31" s="438" t="s">
        <v>64</v>
      </c>
      <c r="E31" s="438" t="s">
        <v>44</v>
      </c>
      <c r="F31" s="438"/>
      <c r="G31" s="438"/>
      <c r="H31" s="438" t="s">
        <v>124</v>
      </c>
      <c r="I31" s="438" t="s">
        <v>128</v>
      </c>
      <c r="J31" s="274" t="str">
        <f t="shared" si="58"/>
        <v>SDSLbestaandunshared</v>
      </c>
      <c r="L31" s="160">
        <f>INDEX(Mapping!$J:$J,MATCH(C$3&amp;C31,Mapping!$B:$B,0))</f>
        <v>1</v>
      </c>
      <c r="M31" s="148" t="str">
        <f>INDEX(Mapping!$H:$H,MATCH($E31,Mapping!$B:$B,0))</f>
        <v>WBA CM Ethernet</v>
      </c>
      <c r="N31" s="179" t="str">
        <f>INDEX(Mapping!$I:$I,MATCH($D31&amp;$I31,Mapping!$B:$B,0))</f>
        <v>SDSL</v>
      </c>
      <c r="O31" s="179" t="str">
        <f>INDEX(Mapping!$I:$I,MATCH($D31,Mapping!$B:$B,0))</f>
        <v>SDSL</v>
      </c>
      <c r="P31" s="179"/>
      <c r="Q31" s="179" t="str">
        <f>INDEX(Mapping!$H:$H,MATCH($H31,Mapping!$B:$B,0))</f>
        <v>nvt</v>
      </c>
      <c r="R31" s="179" t="s">
        <v>115</v>
      </c>
      <c r="S31" s="148" t="str">
        <f>INDEX(Mapping!$J:$J,MATCH($D31&amp;$I31,Mapping!$B:$B,0))</f>
        <v>unshared</v>
      </c>
      <c r="T31" s="148" t="str">
        <f t="shared" si="0"/>
        <v>WBA CM EthernetSDSLnvt</v>
      </c>
      <c r="U31" s="142" t="str">
        <f t="shared" si="1"/>
        <v>WBA CM EthernetSDSLunshared</v>
      </c>
      <c r="W31" s="160">
        <f>MATCH($J31,'Tarieven ZM'!$B:$B,0)</f>
        <v>104</v>
      </c>
      <c r="X31" s="148">
        <f>INDEX('Tarieven ZM'!$H:$H,$W31)</f>
        <v>1000</v>
      </c>
      <c r="Y31" s="161">
        <f>-INDEX(Parameters!$B:$B,MATCH(Y$3,Parameters!$A:$A,0))*$X31</f>
        <v>0</v>
      </c>
      <c r="Z31" s="149">
        <f>-INDEX(Parameters!$B:$B,MATCH(Z$3,Parameters!$A:$A,0))*$X31</f>
        <v>0</v>
      </c>
      <c r="AA31" s="148">
        <f t="shared" si="59"/>
        <v>1000</v>
      </c>
      <c r="AB31" s="148">
        <f>AA31/INDEX(Parameters!$B:$B,MATCH("AfschrijftermijnVVE"&amp;12*$C31,Parameters!$A:$A,0))</f>
        <v>27.777777777777779</v>
      </c>
      <c r="AC31" s="148">
        <f>INDEX('Tarieven ZM'!$G:$G,$W31)</f>
        <v>1000</v>
      </c>
      <c r="AD31" s="161">
        <f>-INDEX(Parameters!$B:$B,MATCH(AD$3,Parameters!$A:$A,0))*$AC31</f>
        <v>0</v>
      </c>
      <c r="AE31" s="161">
        <f>-INDEX(Parameters!$B:$B,MATCH(AE$3,Parameters!$A:$A,0))*$AC31</f>
        <v>0</v>
      </c>
      <c r="AF31" s="148">
        <f t="shared" si="60"/>
        <v>1000</v>
      </c>
      <c r="AG31" s="151">
        <f t="shared" si="9"/>
        <v>1027.7777777777778</v>
      </c>
      <c r="AH31" s="209"/>
      <c r="AI31" s="147" t="str">
        <f>IF(Q31&lt;&gt;"nvt",MATCH($T31,'Tarieven W&amp;O'!$B:$B,0),"nvt")</f>
        <v>nvt</v>
      </c>
      <c r="AJ31" s="262">
        <f>IF(AI31&lt;&gt;"nvt",INDEX('Tarieven W&amp;O'!$H:$H,$AI31)+INDEX(Parameters!C:C,MATCH("NLSx "&amp;O31&amp;" "&amp;M31,Parameters!A:A,0)),0)</f>
        <v>0</v>
      </c>
      <c r="AK31" s="148">
        <f>IF(AI31&lt;&gt;"nvt",INDEX('Tarieven W&amp;O'!$I:$I,$AI31),0)</f>
        <v>0</v>
      </c>
      <c r="AL31" s="149">
        <f>IF(AI31&lt;&gt;"nvt",-INDEX(Parameters!$B:$B,MATCH(AL$3&amp;$M31,Parameters!$A:$A,0))*(AJ31+AK31),0)</f>
        <v>0</v>
      </c>
      <c r="AM31" s="149"/>
      <c r="AN31" s="148">
        <f t="shared" si="10"/>
        <v>0</v>
      </c>
      <c r="AO31" s="171">
        <f>AN31/INDEX(Parameters!$B:$B,MATCH("AfschrijftermijnVVE"&amp;12*$C31,Parameters!$A:$A,0))</f>
        <v>0</v>
      </c>
      <c r="AP31" s="148">
        <f>MATCH($U31,'Tarieven W&amp;O'!$B:$B,0)</f>
        <v>10</v>
      </c>
      <c r="AQ31" s="150">
        <f>IF(AP31&lt;&gt;"nvt",INDEX('Tarieven W&amp;O'!$G:$G,$AP31),0)</f>
        <v>33.729999999999997</v>
      </c>
      <c r="AR31" s="277">
        <f>-INDEX(Parameters!$B:$B,MATCH(AR$3&amp;$M31&amp;O31,Parameters!$A:$A,0))*(AQ31)</f>
        <v>-3.3729999999999998</v>
      </c>
      <c r="AS31" s="148"/>
      <c r="AT31" s="148"/>
      <c r="AU31" s="150">
        <f t="shared" si="11"/>
        <v>30.356999999999996</v>
      </c>
      <c r="AV31" s="150">
        <f t="shared" si="12"/>
        <v>30.356999999999996</v>
      </c>
      <c r="AW31" s="202"/>
      <c r="AX31" s="150">
        <f>Parameters!$B$6*AV31</f>
        <v>0.30356999999999995</v>
      </c>
      <c r="AY31" s="202">
        <v>0</v>
      </c>
      <c r="AZ31" s="202"/>
      <c r="BA31" s="150">
        <f t="shared" si="13"/>
        <v>0.30356999999999995</v>
      </c>
      <c r="BB31" s="202"/>
      <c r="BC31" s="151">
        <f t="shared" si="14"/>
        <v>30.660569999999996</v>
      </c>
      <c r="BD31" s="209"/>
      <c r="BE31" s="140">
        <f t="shared" si="2"/>
        <v>997.11720777777782</v>
      </c>
      <c r="BF31" s="141">
        <f t="shared" si="3"/>
        <v>0.97016809405405402</v>
      </c>
      <c r="BG31" s="142" t="b">
        <f t="shared" si="15"/>
        <v>0</v>
      </c>
      <c r="BI31" s="188" t="s">
        <v>538</v>
      </c>
      <c r="BJ31" s="189"/>
      <c r="BK31">
        <f>VLOOKUP(J31,'Tarieven ZM'!$B$7:$I$146,8,0)</f>
        <v>0</v>
      </c>
      <c r="BL31" s="203" t="str">
        <f t="shared" si="16"/>
        <v>SDSLnvtunshared</v>
      </c>
      <c r="BM31" s="282">
        <f>INDEX('inkoop ULL tbv Epacity'!$J:$J,MATCH(BL31,'inkoop ULL tbv Epacity'!$H:$H,0),0)</f>
        <v>19.3</v>
      </c>
      <c r="BN31" s="171">
        <f>BM31/INDEX(Parameters!$B:$B,MATCH("AfschrijftermijnVVE"&amp;12*$C31,Parameters!$A:$A,0))</f>
        <v>0.53611111111111109</v>
      </c>
      <c r="BO31" s="263">
        <f>INDEX('inkoop ULL tbv Epacity'!$I:$I,MATCH(BL31,'inkoop ULL tbv Epacity'!$H:$H,0),0)</f>
        <v>9.3855844444444436</v>
      </c>
      <c r="BP31" s="263">
        <f t="shared" si="17"/>
        <v>9.921695555555555</v>
      </c>
      <c r="BQ31" s="203"/>
      <c r="BR31" s="262">
        <f>Parameters!$B$12*AG31</f>
        <v>102.77777777777779</v>
      </c>
      <c r="BS31" s="262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SUM(Distributievergoedingen!$F$12,Distributievergoedingen!$I$12,Distributievergoedingen!$L$12,Distributievergoedingen!$O$12)*AF31+SUM(Distributievergoedingen!$O$12*AA31+Distributievergoedingen!$R$12+Distributievergoedingen!$U$12+Distributievergoedingen!$X$12)/(MAX(36,12*L31))</f>
        <v>112.77777777777777</v>
      </c>
      <c r="BT31" s="150"/>
      <c r="BU31" s="150">
        <f t="shared" si="18"/>
        <v>215.55555555555554</v>
      </c>
      <c r="BW31" s="151">
        <f t="shared" si="19"/>
        <v>225.47725111111109</v>
      </c>
      <c r="BY31" s="140">
        <f t="shared" si="20"/>
        <v>802.30052666666677</v>
      </c>
      <c r="BZ31" s="141">
        <f t="shared" si="21"/>
        <v>0.78061672864864873</v>
      </c>
      <c r="CA31" s="142" t="b">
        <f t="shared" si="22"/>
        <v>0</v>
      </c>
    </row>
    <row r="32" spans="1:79">
      <c r="A32" s="203" t="str">
        <f t="shared" si="57"/>
        <v>2VDSLEntrybestaandshared</v>
      </c>
      <c r="B32" s="203" t="str">
        <f t="shared" si="5"/>
        <v>2VDSLEntrybestaandshared</v>
      </c>
      <c r="C32" s="438">
        <v>2</v>
      </c>
      <c r="D32" s="438" t="s">
        <v>77</v>
      </c>
      <c r="E32" s="438" t="s">
        <v>78</v>
      </c>
      <c r="F32" s="438"/>
      <c r="G32" s="438"/>
      <c r="H32" s="438" t="s">
        <v>124</v>
      </c>
      <c r="I32" s="438" t="s">
        <v>127</v>
      </c>
      <c r="J32" s="274" t="str">
        <f t="shared" si="58"/>
        <v>VDSLbestaandshared</v>
      </c>
      <c r="L32" s="160">
        <f>INDEX(Mapping!$J:$J,MATCH(C$3&amp;C32,Mapping!$B:$B,0))</f>
        <v>1</v>
      </c>
      <c r="M32" s="148" t="str">
        <f>INDEX(Mapping!$H:$H,MATCH($E32,Mapping!$B:$B,0))</f>
        <v>WBA CM Ethernet</v>
      </c>
      <c r="N32" s="179" t="str">
        <f>INDEX(Mapping!$I:$I,MATCH($D32&amp;$I32,Mapping!$B:$B,0))</f>
        <v>VDSL</v>
      </c>
      <c r="O32" s="179" t="str">
        <f>INDEX(Mapping!$I:$I,MATCH($D32,Mapping!$B:$B,0))</f>
        <v>VDSL</v>
      </c>
      <c r="P32" s="179"/>
      <c r="Q32" s="179" t="str">
        <f>INDEX(Mapping!$H:$H,MATCH($H32,Mapping!$B:$B,0))</f>
        <v>nvt</v>
      </c>
      <c r="R32" s="179" t="s">
        <v>115</v>
      </c>
      <c r="S32" s="148" t="str">
        <f>INDEX(Mapping!$J:$J,MATCH($D32&amp;$I32,Mapping!$B:$B,0))</f>
        <v>shared</v>
      </c>
      <c r="T32" s="148" t="str">
        <f t="shared" si="0"/>
        <v>WBA CM EthernetVDSLnvt</v>
      </c>
      <c r="U32" s="142" t="str">
        <f t="shared" si="1"/>
        <v>WBA CM EthernetVDSLshared</v>
      </c>
      <c r="W32" s="160">
        <f>MATCH($J32,'Tarieven ZM'!$B:$B,0)</f>
        <v>105</v>
      </c>
      <c r="X32" s="148">
        <f>INDEX('Tarieven ZM'!$H:$H,$W32)</f>
        <v>1000</v>
      </c>
      <c r="Y32" s="161">
        <f>-INDEX(Parameters!$B:$B,MATCH(Y$3,Parameters!$A:$A,0))*$X32</f>
        <v>0</v>
      </c>
      <c r="Z32" s="149">
        <f>-INDEX(Parameters!$B:$B,MATCH(Z$3,Parameters!$A:$A,0))*$X32</f>
        <v>0</v>
      </c>
      <c r="AA32" s="148">
        <f t="shared" si="59"/>
        <v>1000</v>
      </c>
      <c r="AB32" s="148">
        <f>AA32/INDEX(Parameters!$B:$B,MATCH("AfschrijftermijnVVE"&amp;12*$C32,Parameters!$A:$A,0))</f>
        <v>27.777777777777779</v>
      </c>
      <c r="AC32" s="148">
        <f>INDEX('Tarieven ZM'!$G:$G,$W32)</f>
        <v>1000</v>
      </c>
      <c r="AD32" s="161">
        <f>-INDEX(Parameters!$B:$B,MATCH(AD$3,Parameters!$A:$A,0))*$AC32</f>
        <v>0</v>
      </c>
      <c r="AE32" s="161">
        <f>-INDEX(Parameters!$B:$B,MATCH(AE$3,Parameters!$A:$A,0))*$AC32</f>
        <v>0</v>
      </c>
      <c r="AF32" s="148">
        <f t="shared" si="60"/>
        <v>1000</v>
      </c>
      <c r="AG32" s="151">
        <f t="shared" si="9"/>
        <v>1027.7777777777778</v>
      </c>
      <c r="AH32" s="209"/>
      <c r="AI32" s="147" t="str">
        <f>IF(Q32&lt;&gt;"nvt",MATCH($T32,'Tarieven W&amp;O'!$B:$B,0),"nvt")</f>
        <v>nvt</v>
      </c>
      <c r="AJ32" s="262">
        <f>IF(AI32&lt;&gt;"nvt",INDEX('Tarieven W&amp;O'!$H:$H,$AI32)+INDEX(Parameters!C:C,MATCH("NLSx "&amp;O32&amp;" "&amp;M32,Parameters!A:A,0)),0)</f>
        <v>0</v>
      </c>
      <c r="AK32" s="148">
        <f>IF(AI32&lt;&gt;"nvt",INDEX('Tarieven W&amp;O'!$I:$I,$AI32),0)</f>
        <v>0</v>
      </c>
      <c r="AL32" s="149">
        <f>IF(AI32&lt;&gt;"nvt",-INDEX(Parameters!$B:$B,MATCH(AL$3&amp;$M32,Parameters!$A:$A,0))*(AJ32+AK32),0)</f>
        <v>0</v>
      </c>
      <c r="AM32" s="149"/>
      <c r="AN32" s="148">
        <f t="shared" si="10"/>
        <v>0</v>
      </c>
      <c r="AO32" s="171">
        <f>AN32/INDEX(Parameters!$B:$B,MATCH("AfschrijftermijnVVE"&amp;12*$C32,Parameters!$A:$A,0))</f>
        <v>0</v>
      </c>
      <c r="AP32" s="148">
        <f>MATCH($U32,'Tarieven W&amp;O'!$B:$B,0)</f>
        <v>14</v>
      </c>
      <c r="AQ32" s="150">
        <f>IF(AP32&lt;&gt;"nvt",INDEX('Tarieven W&amp;O'!$G:$G,$AP32),0)</f>
        <v>5.36</v>
      </c>
      <c r="AR32" s="277">
        <f>-INDEX(Parameters!$B:$B,MATCH(AR$3&amp;$M32&amp;O32,Parameters!$A:$A,0))*(AQ32)</f>
        <v>-0.53600000000000003</v>
      </c>
      <c r="AS32" s="148"/>
      <c r="AT32" s="148"/>
      <c r="AU32" s="150">
        <f t="shared" si="11"/>
        <v>4.8239999999999998</v>
      </c>
      <c r="AV32" s="150">
        <f t="shared" si="12"/>
        <v>4.8239999999999998</v>
      </c>
      <c r="AW32" s="202"/>
      <c r="AX32" s="150">
        <f>Parameters!$B$6*AV32</f>
        <v>4.8239999999999998E-2</v>
      </c>
      <c r="AY32" s="202">
        <v>0</v>
      </c>
      <c r="AZ32" s="202"/>
      <c r="BA32" s="150">
        <f t="shared" si="13"/>
        <v>4.8239999999999998E-2</v>
      </c>
      <c r="BB32" s="202"/>
      <c r="BC32" s="151">
        <f t="shared" si="14"/>
        <v>4.8722399999999997</v>
      </c>
      <c r="BD32" s="209"/>
      <c r="BE32" s="140">
        <f t="shared" si="2"/>
        <v>1022.9055377777778</v>
      </c>
      <c r="BF32" s="141">
        <f t="shared" si="3"/>
        <v>0.99525944216216211</v>
      </c>
      <c r="BG32" s="142" t="b">
        <f t="shared" si="15"/>
        <v>0</v>
      </c>
      <c r="BI32" s="188" t="s">
        <v>538</v>
      </c>
      <c r="BJ32" s="189"/>
      <c r="BK32">
        <f>VLOOKUP(J32,'Tarieven ZM'!$B$7:$I$146,8,0)</f>
        <v>0</v>
      </c>
      <c r="BL32" s="203" t="str">
        <f t="shared" si="16"/>
        <v>VDSLnvtshared</v>
      </c>
      <c r="BM32" s="282">
        <f>INDEX('inkoop ULL tbv Epacity'!$J:$J,MATCH(BL32,'inkoop ULL tbv Epacity'!$H:$H,0),0)</f>
        <v>35</v>
      </c>
      <c r="BN32" s="171">
        <f>BM32/INDEX(Parameters!$B:$B,MATCH("AfschrijftermijnVVE"&amp;12*$C32,Parameters!$A:$A,0))</f>
        <v>0.97222222222222221</v>
      </c>
      <c r="BO32" s="263">
        <f>INDEX('inkoop ULL tbv Epacity'!$I:$I,MATCH(BL32,'inkoop ULL tbv Epacity'!$H:$H,0),0)</f>
        <v>6.031783475119048</v>
      </c>
      <c r="BP32" s="263">
        <f t="shared" si="17"/>
        <v>7.0040056973412703</v>
      </c>
      <c r="BQ32" s="203"/>
      <c r="BR32" s="262">
        <f>Parameters!$B$12*AG32</f>
        <v>102.77777777777779</v>
      </c>
      <c r="BS32" s="262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SUM(Distributievergoedingen!$F$12,Distributievergoedingen!$I$12,Distributievergoedingen!$L$12,Distributievergoedingen!$O$12)*AF32+SUM(Distributievergoedingen!$O$12*AA32+Distributievergoedingen!$R$12+Distributievergoedingen!$U$12+Distributievergoedingen!$X$12)/(MAX(36,12*L32))</f>
        <v>112.77777777777777</v>
      </c>
      <c r="BT32" s="150"/>
      <c r="BU32" s="150">
        <f t="shared" si="18"/>
        <v>215.55555555555554</v>
      </c>
      <c r="BW32" s="151">
        <f t="shared" si="19"/>
        <v>222.5595612528968</v>
      </c>
      <c r="BY32" s="140">
        <f t="shared" si="20"/>
        <v>805.21821652488097</v>
      </c>
      <c r="BZ32" s="141">
        <f t="shared" si="21"/>
        <v>0.78345556202420852</v>
      </c>
      <c r="CA32" s="142" t="b">
        <f t="shared" si="22"/>
        <v>0</v>
      </c>
    </row>
    <row r="33" spans="1:79">
      <c r="A33" s="203" t="str">
        <f t="shared" si="57"/>
        <v>2ADSLBasicbestaandshared</v>
      </c>
      <c r="B33" s="203" t="str">
        <f t="shared" si="5"/>
        <v>2ADSLBasicbestaandshared</v>
      </c>
      <c r="C33" s="438">
        <v>2</v>
      </c>
      <c r="D33" s="438" t="s">
        <v>42</v>
      </c>
      <c r="E33" s="438" t="s">
        <v>44</v>
      </c>
      <c r="F33" s="438"/>
      <c r="G33" s="438"/>
      <c r="H33" s="438" t="s">
        <v>124</v>
      </c>
      <c r="I33" s="438" t="s">
        <v>127</v>
      </c>
      <c r="J33" s="274" t="str">
        <f t="shared" si="58"/>
        <v>ADSLbestaandshared</v>
      </c>
      <c r="L33" s="160">
        <f>INDEX(Mapping!$J:$J,MATCH(C$3&amp;C33,Mapping!$B:$B,0))</f>
        <v>1</v>
      </c>
      <c r="M33" s="148" t="str">
        <f>INDEX(Mapping!$H:$H,MATCH($E33,Mapping!$B:$B,0))</f>
        <v>WBA CM Ethernet</v>
      </c>
      <c r="N33" s="179" t="str">
        <f>INDEX(Mapping!$I:$I,MATCH($D33&amp;$I33,Mapping!$B:$B,0))</f>
        <v>ADSL</v>
      </c>
      <c r="O33" s="179" t="str">
        <f>INDEX(Mapping!$I:$I,MATCH($D33,Mapping!$B:$B,0))</f>
        <v>ADSL</v>
      </c>
      <c r="P33" s="179"/>
      <c r="Q33" s="179" t="str">
        <f>INDEX(Mapping!$H:$H,MATCH($H33,Mapping!$B:$B,0))</f>
        <v>nvt</v>
      </c>
      <c r="R33" s="179" t="s">
        <v>115</v>
      </c>
      <c r="S33" s="148" t="str">
        <f>INDEX(Mapping!$J:$J,MATCH($D33&amp;$I33,Mapping!$B:$B,0))</f>
        <v>shared</v>
      </c>
      <c r="T33" s="148" t="str">
        <f t="shared" si="0"/>
        <v>WBA CM EthernetADSLnvt</v>
      </c>
      <c r="U33" s="142" t="str">
        <f t="shared" si="1"/>
        <v>WBA CM EthernetADSLshared</v>
      </c>
      <c r="W33" s="160">
        <f>MATCH($J33,'Tarieven ZM'!$B:$B,0)</f>
        <v>106</v>
      </c>
      <c r="X33" s="148">
        <f>INDEX('Tarieven ZM'!$H:$H,$W33)</f>
        <v>1000</v>
      </c>
      <c r="Y33" s="161">
        <f>-INDEX(Parameters!$B:$B,MATCH(Y$3,Parameters!$A:$A,0))*$X33</f>
        <v>0</v>
      </c>
      <c r="Z33" s="149">
        <f>-INDEX(Parameters!$B:$B,MATCH(Z$3,Parameters!$A:$A,0))*$X33</f>
        <v>0</v>
      </c>
      <c r="AA33" s="148">
        <f t="shared" si="59"/>
        <v>1000</v>
      </c>
      <c r="AB33" s="148">
        <f>AA33/INDEX(Parameters!$B:$B,MATCH("AfschrijftermijnVVE"&amp;12*$C33,Parameters!$A:$A,0))</f>
        <v>27.777777777777779</v>
      </c>
      <c r="AC33" s="148">
        <f>INDEX('Tarieven ZM'!$G:$G,$W33)</f>
        <v>1000</v>
      </c>
      <c r="AD33" s="161">
        <f>-INDEX(Parameters!$B:$B,MATCH(AD$3,Parameters!$A:$A,0))*$AC33</f>
        <v>0</v>
      </c>
      <c r="AE33" s="161">
        <f>-INDEX(Parameters!$B:$B,MATCH(AE$3,Parameters!$A:$A,0))*$AC33</f>
        <v>0</v>
      </c>
      <c r="AF33" s="148">
        <f t="shared" si="60"/>
        <v>1000</v>
      </c>
      <c r="AG33" s="151">
        <f t="shared" si="9"/>
        <v>1027.7777777777778</v>
      </c>
      <c r="AH33" s="209"/>
      <c r="AI33" s="147" t="str">
        <f>IF(Q33&lt;&gt;"nvt",MATCH($T33,'Tarieven W&amp;O'!$B:$B,0),"nvt")</f>
        <v>nvt</v>
      </c>
      <c r="AJ33" s="262">
        <f>IF(AI33&lt;&gt;"nvt",INDEX('Tarieven W&amp;O'!$H:$H,$AI33)+INDEX(Parameters!C:C,MATCH("NLSx "&amp;O33&amp;" "&amp;M33,Parameters!A:A,0)),0)</f>
        <v>0</v>
      </c>
      <c r="AK33" s="148">
        <f>IF(AI33&lt;&gt;"nvt",INDEX('Tarieven W&amp;O'!$I:$I,$AI33),0)</f>
        <v>0</v>
      </c>
      <c r="AL33" s="149">
        <f>IF(AI33&lt;&gt;"nvt",-INDEX(Parameters!$B:$B,MATCH(AL$3&amp;$M33,Parameters!$A:$A,0))*(AJ33+AK33),0)</f>
        <v>0</v>
      </c>
      <c r="AM33" s="149"/>
      <c r="AN33" s="148">
        <f t="shared" si="10"/>
        <v>0</v>
      </c>
      <c r="AO33" s="171">
        <f>AN33/INDEX(Parameters!$B:$B,MATCH("AfschrijftermijnVVE"&amp;12*$C33,Parameters!$A:$A,0))</f>
        <v>0</v>
      </c>
      <c r="AP33" s="148">
        <f>MATCH($U33,'Tarieven W&amp;O'!$B:$B,0)</f>
        <v>15</v>
      </c>
      <c r="AQ33" s="150">
        <f>IF(AP33&lt;&gt;"nvt",INDEX('Tarieven W&amp;O'!$G:$G,$AP33),0)</f>
        <v>5.36</v>
      </c>
      <c r="AR33" s="277">
        <f>-INDEX(Parameters!$B:$B,MATCH(AR$3&amp;$M33&amp;O33,Parameters!$A:$A,0))*(AQ33)</f>
        <v>-0.53600000000000003</v>
      </c>
      <c r="AS33" s="148"/>
      <c r="AT33" s="148"/>
      <c r="AU33" s="150">
        <f t="shared" si="11"/>
        <v>4.8239999999999998</v>
      </c>
      <c r="AV33" s="150">
        <f t="shared" si="12"/>
        <v>4.8239999999999998</v>
      </c>
      <c r="AW33" s="202"/>
      <c r="AX33" s="150">
        <f>Parameters!$B$6*AV33</f>
        <v>4.8239999999999998E-2</v>
      </c>
      <c r="AY33" s="202">
        <v>0</v>
      </c>
      <c r="AZ33" s="202"/>
      <c r="BA33" s="150">
        <f t="shared" si="13"/>
        <v>4.8239999999999998E-2</v>
      </c>
      <c r="BB33" s="202"/>
      <c r="BC33" s="151">
        <f t="shared" si="14"/>
        <v>4.8722399999999997</v>
      </c>
      <c r="BD33" s="209"/>
      <c r="BE33" s="140">
        <f t="shared" si="2"/>
        <v>1022.9055377777778</v>
      </c>
      <c r="BF33" s="141">
        <f t="shared" si="3"/>
        <v>0.99525944216216211</v>
      </c>
      <c r="BG33" s="142" t="b">
        <f t="shared" si="15"/>
        <v>0</v>
      </c>
      <c r="BI33" s="188" t="s">
        <v>538</v>
      </c>
      <c r="BJ33" s="189"/>
      <c r="BK33">
        <f>VLOOKUP(J33,'Tarieven ZM'!$B$7:$I$146,8,0)</f>
        <v>0</v>
      </c>
      <c r="BL33" s="203" t="str">
        <f t="shared" si="16"/>
        <v>ADSLnvtshared</v>
      </c>
      <c r="BM33" s="282">
        <f>INDEX('inkoop ULL tbv Epacity'!$J:$J,MATCH(BL33,'inkoop ULL tbv Epacity'!$H:$H,0),0)</f>
        <v>35</v>
      </c>
      <c r="BN33" s="171">
        <f>BM33/INDEX(Parameters!$B:$B,MATCH("AfschrijftermijnVVE"&amp;12*$C33,Parameters!$A:$A,0))</f>
        <v>0.97222222222222221</v>
      </c>
      <c r="BO33" s="263">
        <f>INDEX('inkoop ULL tbv Epacity'!$I:$I,MATCH(BL33,'inkoop ULL tbv Epacity'!$H:$H,0),0)</f>
        <v>6.031783475119048</v>
      </c>
      <c r="BP33" s="263">
        <f t="shared" si="17"/>
        <v>7.0040056973412703</v>
      </c>
      <c r="BQ33" s="203"/>
      <c r="BR33" s="262">
        <f>Parameters!$B$12*AG33</f>
        <v>102.77777777777779</v>
      </c>
      <c r="BS33" s="262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SUM(Distributievergoedingen!$F$12,Distributievergoedingen!$I$12,Distributievergoedingen!$L$12,Distributievergoedingen!$O$12)*AF33+SUM(Distributievergoedingen!$O$12*AA33+Distributievergoedingen!$R$12+Distributievergoedingen!$U$12+Distributievergoedingen!$X$12)/(MAX(36,12*L33))</f>
        <v>112.77777777777777</v>
      </c>
      <c r="BT33" s="150"/>
      <c r="BU33" s="150">
        <f t="shared" si="18"/>
        <v>215.55555555555554</v>
      </c>
      <c r="BW33" s="151">
        <f t="shared" si="19"/>
        <v>222.5595612528968</v>
      </c>
      <c r="BY33" s="140">
        <f t="shared" si="20"/>
        <v>805.21821652488097</v>
      </c>
      <c r="BZ33" s="141">
        <f t="shared" si="21"/>
        <v>0.78345556202420852</v>
      </c>
      <c r="CA33" s="142" t="b">
        <f t="shared" si="22"/>
        <v>0</v>
      </c>
    </row>
    <row r="34" spans="1:79">
      <c r="A34" s="203" t="str">
        <f t="shared" si="57"/>
        <v>2ADSLPremiumnieuwunshared</v>
      </c>
      <c r="B34" s="203" t="str">
        <f t="shared" si="5"/>
        <v>2ADSLPremiumnieuwunshared</v>
      </c>
      <c r="C34" s="438">
        <v>2</v>
      </c>
      <c r="D34" s="438" t="s">
        <v>42</v>
      </c>
      <c r="E34" s="438" t="s">
        <v>70</v>
      </c>
      <c r="F34" s="438"/>
      <c r="G34" s="438"/>
      <c r="H34" s="438" t="s">
        <v>125</v>
      </c>
      <c r="I34" s="438" t="s">
        <v>128</v>
      </c>
      <c r="J34" s="274" t="str">
        <f t="shared" si="58"/>
        <v>ADSLnieuwunshared</v>
      </c>
      <c r="L34" s="160">
        <f>INDEX(Mapping!$J:$J,MATCH(C$3&amp;C34,Mapping!$B:$B,0))</f>
        <v>1</v>
      </c>
      <c r="M34" s="148" t="str">
        <f>INDEX(Mapping!$H:$H,MATCH($E34,Mapping!$B:$B,0))</f>
        <v>WBA ZM Ethernet</v>
      </c>
      <c r="N34" s="179" t="str">
        <f>INDEX(Mapping!$I:$I,MATCH($D34&amp;$I34,Mapping!$B:$B,0))</f>
        <v>ADSL</v>
      </c>
      <c r="O34" s="179" t="str">
        <f>INDEX(Mapping!$I:$I,MATCH($D34,Mapping!$B:$B,0))</f>
        <v>ADSL</v>
      </c>
      <c r="P34" s="179"/>
      <c r="Q34" s="179" t="str">
        <f>INDEX(Mapping!$H:$H,MATCH($H34,Mapping!$B:$B,0))</f>
        <v>New line</v>
      </c>
      <c r="R34" s="179" t="s">
        <v>115</v>
      </c>
      <c r="S34" s="148" t="str">
        <f>INDEX(Mapping!$J:$J,MATCH($D34&amp;$I34,Mapping!$B:$B,0))</f>
        <v>unshared</v>
      </c>
      <c r="T34" s="148" t="str">
        <f t="shared" si="0"/>
        <v>WBA ZM EthernetADSLNew line</v>
      </c>
      <c r="U34" s="142" t="str">
        <f t="shared" si="1"/>
        <v>WBA ZM EthernetADSLunshared</v>
      </c>
      <c r="W34" s="160">
        <f>MATCH($J34,'Tarieven ZM'!$B:$B,0)</f>
        <v>97</v>
      </c>
      <c r="X34" s="148">
        <f>INDEX('Tarieven ZM'!$H:$H,$W34)</f>
        <v>1000</v>
      </c>
      <c r="Y34" s="161">
        <f>-INDEX(Parameters!$B:$B,MATCH(Y$3,Parameters!$A:$A,0))*$X34</f>
        <v>0</v>
      </c>
      <c r="Z34" s="149">
        <f>-INDEX(Parameters!$B:$B,MATCH(Z$3,Parameters!$A:$A,0))*$X34</f>
        <v>0</v>
      </c>
      <c r="AA34" s="148">
        <f t="shared" si="59"/>
        <v>1000</v>
      </c>
      <c r="AB34" s="148">
        <f>AA34/INDEX(Parameters!$B:$B,MATCH("AfschrijftermijnVVE"&amp;12*$C34,Parameters!$A:$A,0))</f>
        <v>27.777777777777779</v>
      </c>
      <c r="AC34" s="148">
        <f>INDEX('Tarieven ZM'!$G:$G,$W34)</f>
        <v>1000</v>
      </c>
      <c r="AD34" s="161">
        <f>-INDEX(Parameters!$B:$B,MATCH(AD$3,Parameters!$A:$A,0))*$AC34</f>
        <v>0</v>
      </c>
      <c r="AE34" s="161">
        <f>-INDEX(Parameters!$B:$B,MATCH(AE$3,Parameters!$A:$A,0))*$AC34</f>
        <v>0</v>
      </c>
      <c r="AF34" s="148">
        <f t="shared" si="60"/>
        <v>1000</v>
      </c>
      <c r="AG34" s="151">
        <f t="shared" si="9"/>
        <v>1027.7777777777778</v>
      </c>
      <c r="AH34" s="209"/>
      <c r="AI34" s="147">
        <f>IF(Q34&lt;&gt;"nvt",MATCH($T34,'Tarieven W&amp;O'!$B:$B,0),"nvt")</f>
        <v>36</v>
      </c>
      <c r="AJ34" s="262">
        <f>IF(AI34&lt;&gt;"nvt",INDEX('Tarieven W&amp;O'!$H:$H,$AI34)+INDEX(Parameters!C:C,MATCH("NLSx "&amp;O34&amp;" "&amp;M34,Parameters!A:A,0)),0)</f>
        <v>64</v>
      </c>
      <c r="AK34" s="148">
        <f>IF(AI34&lt;&gt;"nvt",INDEX('Tarieven W&amp;O'!$I:$I,$AI34),0)</f>
        <v>25</v>
      </c>
      <c r="AL34" s="149">
        <f>IF(AI34&lt;&gt;"nvt",-INDEX(Parameters!$B:$B,MATCH(AL$3&amp;$M34,Parameters!$A:$A,0))*(AJ34+AK34),0)</f>
        <v>0</v>
      </c>
      <c r="AM34" s="149"/>
      <c r="AN34" s="148">
        <f t="shared" si="10"/>
        <v>89</v>
      </c>
      <c r="AO34" s="171">
        <f>AN34/INDEX(Parameters!$B:$B,MATCH("AfschrijftermijnVVE"&amp;12*$C34,Parameters!$A:$A,0))</f>
        <v>2.4722222222222223</v>
      </c>
      <c r="AP34" s="148">
        <f>MATCH($U34,'Tarieven W&amp;O'!$B:$B,0)</f>
        <v>28</v>
      </c>
      <c r="AQ34" s="150">
        <f>IF(AP34&lt;&gt;"nvt",INDEX('Tarieven W&amp;O'!$G:$G,$AP34),0)</f>
        <v>11.2</v>
      </c>
      <c r="AR34" s="277">
        <f>-INDEX(Parameters!$B:$B,MATCH(AR$3&amp;$M34&amp;O34,Parameters!$A:$A,0))*(AQ34)</f>
        <v>0</v>
      </c>
      <c r="AS34" s="148"/>
      <c r="AT34" s="148"/>
      <c r="AU34" s="150">
        <f t="shared" si="11"/>
        <v>11.2</v>
      </c>
      <c r="AV34" s="150">
        <f t="shared" si="12"/>
        <v>13.672222222222221</v>
      </c>
      <c r="AW34" s="202"/>
      <c r="AX34" s="150">
        <f>Parameters!$B$6*AV34</f>
        <v>0.13672222222222222</v>
      </c>
      <c r="AY34" s="202">
        <v>0</v>
      </c>
      <c r="AZ34" s="202"/>
      <c r="BA34" s="150">
        <f t="shared" si="13"/>
        <v>0.13672222222222222</v>
      </c>
      <c r="BB34" s="202"/>
      <c r="BC34" s="151">
        <f t="shared" si="14"/>
        <v>13.808944444444442</v>
      </c>
      <c r="BD34" s="209"/>
      <c r="BE34" s="140">
        <f t="shared" si="2"/>
        <v>1013.9688333333334</v>
      </c>
      <c r="BF34" s="141">
        <f t="shared" si="3"/>
        <v>0.98656427027027027</v>
      </c>
      <c r="BG34" s="142" t="b">
        <f t="shared" si="15"/>
        <v>0</v>
      </c>
      <c r="BI34" s="188" t="s">
        <v>538</v>
      </c>
      <c r="BJ34" s="189"/>
      <c r="BK34">
        <f>VLOOKUP(J34,'Tarieven ZM'!$B$7:$I$146,8,0)</f>
        <v>0</v>
      </c>
      <c r="BL34" s="203" t="str">
        <f t="shared" si="16"/>
        <v>ADSLNew lineunshared</v>
      </c>
      <c r="BM34" s="282">
        <f>INDEX('inkoop ULL tbv Epacity'!$J:$J,MATCH(BL34,'inkoop ULL tbv Epacity'!$H:$H,0),0)</f>
        <v>75</v>
      </c>
      <c r="BN34" s="171">
        <f>BM34/INDEX(Parameters!$B:$B,MATCH("AfschrijftermijnVVE"&amp;12*$C34,Parameters!$A:$A,0))</f>
        <v>2.0833333333333335</v>
      </c>
      <c r="BO34" s="263">
        <f>INDEX('inkoop ULL tbv Epacity'!$I:$I,MATCH(BL34,'inkoop ULL tbv Epacity'!$H:$H,0),0)</f>
        <v>12.501783475119046</v>
      </c>
      <c r="BP34" s="263">
        <f t="shared" si="17"/>
        <v>14.58511680845238</v>
      </c>
      <c r="BQ34" s="203"/>
      <c r="BR34" s="262">
        <f>Parameters!$B$12*AG34</f>
        <v>102.77777777777779</v>
      </c>
      <c r="BS34" s="262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SUM(Distributievergoedingen!$F$12,Distributievergoedingen!$I$12,Distributievergoedingen!$L$12,Distributievergoedingen!$O$12)*AF34+SUM(Distributievergoedingen!$O$12*AA34+Distributievergoedingen!$R$12+Distributievergoedingen!$U$12+Distributievergoedingen!$X$12)/(MAX(36,12*L34))</f>
        <v>112.77777777777777</v>
      </c>
      <c r="BT34" s="150"/>
      <c r="BU34" s="150">
        <f t="shared" si="18"/>
        <v>215.55555555555554</v>
      </c>
      <c r="BW34" s="151">
        <f t="shared" si="19"/>
        <v>230.14067236400791</v>
      </c>
      <c r="BY34" s="140">
        <f t="shared" si="20"/>
        <v>797.63710541376986</v>
      </c>
      <c r="BZ34" s="141">
        <f t="shared" si="21"/>
        <v>0.7760793458079922</v>
      </c>
      <c r="CA34" s="142" t="b">
        <f t="shared" si="22"/>
        <v>0</v>
      </c>
    </row>
    <row r="35" spans="1:79">
      <c r="A35" s="203" t="str">
        <f t="shared" si="57"/>
        <v>2VDSLPremiumnieuwunshared</v>
      </c>
      <c r="B35" s="203" t="str">
        <f t="shared" si="5"/>
        <v>2VDSLPremiumnieuwunshared</v>
      </c>
      <c r="C35" s="438">
        <v>2</v>
      </c>
      <c r="D35" s="438" t="s">
        <v>77</v>
      </c>
      <c r="E35" s="438" t="s">
        <v>70</v>
      </c>
      <c r="F35" s="438"/>
      <c r="G35" s="438"/>
      <c r="H35" s="438" t="s">
        <v>125</v>
      </c>
      <c r="I35" s="438" t="s">
        <v>128</v>
      </c>
      <c r="J35" s="274" t="str">
        <f t="shared" si="58"/>
        <v>VDSLnieuwunshared</v>
      </c>
      <c r="L35" s="160">
        <f>INDEX(Mapping!$J:$J,MATCH(C$3&amp;C35,Mapping!$B:$B,0))</f>
        <v>1</v>
      </c>
      <c r="M35" s="148" t="str">
        <f>INDEX(Mapping!$H:$H,MATCH($E35,Mapping!$B:$B,0))</f>
        <v>WBA ZM Ethernet</v>
      </c>
      <c r="N35" s="179" t="str">
        <f>INDEX(Mapping!$I:$I,MATCH($D35&amp;$I35,Mapping!$B:$B,0))</f>
        <v>VDSL</v>
      </c>
      <c r="O35" s="179" t="str">
        <f>INDEX(Mapping!$I:$I,MATCH($D35,Mapping!$B:$B,0))</f>
        <v>VDSL</v>
      </c>
      <c r="P35" s="179"/>
      <c r="Q35" s="179" t="str">
        <f>INDEX(Mapping!$H:$H,MATCH($H35,Mapping!$B:$B,0))</f>
        <v>New line</v>
      </c>
      <c r="R35" s="179" t="s">
        <v>115</v>
      </c>
      <c r="S35" s="148" t="str">
        <f>INDEX(Mapping!$J:$J,MATCH($D35&amp;$I35,Mapping!$B:$B,0))</f>
        <v>unshared</v>
      </c>
      <c r="T35" s="148" t="str">
        <f t="shared" si="0"/>
        <v>WBA ZM EthernetVDSLNew line</v>
      </c>
      <c r="U35" s="142" t="str">
        <f t="shared" si="1"/>
        <v>WBA ZM EthernetVDSLunshared</v>
      </c>
      <c r="W35" s="160">
        <f>MATCH($J35,'Tarieven ZM'!$B:$B,0)</f>
        <v>98</v>
      </c>
      <c r="X35" s="148">
        <f>INDEX('Tarieven ZM'!$H:$H,$W35)</f>
        <v>1000</v>
      </c>
      <c r="Y35" s="161">
        <f>-INDEX(Parameters!$B:$B,MATCH(Y$3,Parameters!$A:$A,0))*$X35</f>
        <v>0</v>
      </c>
      <c r="Z35" s="149">
        <f>-INDEX(Parameters!$B:$B,MATCH(Z$3,Parameters!$A:$A,0))*$X35</f>
        <v>0</v>
      </c>
      <c r="AA35" s="148">
        <f t="shared" si="59"/>
        <v>1000</v>
      </c>
      <c r="AB35" s="148">
        <f>AA35/INDEX(Parameters!$B:$B,MATCH("AfschrijftermijnVVE"&amp;12*$C35,Parameters!$A:$A,0))</f>
        <v>27.777777777777779</v>
      </c>
      <c r="AC35" s="148">
        <f>INDEX('Tarieven ZM'!$G:$G,$W35)</f>
        <v>1000</v>
      </c>
      <c r="AD35" s="161">
        <f>-INDEX(Parameters!$B:$B,MATCH(AD$3,Parameters!$A:$A,0))*$AC35</f>
        <v>0</v>
      </c>
      <c r="AE35" s="161">
        <f>-INDEX(Parameters!$B:$B,MATCH(AE$3,Parameters!$A:$A,0))*$AC35</f>
        <v>0</v>
      </c>
      <c r="AF35" s="148">
        <f t="shared" si="60"/>
        <v>1000</v>
      </c>
      <c r="AG35" s="151">
        <f t="shared" si="9"/>
        <v>1027.7777777777778</v>
      </c>
      <c r="AH35" s="209"/>
      <c r="AI35" s="147">
        <f>IF(Q35&lt;&gt;"nvt",MATCH($T35,'Tarieven W&amp;O'!$B:$B,0),"nvt")</f>
        <v>37</v>
      </c>
      <c r="AJ35" s="262">
        <f>IF(AI35&lt;&gt;"nvt",INDEX('Tarieven W&amp;O'!$H:$H,$AI35)+INDEX(Parameters!C:C,MATCH("NLSx "&amp;O35&amp;" "&amp;M35,Parameters!A:A,0)),0)</f>
        <v>64</v>
      </c>
      <c r="AK35" s="148">
        <f>IF(AI35&lt;&gt;"nvt",INDEX('Tarieven W&amp;O'!$I:$I,$AI35),0)</f>
        <v>25</v>
      </c>
      <c r="AL35" s="149">
        <f>IF(AI35&lt;&gt;"nvt",-INDEX(Parameters!$B:$B,MATCH(AL$3&amp;$M35,Parameters!$A:$A,0))*(AJ35+AK35),0)</f>
        <v>0</v>
      </c>
      <c r="AM35" s="149"/>
      <c r="AN35" s="148">
        <f t="shared" si="10"/>
        <v>89</v>
      </c>
      <c r="AO35" s="171">
        <f>AN35/INDEX(Parameters!$B:$B,MATCH("AfschrijftermijnVVE"&amp;12*$C35,Parameters!$A:$A,0))</f>
        <v>2.4722222222222223</v>
      </c>
      <c r="AP35" s="148">
        <f>MATCH($U35,'Tarieven W&amp;O'!$B:$B,0)</f>
        <v>29</v>
      </c>
      <c r="AQ35" s="150">
        <f>IF(AP35&lt;&gt;"nvt",INDEX('Tarieven W&amp;O'!$G:$G,$AP35),0)</f>
        <v>11.2</v>
      </c>
      <c r="AR35" s="277">
        <f>-INDEX(Parameters!$B:$B,MATCH(AR$3&amp;$M35&amp;O35,Parameters!$A:$A,0))*(AQ35)</f>
        <v>0</v>
      </c>
      <c r="AS35" s="148"/>
      <c r="AT35" s="148"/>
      <c r="AU35" s="150">
        <f t="shared" si="11"/>
        <v>11.2</v>
      </c>
      <c r="AV35" s="150">
        <f t="shared" si="12"/>
        <v>13.672222222222221</v>
      </c>
      <c r="AW35" s="202"/>
      <c r="AX35" s="150">
        <f>Parameters!$B$6*AV35</f>
        <v>0.13672222222222222</v>
      </c>
      <c r="AY35" s="202">
        <v>0</v>
      </c>
      <c r="AZ35" s="202"/>
      <c r="BA35" s="150">
        <f t="shared" si="13"/>
        <v>0.13672222222222222</v>
      </c>
      <c r="BB35" s="202"/>
      <c r="BC35" s="151">
        <f t="shared" si="14"/>
        <v>13.808944444444442</v>
      </c>
      <c r="BD35" s="209"/>
      <c r="BE35" s="140">
        <f t="shared" si="2"/>
        <v>1013.9688333333334</v>
      </c>
      <c r="BF35" s="141">
        <f t="shared" si="3"/>
        <v>0.98656427027027027</v>
      </c>
      <c r="BG35" s="142" t="b">
        <f t="shared" si="15"/>
        <v>0</v>
      </c>
      <c r="BI35" s="188" t="s">
        <v>538</v>
      </c>
      <c r="BJ35" s="189"/>
      <c r="BK35">
        <f>VLOOKUP(J35,'Tarieven ZM'!$B$7:$I$146,8,0)</f>
        <v>0</v>
      </c>
      <c r="BL35" s="203" t="str">
        <f t="shared" si="16"/>
        <v>VDSLNew lineunshared</v>
      </c>
      <c r="BM35" s="282">
        <f>INDEX('inkoop ULL tbv Epacity'!$J:$J,MATCH(BL35,'inkoop ULL tbv Epacity'!$H:$H,0),0)</f>
        <v>75</v>
      </c>
      <c r="BN35" s="171">
        <f>BM35/INDEX(Parameters!$B:$B,MATCH("AfschrijftermijnVVE"&amp;12*$C35,Parameters!$A:$A,0))</f>
        <v>2.0833333333333335</v>
      </c>
      <c r="BO35" s="263">
        <f>INDEX('inkoop ULL tbv Epacity'!$I:$I,MATCH(BL35,'inkoop ULL tbv Epacity'!$H:$H,0),0)</f>
        <v>12.501783475119046</v>
      </c>
      <c r="BP35" s="263">
        <f t="shared" si="17"/>
        <v>14.58511680845238</v>
      </c>
      <c r="BQ35" s="203"/>
      <c r="BR35" s="262">
        <f>Parameters!$B$12*AG35</f>
        <v>102.77777777777779</v>
      </c>
      <c r="BS35" s="262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SUM(Distributievergoedingen!$F$12,Distributievergoedingen!$I$12,Distributievergoedingen!$L$12,Distributievergoedingen!$O$12)*AF35+SUM(Distributievergoedingen!$O$12*AA35+Distributievergoedingen!$R$12+Distributievergoedingen!$U$12+Distributievergoedingen!$X$12)/(MAX(36,12*L35))</f>
        <v>112.77777777777777</v>
      </c>
      <c r="BT35" s="150"/>
      <c r="BU35" s="150">
        <f t="shared" si="18"/>
        <v>215.55555555555554</v>
      </c>
      <c r="BW35" s="151">
        <f t="shared" si="19"/>
        <v>230.14067236400791</v>
      </c>
      <c r="BY35" s="140">
        <f t="shared" si="20"/>
        <v>797.63710541376986</v>
      </c>
      <c r="BZ35" s="141">
        <f t="shared" si="21"/>
        <v>0.7760793458079922</v>
      </c>
      <c r="CA35" s="142" t="b">
        <f t="shared" si="22"/>
        <v>0</v>
      </c>
    </row>
    <row r="36" spans="1:79">
      <c r="A36" s="203" t="str">
        <f t="shared" si="57"/>
        <v>2VDSL bondingPremiumnieuwunshared</v>
      </c>
      <c r="B36" s="203" t="str">
        <f t="shared" ref="B36" si="62">A36</f>
        <v>2VDSL bondingPremiumnieuwunshared</v>
      </c>
      <c r="C36" s="438">
        <v>2</v>
      </c>
      <c r="D36" s="438" t="s">
        <v>222</v>
      </c>
      <c r="E36" s="438" t="s">
        <v>70</v>
      </c>
      <c r="F36" s="438"/>
      <c r="G36" s="438"/>
      <c r="H36" s="438" t="s">
        <v>125</v>
      </c>
      <c r="I36" s="438" t="s">
        <v>128</v>
      </c>
      <c r="J36" s="274" t="str">
        <f t="shared" si="58"/>
        <v>VDSL bondingnieuwunshared</v>
      </c>
      <c r="L36" s="160">
        <f>INDEX(Mapping!$J:$J,MATCH(C$3&amp;C36,Mapping!$B:$B,0))</f>
        <v>1</v>
      </c>
      <c r="M36" s="148" t="str">
        <f>INDEX(Mapping!$H:$H,MATCH($E36,Mapping!$B:$B,0))</f>
        <v>WBA ZM Ethernet</v>
      </c>
      <c r="N36" s="179" t="str">
        <f>INDEX(Mapping!$I:$I,MATCH($D36&amp;$I36,Mapping!$B:$B,0))</f>
        <v>VDSL Bonding</v>
      </c>
      <c r="O36" s="179" t="str">
        <f>INDEX(Mapping!$I:$I,MATCH($D36,Mapping!$B:$B,0))</f>
        <v>VDSL Bonding</v>
      </c>
      <c r="P36" s="179"/>
      <c r="Q36" s="179" t="str">
        <f>INDEX(Mapping!$H:$H,MATCH($H36,Mapping!$B:$B,0))</f>
        <v>New line</v>
      </c>
      <c r="R36" s="179" t="s">
        <v>115</v>
      </c>
      <c r="S36" s="148" t="str">
        <f>INDEX(Mapping!$J:$J,MATCH($D36&amp;$I36,Mapping!$B:$B,0))</f>
        <v>unshared</v>
      </c>
      <c r="T36" s="148" t="str">
        <f t="shared" ref="T36:T63" si="63">M36&amp;O36&amp;Q36</f>
        <v>WBA ZM EthernetVDSL BondingNew line</v>
      </c>
      <c r="U36" s="142" t="str">
        <f t="shared" ref="U36:U63" si="64">M36&amp;O36&amp;S36</f>
        <v>WBA ZM EthernetVDSL Bondingunshared</v>
      </c>
      <c r="W36" s="160">
        <f>MATCH($J36,'Tarieven ZM'!$B:$B,0)</f>
        <v>99</v>
      </c>
      <c r="X36" s="148">
        <f>INDEX('Tarieven ZM'!$H:$H,$W36)</f>
        <v>1000</v>
      </c>
      <c r="Y36" s="161">
        <f>-INDEX(Parameters!$B:$B,MATCH(Y$3,Parameters!$A:$A,0))*$X36</f>
        <v>0</v>
      </c>
      <c r="Z36" s="149">
        <f>-INDEX(Parameters!$B:$B,MATCH(Z$3,Parameters!$A:$A,0))*$X36</f>
        <v>0</v>
      </c>
      <c r="AA36" s="148">
        <f t="shared" si="59"/>
        <v>1000</v>
      </c>
      <c r="AB36" s="148">
        <f>AA36/INDEX(Parameters!$B:$B,MATCH("AfschrijftermijnVVE"&amp;12*$C36,Parameters!$A:$A,0))</f>
        <v>27.777777777777779</v>
      </c>
      <c r="AC36" s="148">
        <f>INDEX('Tarieven ZM'!$G:$G,$W36)</f>
        <v>1000</v>
      </c>
      <c r="AD36" s="161">
        <f>-INDEX(Parameters!$B:$B,MATCH(AD$3,Parameters!$A:$A,0))*$AC36</f>
        <v>0</v>
      </c>
      <c r="AE36" s="161">
        <f>-INDEX(Parameters!$B:$B,MATCH(AE$3,Parameters!$A:$A,0))*$AC36</f>
        <v>0</v>
      </c>
      <c r="AF36" s="148">
        <f t="shared" si="60"/>
        <v>1000</v>
      </c>
      <c r="AG36" s="151">
        <f t="shared" si="9"/>
        <v>1027.7777777777778</v>
      </c>
      <c r="AH36" s="209"/>
      <c r="AI36" s="147">
        <f>IF(Q36&lt;&gt;"nvt",MATCH($T36,'Tarieven W&amp;O'!$B:$B,0),"nvt")</f>
        <v>43</v>
      </c>
      <c r="AJ36" s="262">
        <f>IF(AI36&lt;&gt;"nvt",INDEX('Tarieven W&amp;O'!$H:$H,$AI36)+INDEX(Parameters!C:C,MATCH("NLSx "&amp;O36&amp;" "&amp;M36,Parameters!A:A,0)),0)</f>
        <v>173.45</v>
      </c>
      <c r="AK36" s="148">
        <f>IF(AI36&lt;&gt;"nvt",INDEX('Tarieven W&amp;O'!$I:$I,$AI36),0)</f>
        <v>25</v>
      </c>
      <c r="AL36" s="149">
        <f>IF(AI36&lt;&gt;"nvt",-INDEX(Parameters!$B:$B,MATCH(AL$3&amp;$M36,Parameters!$A:$A,0))*(AJ36+AK36),0)</f>
        <v>0</v>
      </c>
      <c r="AM36" s="149"/>
      <c r="AN36" s="148">
        <f t="shared" si="10"/>
        <v>198.45</v>
      </c>
      <c r="AO36" s="171">
        <f>AN36/INDEX(Parameters!$B:$B,MATCH("AfschrijftermijnVVE"&amp;12*$C36,Parameters!$A:$A,0))</f>
        <v>5.5124999999999993</v>
      </c>
      <c r="AP36" s="148">
        <f>MATCH($U36,'Tarieven W&amp;O'!$B:$B,0)</f>
        <v>33</v>
      </c>
      <c r="AQ36" s="150">
        <f>IF(AP36&lt;&gt;"nvt",INDEX('Tarieven W&amp;O'!$G:$G,$AP36),0)</f>
        <v>17.34</v>
      </c>
      <c r="AR36" s="277">
        <f>-INDEX(Parameters!$B:$B,MATCH(AR$3&amp;$M36&amp;O36,Parameters!$A:$A,0))*(AQ36)</f>
        <v>0</v>
      </c>
      <c r="AS36" s="148"/>
      <c r="AT36" s="148"/>
      <c r="AU36" s="150">
        <f t="shared" si="11"/>
        <v>17.34</v>
      </c>
      <c r="AV36" s="150">
        <f t="shared" si="12"/>
        <v>22.852499999999999</v>
      </c>
      <c r="AW36" s="202"/>
      <c r="AX36" s="150">
        <f>Parameters!$B$6*AV36</f>
        <v>0.22852500000000001</v>
      </c>
      <c r="AY36" s="202">
        <v>0</v>
      </c>
      <c r="AZ36" s="202"/>
      <c r="BA36" s="150">
        <f t="shared" si="13"/>
        <v>0.22852500000000001</v>
      </c>
      <c r="BB36" s="202"/>
      <c r="BC36" s="151">
        <f t="shared" si="14"/>
        <v>23.081025</v>
      </c>
      <c r="BD36" s="209"/>
      <c r="BE36" s="140">
        <f t="shared" si="2"/>
        <v>1004.6967527777779</v>
      </c>
      <c r="BF36" s="141">
        <f t="shared" si="3"/>
        <v>0.97754278648648651</v>
      </c>
      <c r="BG36" s="142" t="b">
        <f t="shared" si="15"/>
        <v>0</v>
      </c>
      <c r="BI36" s="188" t="s">
        <v>538</v>
      </c>
      <c r="BJ36" s="189"/>
      <c r="BK36">
        <f>VLOOKUP(J36,'Tarieven ZM'!$B$7:$I$146,8,0)</f>
        <v>0</v>
      </c>
      <c r="BL36" s="203" t="str">
        <f t="shared" si="16"/>
        <v>VDSL BondingNew lineunshared</v>
      </c>
      <c r="BM36" s="282">
        <f>INDEX('inkoop ULL tbv Epacity'!$J:$J,MATCH(BL36,'inkoop ULL tbv Epacity'!$H:$H,0),0)</f>
        <v>35</v>
      </c>
      <c r="BN36" s="171">
        <f>BM36/INDEX(Parameters!$B:$B,MATCH("AfschrijftermijnVVE"&amp;12*$C36,Parameters!$A:$A,0))</f>
        <v>0.97222222222222221</v>
      </c>
      <c r="BO36" s="263">
        <f>INDEX('inkoop ULL tbv Epacity'!$I:$I,MATCH(BL36,'inkoop ULL tbv Epacity'!$H:$H,0),0)</f>
        <v>16.787259665595236</v>
      </c>
      <c r="BP36" s="263">
        <f t="shared" si="17"/>
        <v>17.759481887817458</v>
      </c>
      <c r="BQ36" s="203"/>
      <c r="BR36" s="262">
        <f>Parameters!$B$12*AG36</f>
        <v>102.77777777777779</v>
      </c>
      <c r="BS36" s="262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SUM(Distributievergoedingen!$F$12,Distributievergoedingen!$I$12,Distributievergoedingen!$L$12,Distributievergoedingen!$O$12)*AF36+SUM(Distributievergoedingen!$O$12*AA36+Distributievergoedingen!$R$12+Distributievergoedingen!$U$12+Distributievergoedingen!$X$12)/(MAX(36,12*L36))</f>
        <v>112.77777777777777</v>
      </c>
      <c r="BT36" s="150"/>
      <c r="BU36" s="150">
        <f t="shared" si="18"/>
        <v>215.55555555555554</v>
      </c>
      <c r="BW36" s="151">
        <f t="shared" si="19"/>
        <v>233.315037443373</v>
      </c>
      <c r="BY36" s="140">
        <f t="shared" si="20"/>
        <v>794.46274033440477</v>
      </c>
      <c r="BZ36" s="141">
        <f t="shared" si="21"/>
        <v>0.77299077437942088</v>
      </c>
      <c r="CA36" s="142" t="b">
        <f t="shared" si="22"/>
        <v>0</v>
      </c>
    </row>
    <row r="37" spans="1:79">
      <c r="A37" s="203" t="str">
        <f t="shared" si="57"/>
        <v>2SDSLPremiumnieuwunshared</v>
      </c>
      <c r="B37" s="203" t="str">
        <f t="shared" si="5"/>
        <v>2SDSLPremiumnieuwunshared</v>
      </c>
      <c r="C37" s="438">
        <v>2</v>
      </c>
      <c r="D37" s="438" t="s">
        <v>64</v>
      </c>
      <c r="E37" s="438" t="s">
        <v>70</v>
      </c>
      <c r="F37" s="438"/>
      <c r="G37" s="438"/>
      <c r="H37" s="438" t="s">
        <v>125</v>
      </c>
      <c r="I37" s="438" t="s">
        <v>128</v>
      </c>
      <c r="J37" s="274" t="str">
        <f t="shared" si="58"/>
        <v>SDSLnieuwunshared</v>
      </c>
      <c r="L37" s="160">
        <f>INDEX(Mapping!$J:$J,MATCH(C$3&amp;C37,Mapping!$B:$B,0))</f>
        <v>1</v>
      </c>
      <c r="M37" s="148" t="str">
        <f>INDEX(Mapping!$H:$H,MATCH($E37,Mapping!$B:$B,0))</f>
        <v>WBA ZM Ethernet</v>
      </c>
      <c r="N37" s="179" t="str">
        <f>INDEX(Mapping!$I:$I,MATCH($D37&amp;$I37,Mapping!$B:$B,0))</f>
        <v>SDSL</v>
      </c>
      <c r="O37" s="179" t="str">
        <f>INDEX(Mapping!$I:$I,MATCH($D37,Mapping!$B:$B,0))</f>
        <v>SDSL</v>
      </c>
      <c r="P37" s="179"/>
      <c r="Q37" s="179" t="str">
        <f>INDEX(Mapping!$H:$H,MATCH($H37,Mapping!$B:$B,0))</f>
        <v>New line</v>
      </c>
      <c r="R37" s="179" t="s">
        <v>115</v>
      </c>
      <c r="S37" s="148" t="str">
        <f>INDEX(Mapping!$J:$J,MATCH($D37&amp;$I37,Mapping!$B:$B,0))</f>
        <v>unshared</v>
      </c>
      <c r="T37" s="148" t="str">
        <f t="shared" si="63"/>
        <v>WBA ZM EthernetSDSLNew line</v>
      </c>
      <c r="U37" s="142" t="str">
        <f t="shared" si="64"/>
        <v>WBA ZM EthernetSDSLunshared</v>
      </c>
      <c r="W37" s="160">
        <f>MATCH($J37,'Tarieven ZM'!$B:$B,0)</f>
        <v>100</v>
      </c>
      <c r="X37" s="148">
        <f>INDEX('Tarieven ZM'!$H:$H,$W37)</f>
        <v>1000</v>
      </c>
      <c r="Y37" s="161">
        <f>-INDEX(Parameters!$B:$B,MATCH(Y$3,Parameters!$A:$A,0))*$X37</f>
        <v>0</v>
      </c>
      <c r="Z37" s="149">
        <f>-INDEX(Parameters!$B:$B,MATCH(Z$3,Parameters!$A:$A,0))*$X37</f>
        <v>0</v>
      </c>
      <c r="AA37" s="148">
        <f t="shared" si="59"/>
        <v>1000</v>
      </c>
      <c r="AB37" s="148">
        <f>AA37/INDEX(Parameters!$B:$B,MATCH("AfschrijftermijnVVE"&amp;12*$C37,Parameters!$A:$A,0))</f>
        <v>27.777777777777779</v>
      </c>
      <c r="AC37" s="148">
        <f>INDEX('Tarieven ZM'!$G:$G,$W37)</f>
        <v>1000</v>
      </c>
      <c r="AD37" s="161">
        <f>-INDEX(Parameters!$B:$B,MATCH(AD$3,Parameters!$A:$A,0))*$AC37</f>
        <v>0</v>
      </c>
      <c r="AE37" s="161">
        <f>-INDEX(Parameters!$B:$B,MATCH(AE$3,Parameters!$A:$A,0))*$AC37</f>
        <v>0</v>
      </c>
      <c r="AF37" s="148">
        <f t="shared" si="60"/>
        <v>1000</v>
      </c>
      <c r="AG37" s="151">
        <f t="shared" si="9"/>
        <v>1027.7777777777778</v>
      </c>
      <c r="AH37" s="209"/>
      <c r="AI37" s="147">
        <f>IF(Q37&lt;&gt;"nvt",MATCH($T37,'Tarieven W&amp;O'!$B:$B,0),"nvt")</f>
        <v>38</v>
      </c>
      <c r="AJ37" s="262">
        <f>IF(AI37&lt;&gt;"nvt",INDEX('Tarieven W&amp;O'!$H:$H,$AI37)+INDEX(Parameters!C:C,MATCH("NLSx "&amp;O37&amp;" "&amp;M37,Parameters!A:A,0)),0)</f>
        <v>64</v>
      </c>
      <c r="AK37" s="148">
        <f>IF(AI37&lt;&gt;"nvt",INDEX('Tarieven W&amp;O'!$I:$I,$AI37),0)</f>
        <v>25</v>
      </c>
      <c r="AL37" s="149">
        <f>IF(AI37&lt;&gt;"nvt",-INDEX(Parameters!$B:$B,MATCH(AL$3&amp;$M37,Parameters!$A:$A,0))*(AJ37+AK37),0)</f>
        <v>0</v>
      </c>
      <c r="AM37" s="149"/>
      <c r="AN37" s="148">
        <f t="shared" si="10"/>
        <v>89</v>
      </c>
      <c r="AO37" s="171">
        <f>AN37/INDEX(Parameters!$B:$B,MATCH("AfschrijftermijnVVE"&amp;12*$C37,Parameters!$A:$A,0))</f>
        <v>2.4722222222222223</v>
      </c>
      <c r="AP37" s="148">
        <f>MATCH($U37,'Tarieven W&amp;O'!$B:$B,0)</f>
        <v>30</v>
      </c>
      <c r="AQ37" s="150">
        <f>IF(AP37&lt;&gt;"nvt",INDEX('Tarieven W&amp;O'!$G:$G,$AP37),0)</f>
        <v>22.1</v>
      </c>
      <c r="AR37" s="277">
        <f>-INDEX(Parameters!$B:$B,MATCH(AR$3&amp;$M37&amp;O37,Parameters!$A:$A,0))*(AQ37)</f>
        <v>0</v>
      </c>
      <c r="AS37" s="148"/>
      <c r="AT37" s="148"/>
      <c r="AU37" s="150">
        <f t="shared" si="11"/>
        <v>22.1</v>
      </c>
      <c r="AV37" s="150">
        <f t="shared" si="12"/>
        <v>24.572222222222223</v>
      </c>
      <c r="AW37" s="202"/>
      <c r="AX37" s="150">
        <f>Parameters!$B$6*AV37</f>
        <v>0.24572222222222223</v>
      </c>
      <c r="AY37" s="202">
        <v>0</v>
      </c>
      <c r="AZ37" s="202"/>
      <c r="BA37" s="150">
        <f t="shared" si="13"/>
        <v>0.24572222222222223</v>
      </c>
      <c r="BB37" s="202"/>
      <c r="BC37" s="151">
        <f t="shared" si="14"/>
        <v>24.817944444444446</v>
      </c>
      <c r="BD37" s="209"/>
      <c r="BE37" s="140">
        <f t="shared" si="2"/>
        <v>1002.9598333333333</v>
      </c>
      <c r="BF37" s="141">
        <f t="shared" si="3"/>
        <v>0.97585281081081077</v>
      </c>
      <c r="BG37" s="142" t="b">
        <f t="shared" si="15"/>
        <v>0</v>
      </c>
      <c r="BI37" s="188" t="s">
        <v>538</v>
      </c>
      <c r="BJ37" s="189"/>
      <c r="BK37">
        <f>VLOOKUP(J37,'Tarieven ZM'!$B$7:$I$146,8,0)</f>
        <v>0</v>
      </c>
      <c r="BL37" s="203" t="str">
        <f t="shared" si="16"/>
        <v>SDSLNew lineunshared</v>
      </c>
      <c r="BM37" s="282">
        <f>INDEX('inkoop ULL tbv Epacity'!$J:$J,MATCH(BL37,'inkoop ULL tbv Epacity'!$H:$H,0),0)</f>
        <v>76.960000000000008</v>
      </c>
      <c r="BN37" s="171">
        <f>BM37/INDEX(Parameters!$B:$B,MATCH("AfschrijftermijnVVE"&amp;12*$C37,Parameters!$A:$A,0))</f>
        <v>2.137777777777778</v>
      </c>
      <c r="BO37" s="263">
        <f>INDEX('inkoop ULL tbv Epacity'!$I:$I,MATCH(BL37,'inkoop ULL tbv Epacity'!$H:$H,0),0)</f>
        <v>9.3855844444444436</v>
      </c>
      <c r="BP37" s="263">
        <f t="shared" si="17"/>
        <v>11.523362222222222</v>
      </c>
      <c r="BQ37" s="203"/>
      <c r="BR37" s="262">
        <f>Parameters!$B$12*AG37</f>
        <v>102.77777777777779</v>
      </c>
      <c r="BS37" s="262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SUM(Distributievergoedingen!$F$12,Distributievergoedingen!$I$12,Distributievergoedingen!$L$12,Distributievergoedingen!$O$12)*AF37+SUM(Distributievergoedingen!$O$12*AA37+Distributievergoedingen!$R$12+Distributievergoedingen!$U$12+Distributievergoedingen!$X$12)/(MAX(36,12*L37))</f>
        <v>112.77777777777777</v>
      </c>
      <c r="BT37" s="150"/>
      <c r="BU37" s="150">
        <f t="shared" si="18"/>
        <v>215.55555555555554</v>
      </c>
      <c r="BW37" s="151">
        <f t="shared" si="19"/>
        <v>227.07891777777778</v>
      </c>
      <c r="BY37" s="140">
        <f t="shared" si="20"/>
        <v>800.69886000000008</v>
      </c>
      <c r="BZ37" s="141">
        <f t="shared" si="21"/>
        <v>0.77905835027027026</v>
      </c>
      <c r="CA37" s="142" t="b">
        <f t="shared" si="22"/>
        <v>0</v>
      </c>
    </row>
    <row r="38" spans="1:79">
      <c r="A38" s="203" t="str">
        <f t="shared" si="57"/>
        <v>2SA IPVPNPremiumnieuwunshared</v>
      </c>
      <c r="B38" s="203" t="str">
        <f t="shared" si="5"/>
        <v>2SA IPVPNPremiumnieuwunshared</v>
      </c>
      <c r="C38" s="438">
        <v>2</v>
      </c>
      <c r="D38" s="438" t="s">
        <v>93</v>
      </c>
      <c r="E38" s="438" t="s">
        <v>70</v>
      </c>
      <c r="F38" s="438"/>
      <c r="G38" s="438"/>
      <c r="H38" s="438" t="s">
        <v>125</v>
      </c>
      <c r="I38" s="438" t="s">
        <v>128</v>
      </c>
      <c r="J38" s="274" t="str">
        <f t="shared" si="58"/>
        <v>SA IPVPNnieuwunshared</v>
      </c>
      <c r="L38" s="160">
        <f>INDEX(Mapping!$J:$J,MATCH(C$3&amp;C38,Mapping!$B:$B,0))</f>
        <v>1</v>
      </c>
      <c r="M38" s="148" t="str">
        <f>INDEX(Mapping!$H:$H,MATCH($E38,Mapping!$B:$B,0))</f>
        <v>WBA ZM Ethernet</v>
      </c>
      <c r="N38" s="179" t="str">
        <f>INDEX(Mapping!$I:$I,MATCH($D38&amp;$I38,Mapping!$B:$B,0))</f>
        <v>FttH</v>
      </c>
      <c r="O38" s="179" t="str">
        <f>INDEX(Mapping!$I:$I,MATCH($D38,Mapping!$B:$B,0))</f>
        <v>FttH</v>
      </c>
      <c r="P38" s="179"/>
      <c r="Q38" s="179" t="str">
        <f>INDEX(Mapping!$H:$H,MATCH($H38,Mapping!$B:$B,0))</f>
        <v>New line</v>
      </c>
      <c r="R38" s="179" t="s">
        <v>115</v>
      </c>
      <c r="S38" s="148" t="str">
        <f>INDEX(Mapping!$J:$J,MATCH($D38&amp;$I38,Mapping!$B:$B,0))</f>
        <v>unshared</v>
      </c>
      <c r="T38" s="148" t="str">
        <f t="shared" si="63"/>
        <v>WBA ZM EthernetFttHNew line</v>
      </c>
      <c r="U38" s="142" t="str">
        <f t="shared" si="64"/>
        <v>WBA ZM EthernetFttHunshared</v>
      </c>
      <c r="W38" s="160">
        <f>MATCH($J38,'Tarieven ZM'!$B:$B,0)</f>
        <v>101</v>
      </c>
      <c r="X38" s="148">
        <f>INDEX('Tarieven ZM'!$H:$H,$W38)</f>
        <v>1000</v>
      </c>
      <c r="Y38" s="161">
        <f>-INDEX(Parameters!$B:$B,MATCH(Y$3,Parameters!$A:$A,0))*$X38</f>
        <v>0</v>
      </c>
      <c r="Z38" s="149">
        <f>-INDEX(Parameters!$B:$B,MATCH(Z$3,Parameters!$A:$A,0))*$X38</f>
        <v>0</v>
      </c>
      <c r="AA38" s="148">
        <f t="shared" si="59"/>
        <v>1000</v>
      </c>
      <c r="AB38" s="148">
        <f>AA38/INDEX(Parameters!$B:$B,MATCH("AfschrijftermijnVVE"&amp;12*$C38,Parameters!$A:$A,0))</f>
        <v>27.777777777777779</v>
      </c>
      <c r="AC38" s="148">
        <f>INDEX('Tarieven ZM'!$G:$G,$W38)</f>
        <v>1000</v>
      </c>
      <c r="AD38" s="161">
        <f>-INDEX(Parameters!$B:$B,MATCH(AD$3,Parameters!$A:$A,0))*$AC38</f>
        <v>0</v>
      </c>
      <c r="AE38" s="161">
        <f>-INDEX(Parameters!$B:$B,MATCH(AE$3,Parameters!$A:$A,0))*$AC38</f>
        <v>0</v>
      </c>
      <c r="AF38" s="148">
        <f t="shared" si="60"/>
        <v>1000</v>
      </c>
      <c r="AG38" s="151">
        <f t="shared" si="9"/>
        <v>1027.7777777777778</v>
      </c>
      <c r="AH38" s="209"/>
      <c r="AI38" s="147">
        <f>IF(Q38&lt;&gt;"nvt",MATCH($T38,'Tarieven W&amp;O'!$B:$B,0),"nvt")</f>
        <v>39</v>
      </c>
      <c r="AJ38" s="262">
        <f>IF(AI38&lt;&gt;"nvt",INDEX('Tarieven W&amp;O'!$H:$H,$AI38)+INDEX(Parameters!C:C,MATCH("NLSx "&amp;O38&amp;" "&amp;M38,Parameters!A:A,0)),0)</f>
        <v>24</v>
      </c>
      <c r="AK38" s="148">
        <f>IF(AI38&lt;&gt;"nvt",INDEX('Tarieven W&amp;O'!$I:$I,$AI38),0)</f>
        <v>25</v>
      </c>
      <c r="AL38" s="149">
        <f>IF(AI38&lt;&gt;"nvt",-INDEX(Parameters!$B:$B,MATCH(AL$3&amp;$M38,Parameters!$A:$A,0))*(AJ38+AK38),0)</f>
        <v>0</v>
      </c>
      <c r="AM38" s="149"/>
      <c r="AN38" s="148">
        <f t="shared" si="10"/>
        <v>49</v>
      </c>
      <c r="AO38" s="171">
        <f>AN38/INDEX(Parameters!$B:$B,MATCH("AfschrijftermijnVVE"&amp;12*$C38,Parameters!$A:$A,0))</f>
        <v>1.3611111111111112</v>
      </c>
      <c r="AP38" s="148">
        <f>MATCH($U38,'Tarieven W&amp;O'!$B:$B,0)</f>
        <v>31</v>
      </c>
      <c r="AQ38" s="150">
        <f>IF(AP38&lt;&gt;"nvt",INDEX('Tarieven W&amp;O'!$G:$G,$AP38),0)</f>
        <v>19</v>
      </c>
      <c r="AR38" s="277">
        <f>-INDEX(Parameters!$B:$B,MATCH(AR$3&amp;$M38&amp;O38,Parameters!$A:$A,0))*(AQ38)</f>
        <v>0</v>
      </c>
      <c r="AS38" s="148"/>
      <c r="AT38" s="148"/>
      <c r="AU38" s="150">
        <f t="shared" si="11"/>
        <v>19</v>
      </c>
      <c r="AV38" s="150">
        <f t="shared" si="12"/>
        <v>20.361111111111111</v>
      </c>
      <c r="AW38" s="202"/>
      <c r="AX38" s="150">
        <f>Parameters!$B$6*AV38</f>
        <v>0.2036111111111111</v>
      </c>
      <c r="AY38" s="202">
        <v>0</v>
      </c>
      <c r="AZ38" s="202"/>
      <c r="BA38" s="150">
        <f t="shared" si="13"/>
        <v>0.2036111111111111</v>
      </c>
      <c r="BB38" s="202"/>
      <c r="BC38" s="151">
        <f t="shared" si="14"/>
        <v>20.564722222222223</v>
      </c>
      <c r="BD38" s="209"/>
      <c r="BE38" s="140">
        <f t="shared" si="2"/>
        <v>1007.2130555555556</v>
      </c>
      <c r="BF38" s="141">
        <f t="shared" si="3"/>
        <v>0.97999108108108102</v>
      </c>
      <c r="BG38" s="142" t="b">
        <f t="shared" si="15"/>
        <v>0</v>
      </c>
      <c r="BI38" s="188" t="s">
        <v>538</v>
      </c>
      <c r="BJ38" s="189"/>
      <c r="BK38">
        <f>VLOOKUP(J38,'Tarieven ZM'!$B$7:$I$146,8,0)</f>
        <v>0</v>
      </c>
      <c r="BL38" s="203" t="str">
        <f t="shared" si="16"/>
        <v>FttHNew lineunshared</v>
      </c>
      <c r="BM38" s="282">
        <f>INDEX('inkoop ULL tbv Epacity'!$J:$J,MATCH(BL38,'inkoop ULL tbv Epacity'!$H:$H,0),0)</f>
        <v>114.6</v>
      </c>
      <c r="BN38" s="171">
        <f>BM38/INDEX(Parameters!$B:$B,MATCH("AfschrijftermijnVVE"&amp;12*$C38,Parameters!$A:$A,0))</f>
        <v>3.1833333333333331</v>
      </c>
      <c r="BO38" s="263">
        <f>INDEX('inkoop ULL tbv Epacity'!$I:$I,MATCH(BL38,'inkoop ULL tbv Epacity'!$H:$H,0),0)</f>
        <v>18.2732188395</v>
      </c>
      <c r="BP38" s="263">
        <f t="shared" si="17"/>
        <v>21.456552172833334</v>
      </c>
      <c r="BQ38" s="203"/>
      <c r="BR38" s="262">
        <f>Parameters!$B$12*AG38</f>
        <v>102.77777777777779</v>
      </c>
      <c r="BS38" s="262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SUM(Distributievergoedingen!$F$12,Distributievergoedingen!$I$12,Distributievergoedingen!$L$12,Distributievergoedingen!$O$12)*AF38+SUM(Distributievergoedingen!$O$12*AA38+Distributievergoedingen!$R$12+Distributievergoedingen!$U$12+Distributievergoedingen!$X$12)/(MAX(36,12*L38))</f>
        <v>112.77777777777777</v>
      </c>
      <c r="BT38" s="150"/>
      <c r="BU38" s="150">
        <f t="shared" si="18"/>
        <v>215.55555555555554</v>
      </c>
      <c r="BW38" s="151">
        <f t="shared" si="19"/>
        <v>237.01210772838888</v>
      </c>
      <c r="BY38" s="140">
        <f t="shared" si="20"/>
        <v>790.76567004938897</v>
      </c>
      <c r="BZ38" s="141">
        <f t="shared" si="21"/>
        <v>0.76939362491291896</v>
      </c>
      <c r="CA38" s="142" t="b">
        <f t="shared" si="22"/>
        <v>0</v>
      </c>
    </row>
    <row r="39" spans="1:79">
      <c r="A39" s="203" t="str">
        <f t="shared" si="57"/>
        <v>2VDSLPremiumbestaandunshared</v>
      </c>
      <c r="B39" s="203" t="str">
        <f t="shared" si="5"/>
        <v>2VDSLPremiumbestaandunshared</v>
      </c>
      <c r="C39" s="438">
        <v>2</v>
      </c>
      <c r="D39" s="438" t="s">
        <v>77</v>
      </c>
      <c r="E39" s="438" t="s">
        <v>70</v>
      </c>
      <c r="F39" s="438"/>
      <c r="G39" s="438"/>
      <c r="H39" s="438" t="s">
        <v>124</v>
      </c>
      <c r="I39" s="438" t="s">
        <v>128</v>
      </c>
      <c r="J39" s="274" t="str">
        <f t="shared" si="58"/>
        <v>VDSLbestaandunshared</v>
      </c>
      <c r="L39" s="160">
        <f>INDEX(Mapping!$J:$J,MATCH(C$3&amp;C39,Mapping!$B:$B,0))</f>
        <v>1</v>
      </c>
      <c r="M39" s="148" t="str">
        <f>INDEX(Mapping!$H:$H,MATCH($E39,Mapping!$B:$B,0))</f>
        <v>WBA ZM Ethernet</v>
      </c>
      <c r="N39" s="179" t="str">
        <f>INDEX(Mapping!$I:$I,MATCH($D39&amp;$I39,Mapping!$B:$B,0))</f>
        <v>VDSL</v>
      </c>
      <c r="O39" s="179" t="str">
        <f>INDEX(Mapping!$I:$I,MATCH($D39,Mapping!$B:$B,0))</f>
        <v>VDSL</v>
      </c>
      <c r="P39" s="179"/>
      <c r="Q39" s="179" t="str">
        <f>INDEX(Mapping!$H:$H,MATCH($H39,Mapping!$B:$B,0))</f>
        <v>nvt</v>
      </c>
      <c r="R39" s="179" t="s">
        <v>115</v>
      </c>
      <c r="S39" s="148" t="str">
        <f>INDEX(Mapping!$J:$J,MATCH($D39&amp;$I39,Mapping!$B:$B,0))</f>
        <v>unshared</v>
      </c>
      <c r="T39" s="148" t="str">
        <f t="shared" si="63"/>
        <v>WBA ZM EthernetVDSLnvt</v>
      </c>
      <c r="U39" s="142" t="str">
        <f t="shared" si="64"/>
        <v>WBA ZM EthernetVDSLunshared</v>
      </c>
      <c r="W39" s="160">
        <f>MATCH($J39,'Tarieven ZM'!$B:$B,0)</f>
        <v>102</v>
      </c>
      <c r="X39" s="148">
        <f>INDEX('Tarieven ZM'!$H:$H,$W39)</f>
        <v>1000</v>
      </c>
      <c r="Y39" s="161">
        <f>-INDEX(Parameters!$B:$B,MATCH(Y$3,Parameters!$A:$A,0))*$X39</f>
        <v>0</v>
      </c>
      <c r="Z39" s="149">
        <f>-INDEX(Parameters!$B:$B,MATCH(Z$3,Parameters!$A:$A,0))*$X39</f>
        <v>0</v>
      </c>
      <c r="AA39" s="148">
        <f t="shared" si="59"/>
        <v>1000</v>
      </c>
      <c r="AB39" s="148">
        <f>AA39/INDEX(Parameters!$B:$B,MATCH("AfschrijftermijnVVE"&amp;12*$C39,Parameters!$A:$A,0))</f>
        <v>27.777777777777779</v>
      </c>
      <c r="AC39" s="148">
        <f>INDEX('Tarieven ZM'!$G:$G,$W39)</f>
        <v>1000</v>
      </c>
      <c r="AD39" s="161">
        <f>-INDEX(Parameters!$B:$B,MATCH(AD$3,Parameters!$A:$A,0))*$AC39</f>
        <v>0</v>
      </c>
      <c r="AE39" s="161">
        <f>-INDEX(Parameters!$B:$B,MATCH(AE$3,Parameters!$A:$A,0))*$AC39</f>
        <v>0</v>
      </c>
      <c r="AF39" s="148">
        <f t="shared" si="60"/>
        <v>1000</v>
      </c>
      <c r="AG39" s="151">
        <f t="shared" si="9"/>
        <v>1027.7777777777778</v>
      </c>
      <c r="AH39" s="209"/>
      <c r="AI39" s="147" t="str">
        <f>IF(Q39&lt;&gt;"nvt",MATCH($T39,'Tarieven W&amp;O'!$B:$B,0),"nvt")</f>
        <v>nvt</v>
      </c>
      <c r="AJ39" s="262">
        <f>IF(AI39&lt;&gt;"nvt",INDEX('Tarieven W&amp;O'!$H:$H,$AI39)+INDEX(Parameters!C:C,MATCH("NLSx "&amp;O39&amp;" "&amp;M39,Parameters!A:A,0)),0)</f>
        <v>0</v>
      </c>
      <c r="AK39" s="148">
        <f>IF(AI39&lt;&gt;"nvt",INDEX('Tarieven W&amp;O'!$I:$I,$AI39),0)</f>
        <v>0</v>
      </c>
      <c r="AL39" s="149">
        <f>IF(AI39&lt;&gt;"nvt",-INDEX(Parameters!$B:$B,MATCH(AL$3&amp;$M39,Parameters!$A:$A,0))*(AJ39+AK39),0)</f>
        <v>0</v>
      </c>
      <c r="AM39" s="149"/>
      <c r="AN39" s="148">
        <f t="shared" si="10"/>
        <v>0</v>
      </c>
      <c r="AO39" s="171">
        <f>AN39/INDEX(Parameters!$B:$B,MATCH("AfschrijftermijnVVE"&amp;12*$C39,Parameters!$A:$A,0))</f>
        <v>0</v>
      </c>
      <c r="AP39" s="148">
        <f>MATCH($U39,'Tarieven W&amp;O'!$B:$B,0)</f>
        <v>29</v>
      </c>
      <c r="AQ39" s="150">
        <f>IF(AP39&lt;&gt;"nvt",INDEX('Tarieven W&amp;O'!$G:$G,$AP39),0)</f>
        <v>11.2</v>
      </c>
      <c r="AR39" s="277">
        <f>-INDEX(Parameters!$B:$B,MATCH(AR$3&amp;$M39&amp;O39,Parameters!$A:$A,0))*(AQ39)</f>
        <v>0</v>
      </c>
      <c r="AS39" s="148"/>
      <c r="AT39" s="148"/>
      <c r="AU39" s="150">
        <f t="shared" si="11"/>
        <v>11.2</v>
      </c>
      <c r="AV39" s="150">
        <f t="shared" si="12"/>
        <v>11.2</v>
      </c>
      <c r="AW39" s="202"/>
      <c r="AX39" s="150">
        <f>Parameters!$B$6*AV39</f>
        <v>0.11199999999999999</v>
      </c>
      <c r="AY39" s="202">
        <v>0</v>
      </c>
      <c r="AZ39" s="202"/>
      <c r="BA39" s="150">
        <f t="shared" si="13"/>
        <v>0.11199999999999999</v>
      </c>
      <c r="BB39" s="202"/>
      <c r="BC39" s="151">
        <f t="shared" si="14"/>
        <v>11.311999999999999</v>
      </c>
      <c r="BD39" s="209"/>
      <c r="BE39" s="140">
        <f t="shared" si="2"/>
        <v>1016.4657777777778</v>
      </c>
      <c r="BF39" s="141">
        <f t="shared" si="3"/>
        <v>0.98899372972972976</v>
      </c>
      <c r="BG39" s="142" t="b">
        <f t="shared" si="15"/>
        <v>0</v>
      </c>
      <c r="BI39" s="188" t="s">
        <v>538</v>
      </c>
      <c r="BJ39" s="189"/>
      <c r="BK39">
        <f>VLOOKUP(J39,'Tarieven ZM'!$B$7:$I$146,8,0)</f>
        <v>0</v>
      </c>
      <c r="BL39" s="203" t="str">
        <f t="shared" si="16"/>
        <v>VDSLnvtunshared</v>
      </c>
      <c r="BM39" s="282">
        <f>INDEX('inkoop ULL tbv Epacity'!$J:$J,MATCH(BL39,'inkoop ULL tbv Epacity'!$H:$H,0),0)</f>
        <v>35</v>
      </c>
      <c r="BN39" s="171">
        <f>BM39/INDEX(Parameters!$B:$B,MATCH("AfschrijftermijnVVE"&amp;12*$C39,Parameters!$A:$A,0))</f>
        <v>0.97222222222222221</v>
      </c>
      <c r="BO39" s="263">
        <f>INDEX('inkoop ULL tbv Epacity'!$I:$I,MATCH(BL39,'inkoop ULL tbv Epacity'!$H:$H,0),0)</f>
        <v>12.501783475119046</v>
      </c>
      <c r="BP39" s="263">
        <f t="shared" si="17"/>
        <v>13.474005697341267</v>
      </c>
      <c r="BQ39" s="203"/>
      <c r="BR39" s="262">
        <f>Parameters!$B$12*AG39</f>
        <v>102.77777777777779</v>
      </c>
      <c r="BS39" s="262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SUM(Distributievergoedingen!$F$12,Distributievergoedingen!$I$12,Distributievergoedingen!$L$12,Distributievergoedingen!$O$12)*AF39+SUM(Distributievergoedingen!$O$12*AA39+Distributievergoedingen!$R$12+Distributievergoedingen!$U$12+Distributievergoedingen!$X$12)/(MAX(36,12*L39))</f>
        <v>112.77777777777777</v>
      </c>
      <c r="BT39" s="150"/>
      <c r="BU39" s="150">
        <f t="shared" si="18"/>
        <v>215.55555555555554</v>
      </c>
      <c r="BW39" s="151">
        <f t="shared" si="19"/>
        <v>229.0295612528968</v>
      </c>
      <c r="BY39" s="140">
        <f t="shared" si="20"/>
        <v>798.74821652488106</v>
      </c>
      <c r="BZ39" s="141">
        <f t="shared" si="21"/>
        <v>0.77716042688907339</v>
      </c>
      <c r="CA39" s="142" t="b">
        <f t="shared" si="22"/>
        <v>0</v>
      </c>
    </row>
    <row r="40" spans="1:79">
      <c r="A40" s="203" t="str">
        <f t="shared" si="57"/>
        <v>2ADSLPremiumbestaandunshared</v>
      </c>
      <c r="B40" s="203" t="str">
        <f t="shared" si="5"/>
        <v>2ADSLPremiumbestaandunshared</v>
      </c>
      <c r="C40" s="438">
        <v>2</v>
      </c>
      <c r="D40" s="438" t="s">
        <v>42</v>
      </c>
      <c r="E40" s="438" t="s">
        <v>70</v>
      </c>
      <c r="F40" s="438"/>
      <c r="G40" s="438"/>
      <c r="H40" s="438" t="s">
        <v>124</v>
      </c>
      <c r="I40" s="438" t="s">
        <v>128</v>
      </c>
      <c r="J40" s="274" t="str">
        <f t="shared" si="58"/>
        <v>ADSLbestaandunshared</v>
      </c>
      <c r="L40" s="160">
        <f>INDEX(Mapping!$J:$J,MATCH(C$3&amp;C40,Mapping!$B:$B,0))</f>
        <v>1</v>
      </c>
      <c r="M40" s="148" t="str">
        <f>INDEX(Mapping!$H:$H,MATCH($E40,Mapping!$B:$B,0))</f>
        <v>WBA ZM Ethernet</v>
      </c>
      <c r="N40" s="179" t="str">
        <f>INDEX(Mapping!$I:$I,MATCH($D40&amp;$I40,Mapping!$B:$B,0))</f>
        <v>ADSL</v>
      </c>
      <c r="O40" s="179" t="str">
        <f>INDEX(Mapping!$I:$I,MATCH($D40,Mapping!$B:$B,0))</f>
        <v>ADSL</v>
      </c>
      <c r="P40" s="179"/>
      <c r="Q40" s="179" t="str">
        <f>INDEX(Mapping!$H:$H,MATCH($H40,Mapping!$B:$B,0))</f>
        <v>nvt</v>
      </c>
      <c r="R40" s="179" t="s">
        <v>115</v>
      </c>
      <c r="S40" s="148" t="str">
        <f>INDEX(Mapping!$J:$J,MATCH($D40&amp;$I40,Mapping!$B:$B,0))</f>
        <v>unshared</v>
      </c>
      <c r="T40" s="148" t="str">
        <f t="shared" si="63"/>
        <v>WBA ZM EthernetADSLnvt</v>
      </c>
      <c r="U40" s="142" t="str">
        <f t="shared" si="64"/>
        <v>WBA ZM EthernetADSLunshared</v>
      </c>
      <c r="W40" s="160">
        <f>MATCH($J40,'Tarieven ZM'!$B:$B,0)</f>
        <v>103</v>
      </c>
      <c r="X40" s="148">
        <f>INDEX('Tarieven ZM'!$H:$H,$W40)</f>
        <v>1000</v>
      </c>
      <c r="Y40" s="161">
        <f>-INDEX(Parameters!$B:$B,MATCH(Y$3,Parameters!$A:$A,0))*$X40</f>
        <v>0</v>
      </c>
      <c r="Z40" s="149">
        <f>-INDEX(Parameters!$B:$B,MATCH(Z$3,Parameters!$A:$A,0))*$X40</f>
        <v>0</v>
      </c>
      <c r="AA40" s="148">
        <f t="shared" si="59"/>
        <v>1000</v>
      </c>
      <c r="AB40" s="148">
        <f>AA40/INDEX(Parameters!$B:$B,MATCH("AfschrijftermijnVVE"&amp;12*$C40,Parameters!$A:$A,0))</f>
        <v>27.777777777777779</v>
      </c>
      <c r="AC40" s="148">
        <f>INDEX('Tarieven ZM'!$G:$G,$W40)</f>
        <v>1000</v>
      </c>
      <c r="AD40" s="161">
        <f>-INDEX(Parameters!$B:$B,MATCH(AD$3,Parameters!$A:$A,0))*$AC40</f>
        <v>0</v>
      </c>
      <c r="AE40" s="161">
        <f>-INDEX(Parameters!$B:$B,MATCH(AE$3,Parameters!$A:$A,0))*$AC40</f>
        <v>0</v>
      </c>
      <c r="AF40" s="148">
        <f t="shared" si="60"/>
        <v>1000</v>
      </c>
      <c r="AG40" s="151">
        <f t="shared" si="9"/>
        <v>1027.7777777777778</v>
      </c>
      <c r="AH40" s="209"/>
      <c r="AI40" s="147" t="str">
        <f>IF(Q40&lt;&gt;"nvt",MATCH($T40,'Tarieven W&amp;O'!$B:$B,0),"nvt")</f>
        <v>nvt</v>
      </c>
      <c r="AJ40" s="262">
        <f>IF(AI40&lt;&gt;"nvt",INDEX('Tarieven W&amp;O'!$H:$H,$AI40)+INDEX(Parameters!C:C,MATCH("NLSx "&amp;O40&amp;" "&amp;M40,Parameters!A:A,0)),0)</f>
        <v>0</v>
      </c>
      <c r="AK40" s="148">
        <f>IF(AI40&lt;&gt;"nvt",INDEX('Tarieven W&amp;O'!$I:$I,$AI40),0)</f>
        <v>0</v>
      </c>
      <c r="AL40" s="149">
        <f>IF(AI40&lt;&gt;"nvt",-INDEX(Parameters!$B:$B,MATCH(AL$3&amp;$M40,Parameters!$A:$A,0))*(AJ40+AK40),0)</f>
        <v>0</v>
      </c>
      <c r="AM40" s="149"/>
      <c r="AN40" s="148">
        <f t="shared" si="10"/>
        <v>0</v>
      </c>
      <c r="AO40" s="171">
        <f>AN40/INDEX(Parameters!$B:$B,MATCH("AfschrijftermijnVVE"&amp;12*$C40,Parameters!$A:$A,0))</f>
        <v>0</v>
      </c>
      <c r="AP40" s="148">
        <f>MATCH($U40,'Tarieven W&amp;O'!$B:$B,0)</f>
        <v>28</v>
      </c>
      <c r="AQ40" s="150">
        <f>IF(AP40&lt;&gt;"nvt",INDEX('Tarieven W&amp;O'!$G:$G,$AP40),0)</f>
        <v>11.2</v>
      </c>
      <c r="AR40" s="277">
        <f>-INDEX(Parameters!$B:$B,MATCH(AR$3&amp;$M40&amp;O40,Parameters!$A:$A,0))*(AQ40)</f>
        <v>0</v>
      </c>
      <c r="AS40" s="148"/>
      <c r="AT40" s="148"/>
      <c r="AU40" s="150">
        <f t="shared" si="11"/>
        <v>11.2</v>
      </c>
      <c r="AV40" s="150">
        <f t="shared" si="12"/>
        <v>11.2</v>
      </c>
      <c r="AW40" s="202"/>
      <c r="AX40" s="150">
        <f>Parameters!$B$6*AV40</f>
        <v>0.11199999999999999</v>
      </c>
      <c r="AY40" s="202">
        <v>0</v>
      </c>
      <c r="AZ40" s="202"/>
      <c r="BA40" s="150">
        <f t="shared" si="13"/>
        <v>0.11199999999999999</v>
      </c>
      <c r="BB40" s="202"/>
      <c r="BC40" s="151">
        <f t="shared" si="14"/>
        <v>11.311999999999999</v>
      </c>
      <c r="BD40" s="209"/>
      <c r="BE40" s="140">
        <f t="shared" ref="BE40:BE63" si="65">AG40-BC40</f>
        <v>1016.4657777777778</v>
      </c>
      <c r="BF40" s="141">
        <f t="shared" ref="BF40:BF63" si="66">IF(AG40=0,-999%,BE40/AG40)</f>
        <v>0.98899372972972976</v>
      </c>
      <c r="BG40" s="142" t="b">
        <f t="shared" si="15"/>
        <v>0</v>
      </c>
      <c r="BI40" s="188" t="s">
        <v>538</v>
      </c>
      <c r="BJ40" s="189"/>
      <c r="BK40">
        <f>VLOOKUP(J40,'Tarieven ZM'!$B$7:$I$146,8,0)</f>
        <v>0</v>
      </c>
      <c r="BL40" s="203" t="str">
        <f t="shared" si="16"/>
        <v>ADSLnvtunshared</v>
      </c>
      <c r="BM40" s="282">
        <f>INDEX('inkoop ULL tbv Epacity'!$J:$J,MATCH(BL40,'inkoop ULL tbv Epacity'!$H:$H,0),0)</f>
        <v>35</v>
      </c>
      <c r="BN40" s="171">
        <f>BM40/INDEX(Parameters!$B:$B,MATCH("AfschrijftermijnVVE"&amp;12*$C40,Parameters!$A:$A,0))</f>
        <v>0.97222222222222221</v>
      </c>
      <c r="BO40" s="263">
        <f>INDEX('inkoop ULL tbv Epacity'!$I:$I,MATCH(BL40,'inkoop ULL tbv Epacity'!$H:$H,0),0)</f>
        <v>12.501783475119046</v>
      </c>
      <c r="BP40" s="263">
        <f t="shared" si="17"/>
        <v>13.474005697341267</v>
      </c>
      <c r="BQ40" s="203"/>
      <c r="BR40" s="262">
        <f>Parameters!$B$12*AG40</f>
        <v>102.77777777777779</v>
      </c>
      <c r="BS40" s="262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SUM(Distributievergoedingen!$F$12,Distributievergoedingen!$I$12,Distributievergoedingen!$L$12,Distributievergoedingen!$O$12)*AF40+SUM(Distributievergoedingen!$O$12*AA40+Distributievergoedingen!$R$12+Distributievergoedingen!$U$12+Distributievergoedingen!$X$12)/(MAX(36,12*L40))</f>
        <v>112.77777777777777</v>
      </c>
      <c r="BT40" s="150"/>
      <c r="BU40" s="150">
        <f t="shared" si="18"/>
        <v>215.55555555555554</v>
      </c>
      <c r="BW40" s="151">
        <f t="shared" si="19"/>
        <v>229.0295612528968</v>
      </c>
      <c r="BY40" s="140">
        <f t="shared" si="20"/>
        <v>798.74821652488106</v>
      </c>
      <c r="BZ40" s="141">
        <f t="shared" si="21"/>
        <v>0.77716042688907339</v>
      </c>
      <c r="CA40" s="142" t="b">
        <f t="shared" si="22"/>
        <v>0</v>
      </c>
    </row>
    <row r="41" spans="1:79">
      <c r="A41" s="203" t="str">
        <f t="shared" si="57"/>
        <v>2SDSLPremiumbestaandunshared</v>
      </c>
      <c r="B41" s="203" t="str">
        <f t="shared" si="5"/>
        <v>2SDSLPremiumbestaandunshared</v>
      </c>
      <c r="C41" s="438">
        <v>2</v>
      </c>
      <c r="D41" s="438" t="s">
        <v>64</v>
      </c>
      <c r="E41" s="438" t="s">
        <v>70</v>
      </c>
      <c r="F41" s="438"/>
      <c r="G41" s="438"/>
      <c r="H41" s="438" t="s">
        <v>124</v>
      </c>
      <c r="I41" s="438" t="s">
        <v>128</v>
      </c>
      <c r="J41" s="274" t="str">
        <f t="shared" si="58"/>
        <v>SDSLbestaandunshared</v>
      </c>
      <c r="L41" s="160">
        <f>INDEX(Mapping!$J:$J,MATCH(C$3&amp;C41,Mapping!$B:$B,0))</f>
        <v>1</v>
      </c>
      <c r="M41" s="148" t="str">
        <f>INDEX(Mapping!$H:$H,MATCH($E41,Mapping!$B:$B,0))</f>
        <v>WBA ZM Ethernet</v>
      </c>
      <c r="N41" s="179" t="str">
        <f>INDEX(Mapping!$I:$I,MATCH($D41&amp;$I41,Mapping!$B:$B,0))</f>
        <v>SDSL</v>
      </c>
      <c r="O41" s="179" t="str">
        <f>INDEX(Mapping!$I:$I,MATCH($D41,Mapping!$B:$B,0))</f>
        <v>SDSL</v>
      </c>
      <c r="P41" s="179"/>
      <c r="Q41" s="179" t="str">
        <f>INDEX(Mapping!$H:$H,MATCH($H41,Mapping!$B:$B,0))</f>
        <v>nvt</v>
      </c>
      <c r="R41" s="179" t="s">
        <v>115</v>
      </c>
      <c r="S41" s="148" t="str">
        <f>INDEX(Mapping!$J:$J,MATCH($D41&amp;$I41,Mapping!$B:$B,0))</f>
        <v>unshared</v>
      </c>
      <c r="T41" s="148" t="str">
        <f t="shared" si="63"/>
        <v>WBA ZM EthernetSDSLnvt</v>
      </c>
      <c r="U41" s="142" t="str">
        <f t="shared" si="64"/>
        <v>WBA ZM EthernetSDSLunshared</v>
      </c>
      <c r="W41" s="160">
        <f>MATCH($J41,'Tarieven ZM'!$B:$B,0)</f>
        <v>104</v>
      </c>
      <c r="X41" s="148">
        <f>INDEX('Tarieven ZM'!$H:$H,$W41)</f>
        <v>1000</v>
      </c>
      <c r="Y41" s="161">
        <f>-INDEX(Parameters!$B:$B,MATCH(Y$3,Parameters!$A:$A,0))*$X41</f>
        <v>0</v>
      </c>
      <c r="Z41" s="149">
        <f>-INDEX(Parameters!$B:$B,MATCH(Z$3,Parameters!$A:$A,0))*$X41</f>
        <v>0</v>
      </c>
      <c r="AA41" s="148">
        <f t="shared" si="59"/>
        <v>1000</v>
      </c>
      <c r="AB41" s="148">
        <f>AA41/INDEX(Parameters!$B:$B,MATCH("AfschrijftermijnVVE"&amp;12*$C41,Parameters!$A:$A,0))</f>
        <v>27.777777777777779</v>
      </c>
      <c r="AC41" s="148">
        <f>INDEX('Tarieven ZM'!$G:$G,$W41)</f>
        <v>1000</v>
      </c>
      <c r="AD41" s="161">
        <f>-INDEX(Parameters!$B:$B,MATCH(AD$3,Parameters!$A:$A,0))*$AC41</f>
        <v>0</v>
      </c>
      <c r="AE41" s="161">
        <f>-INDEX(Parameters!$B:$B,MATCH(AE$3,Parameters!$A:$A,0))*$AC41</f>
        <v>0</v>
      </c>
      <c r="AF41" s="148">
        <f t="shared" si="60"/>
        <v>1000</v>
      </c>
      <c r="AG41" s="151">
        <f t="shared" si="9"/>
        <v>1027.7777777777778</v>
      </c>
      <c r="AH41" s="209"/>
      <c r="AI41" s="147" t="str">
        <f>IF(Q41&lt;&gt;"nvt",MATCH($T41,'Tarieven W&amp;O'!$B:$B,0),"nvt")</f>
        <v>nvt</v>
      </c>
      <c r="AJ41" s="262">
        <f>IF(AI41&lt;&gt;"nvt",INDEX('Tarieven W&amp;O'!$H:$H,$AI41)+INDEX(Parameters!C:C,MATCH("NLSx "&amp;O41&amp;" "&amp;M41,Parameters!A:A,0)),0)</f>
        <v>0</v>
      </c>
      <c r="AK41" s="148">
        <f>IF(AI41&lt;&gt;"nvt",INDEX('Tarieven W&amp;O'!$I:$I,$AI41),0)</f>
        <v>0</v>
      </c>
      <c r="AL41" s="149">
        <f>IF(AI41&lt;&gt;"nvt",-INDEX(Parameters!$B:$B,MATCH(AL$3&amp;$M41,Parameters!$A:$A,0))*(AJ41+AK41),0)</f>
        <v>0</v>
      </c>
      <c r="AM41" s="149"/>
      <c r="AN41" s="148">
        <f t="shared" si="10"/>
        <v>0</v>
      </c>
      <c r="AO41" s="171">
        <f>AN41/INDEX(Parameters!$B:$B,MATCH("AfschrijftermijnVVE"&amp;12*$C41,Parameters!$A:$A,0))</f>
        <v>0</v>
      </c>
      <c r="AP41" s="148">
        <f>MATCH($U41,'Tarieven W&amp;O'!$B:$B,0)</f>
        <v>30</v>
      </c>
      <c r="AQ41" s="150">
        <f>IF(AP41&lt;&gt;"nvt",INDEX('Tarieven W&amp;O'!$G:$G,$AP41),0)</f>
        <v>22.1</v>
      </c>
      <c r="AR41" s="277">
        <f>-INDEX(Parameters!$B:$B,MATCH(AR$3&amp;$M41&amp;O41,Parameters!$A:$A,0))*(AQ41)</f>
        <v>0</v>
      </c>
      <c r="AS41" s="148"/>
      <c r="AT41" s="148"/>
      <c r="AU41" s="150">
        <f t="shared" si="11"/>
        <v>22.1</v>
      </c>
      <c r="AV41" s="150">
        <f t="shared" si="12"/>
        <v>22.1</v>
      </c>
      <c r="AW41" s="202"/>
      <c r="AX41" s="150">
        <f>Parameters!$B$6*AV41</f>
        <v>0.22100000000000003</v>
      </c>
      <c r="AY41" s="202">
        <v>0</v>
      </c>
      <c r="AZ41" s="202"/>
      <c r="BA41" s="150">
        <f t="shared" si="13"/>
        <v>0.22100000000000003</v>
      </c>
      <c r="BB41" s="202"/>
      <c r="BC41" s="151">
        <f t="shared" si="14"/>
        <v>22.321000000000002</v>
      </c>
      <c r="BD41" s="209"/>
      <c r="BE41" s="140">
        <f t="shared" si="65"/>
        <v>1005.4567777777778</v>
      </c>
      <c r="BF41" s="141">
        <f t="shared" si="66"/>
        <v>0.97828227027027026</v>
      </c>
      <c r="BG41" s="142" t="b">
        <f t="shared" si="15"/>
        <v>0</v>
      </c>
      <c r="BI41" s="188" t="s">
        <v>538</v>
      </c>
      <c r="BJ41" s="189"/>
      <c r="BK41">
        <f>VLOOKUP(J41,'Tarieven ZM'!$B$7:$I$146,8,0)</f>
        <v>0</v>
      </c>
      <c r="BL41" s="203" t="str">
        <f t="shared" si="16"/>
        <v>SDSLnvtunshared</v>
      </c>
      <c r="BM41" s="282">
        <f>INDEX('inkoop ULL tbv Epacity'!$J:$J,MATCH(BL41,'inkoop ULL tbv Epacity'!$H:$H,0),0)</f>
        <v>19.3</v>
      </c>
      <c r="BN41" s="171">
        <f>BM41/INDEX(Parameters!$B:$B,MATCH("AfschrijftermijnVVE"&amp;12*$C41,Parameters!$A:$A,0))</f>
        <v>0.53611111111111109</v>
      </c>
      <c r="BO41" s="263">
        <f>INDEX('inkoop ULL tbv Epacity'!$I:$I,MATCH(BL41,'inkoop ULL tbv Epacity'!$H:$H,0),0)</f>
        <v>9.3855844444444436</v>
      </c>
      <c r="BP41" s="263">
        <f t="shared" si="17"/>
        <v>9.921695555555555</v>
      </c>
      <c r="BQ41" s="203"/>
      <c r="BR41" s="262">
        <f>Parameters!$B$12*AG41</f>
        <v>102.77777777777779</v>
      </c>
      <c r="BS41" s="262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SUM(Distributievergoedingen!$F$12,Distributievergoedingen!$I$12,Distributievergoedingen!$L$12,Distributievergoedingen!$O$12)*AF41+SUM(Distributievergoedingen!$O$12*AA41+Distributievergoedingen!$R$12+Distributievergoedingen!$U$12+Distributievergoedingen!$X$12)/(MAX(36,12*L41))</f>
        <v>112.77777777777777</v>
      </c>
      <c r="BT41" s="150"/>
      <c r="BU41" s="150">
        <f t="shared" si="18"/>
        <v>215.55555555555554</v>
      </c>
      <c r="BW41" s="151">
        <f t="shared" si="19"/>
        <v>225.47725111111109</v>
      </c>
      <c r="BY41" s="140">
        <f t="shared" si="20"/>
        <v>802.30052666666677</v>
      </c>
      <c r="BZ41" s="141">
        <f t="shared" si="21"/>
        <v>0.78061672864864873</v>
      </c>
      <c r="CA41" s="142" t="b">
        <f t="shared" si="22"/>
        <v>0</v>
      </c>
    </row>
    <row r="42" spans="1:79">
      <c r="A42" s="203" t="str">
        <f t="shared" si="57"/>
        <v>2VDSLPremiumbestaandshared</v>
      </c>
      <c r="B42" s="203" t="str">
        <f t="shared" si="5"/>
        <v>2VDSLPremiumbestaandshared</v>
      </c>
      <c r="C42" s="438">
        <v>2</v>
      </c>
      <c r="D42" s="438" t="s">
        <v>77</v>
      </c>
      <c r="E42" s="438" t="s">
        <v>70</v>
      </c>
      <c r="F42" s="438"/>
      <c r="G42" s="438"/>
      <c r="H42" s="438" t="s">
        <v>124</v>
      </c>
      <c r="I42" s="438" t="s">
        <v>127</v>
      </c>
      <c r="J42" s="274" t="str">
        <f t="shared" si="58"/>
        <v>VDSLbestaandshared</v>
      </c>
      <c r="L42" s="160">
        <f>INDEX(Mapping!$J:$J,MATCH(C$3&amp;C42,Mapping!$B:$B,0))</f>
        <v>1</v>
      </c>
      <c r="M42" s="148" t="str">
        <f>INDEX(Mapping!$H:$H,MATCH($E42,Mapping!$B:$B,0))</f>
        <v>WBA ZM Ethernet</v>
      </c>
      <c r="N42" s="179" t="str">
        <f>INDEX(Mapping!$I:$I,MATCH($D42&amp;$I42,Mapping!$B:$B,0))</f>
        <v>VDSL</v>
      </c>
      <c r="O42" s="179" t="str">
        <f>INDEX(Mapping!$I:$I,MATCH($D42,Mapping!$B:$B,0))</f>
        <v>VDSL</v>
      </c>
      <c r="P42" s="179"/>
      <c r="Q42" s="179" t="str">
        <f>INDEX(Mapping!$H:$H,MATCH($H42,Mapping!$B:$B,0))</f>
        <v>nvt</v>
      </c>
      <c r="R42" s="179" t="s">
        <v>115</v>
      </c>
      <c r="S42" s="148" t="str">
        <f>INDEX(Mapping!$J:$J,MATCH($D42&amp;$I42,Mapping!$B:$B,0))</f>
        <v>shared</v>
      </c>
      <c r="T42" s="148" t="str">
        <f t="shared" si="63"/>
        <v>WBA ZM EthernetVDSLnvt</v>
      </c>
      <c r="U42" s="142" t="str">
        <f t="shared" si="64"/>
        <v>WBA ZM EthernetVDSLshared</v>
      </c>
      <c r="W42" s="160">
        <f>MATCH($J42,'Tarieven ZM'!$B:$B,0)</f>
        <v>105</v>
      </c>
      <c r="X42" s="148">
        <f>INDEX('Tarieven ZM'!$H:$H,$W42)</f>
        <v>1000</v>
      </c>
      <c r="Y42" s="161">
        <f>-INDEX(Parameters!$B:$B,MATCH(Y$3,Parameters!$A:$A,0))*$X42</f>
        <v>0</v>
      </c>
      <c r="Z42" s="149">
        <f>-INDEX(Parameters!$B:$B,MATCH(Z$3,Parameters!$A:$A,0))*$X42</f>
        <v>0</v>
      </c>
      <c r="AA42" s="148">
        <f t="shared" si="59"/>
        <v>1000</v>
      </c>
      <c r="AB42" s="148">
        <f>AA42/INDEX(Parameters!$B:$B,MATCH("AfschrijftermijnVVE"&amp;12*$C42,Parameters!$A:$A,0))</f>
        <v>27.777777777777779</v>
      </c>
      <c r="AC42" s="148">
        <f>INDEX('Tarieven ZM'!$G:$G,$W42)</f>
        <v>1000</v>
      </c>
      <c r="AD42" s="161">
        <f>-INDEX(Parameters!$B:$B,MATCH(AD$3,Parameters!$A:$A,0))*$AC42</f>
        <v>0</v>
      </c>
      <c r="AE42" s="161">
        <f>-INDEX(Parameters!$B:$B,MATCH(AE$3,Parameters!$A:$A,0))*$AC42</f>
        <v>0</v>
      </c>
      <c r="AF42" s="148">
        <f t="shared" si="60"/>
        <v>1000</v>
      </c>
      <c r="AG42" s="151">
        <f t="shared" si="9"/>
        <v>1027.7777777777778</v>
      </c>
      <c r="AH42" s="209"/>
      <c r="AI42" s="147" t="str">
        <f>IF(Q42&lt;&gt;"nvt",MATCH($T42,'Tarieven W&amp;O'!$B:$B,0),"nvt")</f>
        <v>nvt</v>
      </c>
      <c r="AJ42" s="262">
        <f>IF(AI42&lt;&gt;"nvt",INDEX('Tarieven W&amp;O'!$H:$H,$AI42)+INDEX(Parameters!C:C,MATCH("NLSx "&amp;O42&amp;" "&amp;M42,Parameters!A:A,0)),0)</f>
        <v>0</v>
      </c>
      <c r="AK42" s="148">
        <f>IF(AI42&lt;&gt;"nvt",INDEX('Tarieven W&amp;O'!$I:$I,$AI42),0)</f>
        <v>0</v>
      </c>
      <c r="AL42" s="149">
        <f>IF(AI42&lt;&gt;"nvt",-INDEX(Parameters!$B:$B,MATCH(AL$3&amp;$M42,Parameters!$A:$A,0))*(AJ42+AK42),0)</f>
        <v>0</v>
      </c>
      <c r="AM42" s="149"/>
      <c r="AN42" s="148">
        <f t="shared" si="10"/>
        <v>0</v>
      </c>
      <c r="AO42" s="171">
        <f>AN42/INDEX(Parameters!$B:$B,MATCH("AfschrijftermijnVVE"&amp;12*$C42,Parameters!$A:$A,0))</f>
        <v>0</v>
      </c>
      <c r="AP42" s="148">
        <f>MATCH($U42,'Tarieven W&amp;O'!$B:$B,0)</f>
        <v>34</v>
      </c>
      <c r="AQ42" s="150">
        <f>IF(AP42&lt;&gt;"nvt",INDEX('Tarieven W&amp;O'!$G:$G,$AP42),0)</f>
        <v>2.88</v>
      </c>
      <c r="AR42" s="277">
        <f>-INDEX(Parameters!$B:$B,MATCH(AR$3&amp;$M42&amp;O42,Parameters!$A:$A,0))*(AQ42)</f>
        <v>0</v>
      </c>
      <c r="AS42" s="148"/>
      <c r="AT42" s="148"/>
      <c r="AU42" s="150">
        <f t="shared" si="11"/>
        <v>2.88</v>
      </c>
      <c r="AV42" s="150">
        <f t="shared" si="12"/>
        <v>2.88</v>
      </c>
      <c r="AW42" s="202"/>
      <c r="AX42" s="150">
        <f>Parameters!$B$6*AV42</f>
        <v>2.8799999999999999E-2</v>
      </c>
      <c r="AY42" s="202">
        <v>0</v>
      </c>
      <c r="AZ42" s="202"/>
      <c r="BA42" s="150">
        <f t="shared" si="13"/>
        <v>2.8799999999999999E-2</v>
      </c>
      <c r="BB42" s="202"/>
      <c r="BC42" s="151">
        <f t="shared" si="14"/>
        <v>2.9087999999999998</v>
      </c>
      <c r="BD42" s="209"/>
      <c r="BE42" s="140">
        <f t="shared" si="65"/>
        <v>1024.8689777777779</v>
      </c>
      <c r="BF42" s="141">
        <f t="shared" si="66"/>
        <v>0.99716981621621625</v>
      </c>
      <c r="BG42" s="142" t="b">
        <f t="shared" si="15"/>
        <v>0</v>
      </c>
      <c r="BI42" s="188" t="s">
        <v>538</v>
      </c>
      <c r="BJ42" s="189"/>
      <c r="BK42">
        <f>VLOOKUP(J42,'Tarieven ZM'!$B$7:$I$146,8,0)</f>
        <v>0</v>
      </c>
      <c r="BL42" s="203" t="str">
        <f t="shared" si="16"/>
        <v>VDSLnvtshared</v>
      </c>
      <c r="BM42" s="282">
        <f>INDEX('inkoop ULL tbv Epacity'!$J:$J,MATCH(BL42,'inkoop ULL tbv Epacity'!$H:$H,0),0)</f>
        <v>35</v>
      </c>
      <c r="BN42" s="171">
        <f>BM42/INDEX(Parameters!$B:$B,MATCH("AfschrijftermijnVVE"&amp;12*$C42,Parameters!$A:$A,0))</f>
        <v>0.97222222222222221</v>
      </c>
      <c r="BO42" s="263">
        <f>INDEX('inkoop ULL tbv Epacity'!$I:$I,MATCH(BL42,'inkoop ULL tbv Epacity'!$H:$H,0),0)</f>
        <v>6.031783475119048</v>
      </c>
      <c r="BP42" s="263">
        <f t="shared" si="17"/>
        <v>7.0040056973412703</v>
      </c>
      <c r="BQ42" s="203"/>
      <c r="BR42" s="262">
        <f>Parameters!$B$12*AG42</f>
        <v>102.77777777777779</v>
      </c>
      <c r="BS42" s="262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SUM(Distributievergoedingen!$F$12,Distributievergoedingen!$I$12,Distributievergoedingen!$L$12,Distributievergoedingen!$O$12)*AF42+SUM(Distributievergoedingen!$O$12*AA42+Distributievergoedingen!$R$12+Distributievergoedingen!$U$12+Distributievergoedingen!$X$12)/(MAX(36,12*L42))</f>
        <v>112.77777777777777</v>
      </c>
      <c r="BT42" s="150"/>
      <c r="BU42" s="150">
        <f t="shared" si="18"/>
        <v>215.55555555555554</v>
      </c>
      <c r="BW42" s="151">
        <f t="shared" si="19"/>
        <v>222.5595612528968</v>
      </c>
      <c r="BY42" s="140">
        <f t="shared" si="20"/>
        <v>805.21821652488097</v>
      </c>
      <c r="BZ42" s="141">
        <f t="shared" si="21"/>
        <v>0.78345556202420852</v>
      </c>
      <c r="CA42" s="142" t="b">
        <f t="shared" si="22"/>
        <v>0</v>
      </c>
    </row>
    <row r="43" spans="1:79">
      <c r="A43" s="203" t="str">
        <f t="shared" si="57"/>
        <v>2ADSLPremiumbestaandshared</v>
      </c>
      <c r="B43" s="203" t="str">
        <f t="shared" si="5"/>
        <v>2ADSLPremiumbestaandshared</v>
      </c>
      <c r="C43" s="438">
        <v>2</v>
      </c>
      <c r="D43" s="438" t="s">
        <v>42</v>
      </c>
      <c r="E43" s="438" t="s">
        <v>70</v>
      </c>
      <c r="F43" s="438"/>
      <c r="G43" s="438"/>
      <c r="H43" s="438" t="s">
        <v>124</v>
      </c>
      <c r="I43" s="438" t="s">
        <v>127</v>
      </c>
      <c r="J43" s="274" t="str">
        <f t="shared" si="58"/>
        <v>ADSLbestaandshared</v>
      </c>
      <c r="L43" s="160">
        <f>INDEX(Mapping!$J:$J,MATCH(C$3&amp;C43,Mapping!$B:$B,0))</f>
        <v>1</v>
      </c>
      <c r="M43" s="148" t="str">
        <f>INDEX(Mapping!$H:$H,MATCH($E43,Mapping!$B:$B,0))</f>
        <v>WBA ZM Ethernet</v>
      </c>
      <c r="N43" s="179" t="str">
        <f>INDEX(Mapping!$I:$I,MATCH($D43&amp;$I43,Mapping!$B:$B,0))</f>
        <v>ADSL</v>
      </c>
      <c r="O43" s="179" t="str">
        <f>INDEX(Mapping!$I:$I,MATCH($D43,Mapping!$B:$B,0))</f>
        <v>ADSL</v>
      </c>
      <c r="P43" s="179"/>
      <c r="Q43" s="179" t="str">
        <f>INDEX(Mapping!$H:$H,MATCH($H43,Mapping!$B:$B,0))</f>
        <v>nvt</v>
      </c>
      <c r="R43" s="179" t="s">
        <v>115</v>
      </c>
      <c r="S43" s="148" t="str">
        <f>INDEX(Mapping!$J:$J,MATCH($D43&amp;$I43,Mapping!$B:$B,0))</f>
        <v>shared</v>
      </c>
      <c r="T43" s="148" t="str">
        <f t="shared" si="63"/>
        <v>WBA ZM EthernetADSLnvt</v>
      </c>
      <c r="U43" s="142" t="str">
        <f t="shared" si="64"/>
        <v>WBA ZM EthernetADSLshared</v>
      </c>
      <c r="W43" s="160">
        <f>MATCH($J43,'Tarieven ZM'!$B:$B,0)</f>
        <v>106</v>
      </c>
      <c r="X43" s="148">
        <f>INDEX('Tarieven ZM'!$H:$H,$W43)</f>
        <v>1000</v>
      </c>
      <c r="Y43" s="161">
        <f>-INDEX(Parameters!$B:$B,MATCH(Y$3,Parameters!$A:$A,0))*$X43</f>
        <v>0</v>
      </c>
      <c r="Z43" s="149">
        <f>-INDEX(Parameters!$B:$B,MATCH(Z$3,Parameters!$A:$A,0))*$X43</f>
        <v>0</v>
      </c>
      <c r="AA43" s="148">
        <f t="shared" si="59"/>
        <v>1000</v>
      </c>
      <c r="AB43" s="148">
        <f>AA43/INDEX(Parameters!$B:$B,MATCH("AfschrijftermijnVVE"&amp;12*$C43,Parameters!$A:$A,0))</f>
        <v>27.777777777777779</v>
      </c>
      <c r="AC43" s="148">
        <f>INDEX('Tarieven ZM'!$G:$G,$W43)</f>
        <v>1000</v>
      </c>
      <c r="AD43" s="161">
        <f>-INDEX(Parameters!$B:$B,MATCH(AD$3,Parameters!$A:$A,0))*$AC43</f>
        <v>0</v>
      </c>
      <c r="AE43" s="161">
        <f>-INDEX(Parameters!$B:$B,MATCH(AE$3,Parameters!$A:$A,0))*$AC43</f>
        <v>0</v>
      </c>
      <c r="AF43" s="148">
        <f t="shared" si="60"/>
        <v>1000</v>
      </c>
      <c r="AG43" s="151">
        <f t="shared" si="9"/>
        <v>1027.7777777777778</v>
      </c>
      <c r="AH43" s="209"/>
      <c r="AI43" s="147" t="str">
        <f>IF(Q43&lt;&gt;"nvt",MATCH($T43,'Tarieven W&amp;O'!$B:$B,0),"nvt")</f>
        <v>nvt</v>
      </c>
      <c r="AJ43" s="262">
        <f>IF(AI43&lt;&gt;"nvt",INDEX('Tarieven W&amp;O'!$H:$H,$AI43)+INDEX(Parameters!C:C,MATCH("NLSx "&amp;O43&amp;" "&amp;M43,Parameters!A:A,0)),0)</f>
        <v>0</v>
      </c>
      <c r="AK43" s="148">
        <f>IF(AI43&lt;&gt;"nvt",INDEX('Tarieven W&amp;O'!$I:$I,$AI43),0)</f>
        <v>0</v>
      </c>
      <c r="AL43" s="149">
        <f>IF(AI43&lt;&gt;"nvt",-INDEX(Parameters!$B:$B,MATCH(AL$3&amp;$M43,Parameters!$A:$A,0))*(AJ43+AK43),0)</f>
        <v>0</v>
      </c>
      <c r="AM43" s="149"/>
      <c r="AN43" s="148">
        <f t="shared" si="10"/>
        <v>0</v>
      </c>
      <c r="AO43" s="171">
        <f>AN43/INDEX(Parameters!$B:$B,MATCH("AfschrijftermijnVVE"&amp;12*$C43,Parameters!$A:$A,0))</f>
        <v>0</v>
      </c>
      <c r="AP43" s="148">
        <f>MATCH($U43,'Tarieven W&amp;O'!$B:$B,0)</f>
        <v>35</v>
      </c>
      <c r="AQ43" s="150">
        <f>IF(AP43&lt;&gt;"nvt",INDEX('Tarieven W&amp;O'!$G:$G,$AP43),0)</f>
        <v>2.88</v>
      </c>
      <c r="AR43" s="277">
        <f>-INDEX(Parameters!$B:$B,MATCH(AR$3&amp;$M43&amp;O43,Parameters!$A:$A,0))*(AQ43)</f>
        <v>0</v>
      </c>
      <c r="AS43" s="148"/>
      <c r="AT43" s="148"/>
      <c r="AU43" s="150">
        <f t="shared" si="11"/>
        <v>2.88</v>
      </c>
      <c r="AV43" s="150">
        <f t="shared" si="12"/>
        <v>2.88</v>
      </c>
      <c r="AW43" s="202"/>
      <c r="AX43" s="150">
        <f>Parameters!$B$6*AV43</f>
        <v>2.8799999999999999E-2</v>
      </c>
      <c r="AY43" s="202">
        <v>0</v>
      </c>
      <c r="AZ43" s="202"/>
      <c r="BA43" s="150">
        <f t="shared" si="13"/>
        <v>2.8799999999999999E-2</v>
      </c>
      <c r="BB43" s="202"/>
      <c r="BC43" s="151">
        <f t="shared" si="14"/>
        <v>2.9087999999999998</v>
      </c>
      <c r="BD43" s="209"/>
      <c r="BE43" s="140">
        <f t="shared" si="65"/>
        <v>1024.8689777777779</v>
      </c>
      <c r="BF43" s="141">
        <f t="shared" si="66"/>
        <v>0.99716981621621625</v>
      </c>
      <c r="BG43" s="142" t="b">
        <f t="shared" si="15"/>
        <v>0</v>
      </c>
      <c r="BI43" s="188" t="s">
        <v>538</v>
      </c>
      <c r="BJ43" s="189"/>
      <c r="BK43">
        <f>VLOOKUP(J43,'Tarieven ZM'!$B$7:$I$146,8,0)</f>
        <v>0</v>
      </c>
      <c r="BL43" s="203" t="str">
        <f t="shared" si="16"/>
        <v>ADSLnvtshared</v>
      </c>
      <c r="BM43" s="282">
        <f>INDEX('inkoop ULL tbv Epacity'!$J:$J,MATCH(BL43,'inkoop ULL tbv Epacity'!$H:$H,0),0)</f>
        <v>35</v>
      </c>
      <c r="BN43" s="171">
        <f>BM43/INDEX(Parameters!$B:$B,MATCH("AfschrijftermijnVVE"&amp;12*$C43,Parameters!$A:$A,0))</f>
        <v>0.97222222222222221</v>
      </c>
      <c r="BO43" s="263">
        <f>INDEX('inkoop ULL tbv Epacity'!$I:$I,MATCH(BL43,'inkoop ULL tbv Epacity'!$H:$H,0),0)</f>
        <v>6.031783475119048</v>
      </c>
      <c r="BP43" s="263">
        <f t="shared" si="17"/>
        <v>7.0040056973412703</v>
      </c>
      <c r="BQ43" s="203"/>
      <c r="BR43" s="262">
        <f>Parameters!$B$12*AG43</f>
        <v>102.77777777777779</v>
      </c>
      <c r="BS43" s="262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SUM(Distributievergoedingen!$F$12,Distributievergoedingen!$I$12,Distributievergoedingen!$L$12,Distributievergoedingen!$O$12)*AF43+SUM(Distributievergoedingen!$O$12*AA43+Distributievergoedingen!$R$12+Distributievergoedingen!$U$12+Distributievergoedingen!$X$12)/(MAX(36,12*L43))</f>
        <v>112.77777777777777</v>
      </c>
      <c r="BT43" s="150"/>
      <c r="BU43" s="150">
        <f t="shared" si="18"/>
        <v>215.55555555555554</v>
      </c>
      <c r="BW43" s="151">
        <f t="shared" si="19"/>
        <v>222.5595612528968</v>
      </c>
      <c r="BY43" s="140">
        <f t="shared" si="20"/>
        <v>805.21821652488097</v>
      </c>
      <c r="BZ43" s="141">
        <f t="shared" si="21"/>
        <v>0.78345556202420852</v>
      </c>
      <c r="CA43" s="142" t="b">
        <f t="shared" si="22"/>
        <v>0</v>
      </c>
    </row>
    <row r="44" spans="1:79">
      <c r="A44" s="203" t="str">
        <f>C44&amp;D44&amp;E44&amp;H44&amp;I44</f>
        <v>3ADSLBasicnieuwunshared</v>
      </c>
      <c r="B44" s="203" t="str">
        <f t="shared" si="5"/>
        <v>3ADSLBasicnieuwunshared</v>
      </c>
      <c r="C44" s="438">
        <v>3</v>
      </c>
      <c r="D44" s="438" t="s">
        <v>42</v>
      </c>
      <c r="E44" s="438" t="s">
        <v>44</v>
      </c>
      <c r="F44" s="438"/>
      <c r="G44" s="438"/>
      <c r="H44" s="438" t="s">
        <v>125</v>
      </c>
      <c r="I44" s="438" t="s">
        <v>128</v>
      </c>
      <c r="J44" s="274" t="str">
        <f>D44&amp;H44&amp;I44</f>
        <v>ADSLnieuwunshared</v>
      </c>
      <c r="L44" s="160">
        <f>INDEX(Mapping!$J:$J,MATCH(C$3&amp;C44,Mapping!$B:$B,0))</f>
        <v>1</v>
      </c>
      <c r="M44" s="148" t="str">
        <f>INDEX(Mapping!$H:$H,MATCH($E44,Mapping!$B:$B,0))</f>
        <v>WBA CM Ethernet</v>
      </c>
      <c r="N44" s="179" t="str">
        <f>INDEX(Mapping!$I:$I,MATCH($D44&amp;$I44,Mapping!$B:$B,0))</f>
        <v>ADSL</v>
      </c>
      <c r="O44" s="179" t="str">
        <f>INDEX(Mapping!$I:$I,MATCH($D44,Mapping!$B:$B,0))</f>
        <v>ADSL</v>
      </c>
      <c r="P44" s="179"/>
      <c r="Q44" s="179" t="str">
        <f>INDEX(Mapping!$H:$H,MATCH($H44,Mapping!$B:$B,0))</f>
        <v>New line</v>
      </c>
      <c r="R44" s="179" t="s">
        <v>115</v>
      </c>
      <c r="S44" s="148" t="str">
        <f>INDEX(Mapping!$J:$J,MATCH($D44&amp;$I44,Mapping!$B:$B,0))</f>
        <v>unshared</v>
      </c>
      <c r="T44" s="148" t="str">
        <f t="shared" si="63"/>
        <v>WBA CM EthernetADSLNew line</v>
      </c>
      <c r="U44" s="142" t="str">
        <f t="shared" si="64"/>
        <v>WBA CM EthernetADSLunshared</v>
      </c>
      <c r="W44" s="160">
        <f>MATCH($J44,'Tarieven ZM'!$B:$B,0)</f>
        <v>97</v>
      </c>
      <c r="X44" s="148">
        <f>INDEX('Tarieven ZM'!$H:$H,$W44)</f>
        <v>1000</v>
      </c>
      <c r="Y44" s="161">
        <f>-INDEX(Parameters!$B:$B,MATCH(Y$3,Parameters!$A:$A,0))*$X44</f>
        <v>0</v>
      </c>
      <c r="Z44" s="149">
        <f>-INDEX(Parameters!$B:$B,MATCH(Z$3,Parameters!$A:$A,0))*$X44</f>
        <v>0</v>
      </c>
      <c r="AA44" s="148">
        <f>SUM(X44:Z44)</f>
        <v>1000</v>
      </c>
      <c r="AB44" s="148">
        <f>AA44/INDEX(Parameters!$B:$B,MATCH("AfschrijftermijnVVE"&amp;12*$C44,Parameters!$A:$A,0))</f>
        <v>27.777777777777779</v>
      </c>
      <c r="AC44" s="148">
        <f>INDEX('Tarieven ZM'!$G:$G,$W44)</f>
        <v>1000</v>
      </c>
      <c r="AD44" s="161">
        <f>-INDEX(Parameters!$B:$B,MATCH(AD$3,Parameters!$A:$A,0))*$AC44</f>
        <v>0</v>
      </c>
      <c r="AE44" s="161">
        <f>-INDEX(Parameters!$B:$B,MATCH(AE$3,Parameters!$A:$A,0))*$AC44</f>
        <v>0</v>
      </c>
      <c r="AF44" s="148">
        <f>SUM(AC44:AE44)</f>
        <v>1000</v>
      </c>
      <c r="AG44" s="151">
        <f t="shared" si="9"/>
        <v>1027.7777777777778</v>
      </c>
      <c r="AH44" s="209"/>
      <c r="AI44" s="147">
        <f>IF(Q44&lt;&gt;"nvt",MATCH($T44,'Tarieven W&amp;O'!$B:$B,0),"nvt")</f>
        <v>16</v>
      </c>
      <c r="AJ44" s="262">
        <f>IF(AI44&lt;&gt;"nvt",INDEX('Tarieven W&amp;O'!$H:$H,$AI44)+INDEX(Parameters!C:C,MATCH("NLSx "&amp;O44&amp;" "&amp;M44,Parameters!A:A,0)),0)</f>
        <v>65</v>
      </c>
      <c r="AK44" s="148">
        <f>IF(AI44&lt;&gt;"nvt",INDEX('Tarieven W&amp;O'!$I:$I,$AI44),0)</f>
        <v>25</v>
      </c>
      <c r="AL44" s="149">
        <f>IF(AI44&lt;&gt;"nvt",-INDEX(Parameters!$B:$B,MATCH(AL$3&amp;$M44,Parameters!$A:$A,0))*(AJ44+AK44),0)</f>
        <v>0</v>
      </c>
      <c r="AM44" s="149"/>
      <c r="AN44" s="148">
        <f t="shared" si="10"/>
        <v>90</v>
      </c>
      <c r="AO44" s="171">
        <f>AN44/INDEX(Parameters!$B:$B,MATCH("AfschrijftermijnVVE"&amp;12*$C44,Parameters!$A:$A,0))</f>
        <v>2.5</v>
      </c>
      <c r="AP44" s="148">
        <f>MATCH($U44,'Tarieven W&amp;O'!$B:$B,0)</f>
        <v>8</v>
      </c>
      <c r="AQ44" s="150">
        <f>IF(AP44&lt;&gt;"nvt",INDEX('Tarieven W&amp;O'!$G:$G,$AP44),0)</f>
        <v>13.09</v>
      </c>
      <c r="AR44" s="277">
        <f>-INDEX(Parameters!$B:$B,MATCH(AR$3&amp;$M44&amp;O44,Parameters!$A:$A,0))*(AQ44)</f>
        <v>-1.3090000000000002</v>
      </c>
      <c r="AS44" s="148"/>
      <c r="AT44" s="148"/>
      <c r="AU44" s="150">
        <f t="shared" si="11"/>
        <v>11.780999999999999</v>
      </c>
      <c r="AV44" s="150">
        <f t="shared" si="12"/>
        <v>14.280999999999999</v>
      </c>
      <c r="AW44" s="202"/>
      <c r="AX44" s="150">
        <f>Parameters!$B$6*AV44</f>
        <v>0.14280999999999999</v>
      </c>
      <c r="AY44" s="202">
        <v>0</v>
      </c>
      <c r="AZ44" s="202"/>
      <c r="BA44" s="150">
        <f t="shared" si="13"/>
        <v>0.14280999999999999</v>
      </c>
      <c r="BB44" s="202"/>
      <c r="BC44" s="151">
        <f t="shared" si="14"/>
        <v>14.42381</v>
      </c>
      <c r="BD44" s="209"/>
      <c r="BE44" s="140">
        <f t="shared" si="65"/>
        <v>1013.3539677777778</v>
      </c>
      <c r="BF44" s="141">
        <f t="shared" si="66"/>
        <v>0.98596602270270273</v>
      </c>
      <c r="BG44" s="142" t="b">
        <f>BF44&lt;0</f>
        <v>0</v>
      </c>
      <c r="BI44" s="188" t="s">
        <v>538</v>
      </c>
      <c r="BJ44" s="189"/>
      <c r="BK44">
        <f>VLOOKUP(J44,'Tarieven ZM'!$B$7:$I$146,8,0)</f>
        <v>0</v>
      </c>
      <c r="BL44" s="203" t="str">
        <f t="shared" si="16"/>
        <v>ADSLNew lineunshared</v>
      </c>
      <c r="BM44" s="282">
        <f>INDEX('inkoop ULL tbv Epacity'!$J:$J,MATCH(BL44,'inkoop ULL tbv Epacity'!$H:$H,0),0)</f>
        <v>75</v>
      </c>
      <c r="BN44" s="171">
        <f>BM44/INDEX(Parameters!$B:$B,MATCH("AfschrijftermijnVVE"&amp;12*$C44,Parameters!$A:$A,0))</f>
        <v>2.0833333333333335</v>
      </c>
      <c r="BO44" s="263">
        <f>INDEX('inkoop ULL tbv Epacity'!$I:$I,MATCH(BL44,'inkoop ULL tbv Epacity'!$H:$H,0),0)</f>
        <v>12.501783475119046</v>
      </c>
      <c r="BP44" s="263">
        <f t="shared" si="17"/>
        <v>14.58511680845238</v>
      </c>
      <c r="BQ44" s="203"/>
      <c r="BR44" s="262">
        <f>Parameters!$B$12*AG44</f>
        <v>102.77777777777779</v>
      </c>
      <c r="BS44" s="262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SUM(Distributievergoedingen!$F$12,Distributievergoedingen!$I$12,Distributievergoedingen!$L$12,Distributievergoedingen!$O$12)*AF44+SUM(Distributievergoedingen!$O$12*AA44+Distributievergoedingen!$R$12+Distributievergoedingen!$U$12+Distributievergoedingen!$X$12)/(MAX(36,12*L44))</f>
        <v>112.77777777777777</v>
      </c>
      <c r="BT44" s="150"/>
      <c r="BU44" s="150">
        <f t="shared" si="18"/>
        <v>215.55555555555554</v>
      </c>
      <c r="BW44" s="151">
        <f t="shared" si="19"/>
        <v>230.14067236400791</v>
      </c>
      <c r="BY44" s="140">
        <f t="shared" si="20"/>
        <v>797.63710541376986</v>
      </c>
      <c r="BZ44" s="141">
        <f t="shared" si="21"/>
        <v>0.7760793458079922</v>
      </c>
      <c r="CA44" s="142" t="b">
        <f t="shared" si="22"/>
        <v>0</v>
      </c>
    </row>
    <row r="45" spans="1:79">
      <c r="A45" s="203" t="str">
        <f t="shared" ref="A45:A63" si="67">C45&amp;D45&amp;E45&amp;H45&amp;I45</f>
        <v>3VDSLEntrynieuwunshared</v>
      </c>
      <c r="B45" s="203" t="str">
        <f t="shared" si="5"/>
        <v>3VDSLEntrynieuwunshared</v>
      </c>
      <c r="C45" s="438">
        <v>3</v>
      </c>
      <c r="D45" s="438" t="s">
        <v>77</v>
      </c>
      <c r="E45" s="438" t="s">
        <v>78</v>
      </c>
      <c r="F45" s="438"/>
      <c r="G45" s="438"/>
      <c r="H45" s="438" t="s">
        <v>125</v>
      </c>
      <c r="I45" s="438" t="s">
        <v>128</v>
      </c>
      <c r="J45" s="274" t="str">
        <f t="shared" ref="J45:J63" si="68">D45&amp;H45&amp;I45</f>
        <v>VDSLnieuwunshared</v>
      </c>
      <c r="L45" s="160">
        <f>INDEX(Mapping!$J:$J,MATCH(C$3&amp;C45,Mapping!$B:$B,0))</f>
        <v>1</v>
      </c>
      <c r="M45" s="148" t="str">
        <f>INDEX(Mapping!$H:$H,MATCH($E45,Mapping!$B:$B,0))</f>
        <v>WBA CM Ethernet</v>
      </c>
      <c r="N45" s="179" t="str">
        <f>INDEX(Mapping!$I:$I,MATCH($D45&amp;$I45,Mapping!$B:$B,0))</f>
        <v>VDSL</v>
      </c>
      <c r="O45" s="179" t="str">
        <f>INDEX(Mapping!$I:$I,MATCH($D45,Mapping!$B:$B,0))</f>
        <v>VDSL</v>
      </c>
      <c r="P45" s="179"/>
      <c r="Q45" s="179" t="str">
        <f>INDEX(Mapping!$H:$H,MATCH($H45,Mapping!$B:$B,0))</f>
        <v>New line</v>
      </c>
      <c r="R45" s="179" t="s">
        <v>115</v>
      </c>
      <c r="S45" s="148" t="str">
        <f>INDEX(Mapping!$J:$J,MATCH($D45&amp;$I45,Mapping!$B:$B,0))</f>
        <v>unshared</v>
      </c>
      <c r="T45" s="148" t="str">
        <f t="shared" si="63"/>
        <v>WBA CM EthernetVDSLNew line</v>
      </c>
      <c r="U45" s="142" t="str">
        <f t="shared" si="64"/>
        <v>WBA CM EthernetVDSLunshared</v>
      </c>
      <c r="W45" s="160">
        <f>MATCH($J45,'Tarieven ZM'!$B:$B,0)</f>
        <v>98</v>
      </c>
      <c r="X45" s="148">
        <f>INDEX('Tarieven ZM'!$H:$H,$W45)</f>
        <v>1000</v>
      </c>
      <c r="Y45" s="161">
        <f>-INDEX(Parameters!$B:$B,MATCH(Y$3,Parameters!$A:$A,0))*$X45</f>
        <v>0</v>
      </c>
      <c r="Z45" s="149">
        <f>-INDEX(Parameters!$B:$B,MATCH(Z$3,Parameters!$A:$A,0))*$X45</f>
        <v>0</v>
      </c>
      <c r="AA45" s="148">
        <f t="shared" ref="AA45:AA63" si="69">SUM(X45:Z45)</f>
        <v>1000</v>
      </c>
      <c r="AB45" s="148">
        <f>AA45/INDEX(Parameters!$B:$B,MATCH("AfschrijftermijnVVE"&amp;12*$C45,Parameters!$A:$A,0))</f>
        <v>27.777777777777779</v>
      </c>
      <c r="AC45" s="148">
        <f>INDEX('Tarieven ZM'!$G:$G,$W45)</f>
        <v>1000</v>
      </c>
      <c r="AD45" s="161">
        <f>-INDEX(Parameters!$B:$B,MATCH(AD$3,Parameters!$A:$A,0))*$AC45</f>
        <v>0</v>
      </c>
      <c r="AE45" s="161">
        <f>-INDEX(Parameters!$B:$B,MATCH(AE$3,Parameters!$A:$A,0))*$AC45</f>
        <v>0</v>
      </c>
      <c r="AF45" s="148">
        <f t="shared" ref="AF45:AF63" si="70">SUM(AC45:AE45)</f>
        <v>1000</v>
      </c>
      <c r="AG45" s="151">
        <f t="shared" si="9"/>
        <v>1027.7777777777778</v>
      </c>
      <c r="AH45" s="209"/>
      <c r="AI45" s="147">
        <f>IF(Q45&lt;&gt;"nvt",MATCH($T45,'Tarieven W&amp;O'!$B:$B,0),"nvt")</f>
        <v>17</v>
      </c>
      <c r="AJ45" s="262">
        <f>IF(AI45&lt;&gt;"nvt",INDEX('Tarieven W&amp;O'!$H:$H,$AI45)+INDEX(Parameters!C:C,MATCH("NLSx "&amp;O45&amp;" "&amp;M45,Parameters!A:A,0)),0)</f>
        <v>65</v>
      </c>
      <c r="AK45" s="148">
        <f>IF(AI45&lt;&gt;"nvt",INDEX('Tarieven W&amp;O'!$I:$I,$AI45),0)</f>
        <v>25</v>
      </c>
      <c r="AL45" s="149">
        <f>IF(AI45&lt;&gt;"nvt",-INDEX(Parameters!$B:$B,MATCH(AL$3&amp;$M45,Parameters!$A:$A,0))*(AJ45+AK45),0)</f>
        <v>0</v>
      </c>
      <c r="AM45" s="149"/>
      <c r="AN45" s="148">
        <f t="shared" si="10"/>
        <v>90</v>
      </c>
      <c r="AO45" s="171">
        <f>AN45/INDEX(Parameters!$B:$B,MATCH("AfschrijftermijnVVE"&amp;12*$C45,Parameters!$A:$A,0))</f>
        <v>2.5</v>
      </c>
      <c r="AP45" s="148">
        <f>MATCH($U45,'Tarieven W&amp;O'!$B:$B,0)</f>
        <v>9</v>
      </c>
      <c r="AQ45" s="150">
        <f>IF(AP45&lt;&gt;"nvt",INDEX('Tarieven W&amp;O'!$G:$G,$AP45),0)</f>
        <v>13.09</v>
      </c>
      <c r="AR45" s="277">
        <f>-INDEX(Parameters!$B:$B,MATCH(AR$3&amp;$M45&amp;O45,Parameters!$A:$A,0))*(AQ45)</f>
        <v>-1.3090000000000002</v>
      </c>
      <c r="AS45" s="148"/>
      <c r="AT45" s="148"/>
      <c r="AU45" s="150">
        <f t="shared" si="11"/>
        <v>11.780999999999999</v>
      </c>
      <c r="AV45" s="150">
        <f t="shared" si="12"/>
        <v>14.280999999999999</v>
      </c>
      <c r="AW45" s="202"/>
      <c r="AX45" s="150">
        <f>Parameters!$B$6*AV45</f>
        <v>0.14280999999999999</v>
      </c>
      <c r="AY45" s="202">
        <v>0</v>
      </c>
      <c r="AZ45" s="202"/>
      <c r="BA45" s="150">
        <f t="shared" si="13"/>
        <v>0.14280999999999999</v>
      </c>
      <c r="BB45" s="202"/>
      <c r="BC45" s="151">
        <f t="shared" si="14"/>
        <v>14.42381</v>
      </c>
      <c r="BD45" s="209"/>
      <c r="BE45" s="140">
        <f t="shared" si="65"/>
        <v>1013.3539677777778</v>
      </c>
      <c r="BF45" s="141">
        <f t="shared" si="66"/>
        <v>0.98596602270270273</v>
      </c>
      <c r="BG45" s="142" t="b">
        <f t="shared" si="15"/>
        <v>0</v>
      </c>
      <c r="BI45" s="188" t="s">
        <v>538</v>
      </c>
      <c r="BJ45" s="189"/>
      <c r="BK45">
        <f>VLOOKUP(J45,'Tarieven ZM'!$B$7:$I$146,8,0)</f>
        <v>0</v>
      </c>
      <c r="BL45" s="203" t="str">
        <f t="shared" si="16"/>
        <v>VDSLNew lineunshared</v>
      </c>
      <c r="BM45" s="282">
        <f>INDEX('inkoop ULL tbv Epacity'!$J:$J,MATCH(BL45,'inkoop ULL tbv Epacity'!$H:$H,0),0)</f>
        <v>75</v>
      </c>
      <c r="BN45" s="171">
        <f>BM45/INDEX(Parameters!$B:$B,MATCH("AfschrijftermijnVVE"&amp;12*$C45,Parameters!$A:$A,0))</f>
        <v>2.0833333333333335</v>
      </c>
      <c r="BO45" s="263">
        <f>INDEX('inkoop ULL tbv Epacity'!$I:$I,MATCH(BL45,'inkoop ULL tbv Epacity'!$H:$H,0),0)</f>
        <v>12.501783475119046</v>
      </c>
      <c r="BP45" s="263">
        <f t="shared" si="17"/>
        <v>14.58511680845238</v>
      </c>
      <c r="BQ45" s="203"/>
      <c r="BR45" s="262">
        <f>Parameters!$B$12*AG45</f>
        <v>102.77777777777779</v>
      </c>
      <c r="BS45" s="262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SUM(Distributievergoedingen!$F$12,Distributievergoedingen!$I$12,Distributievergoedingen!$L$12,Distributievergoedingen!$O$12)*AF45+SUM(Distributievergoedingen!$O$12*AA45+Distributievergoedingen!$R$12+Distributievergoedingen!$U$12+Distributievergoedingen!$X$12)/(MAX(36,12*L45))</f>
        <v>112.77777777777777</v>
      </c>
      <c r="BT45" s="150"/>
      <c r="BU45" s="150">
        <f t="shared" si="18"/>
        <v>215.55555555555554</v>
      </c>
      <c r="BW45" s="151">
        <f t="shared" si="19"/>
        <v>230.14067236400791</v>
      </c>
      <c r="BY45" s="140">
        <f t="shared" si="20"/>
        <v>797.63710541376986</v>
      </c>
      <c r="BZ45" s="141">
        <f t="shared" si="21"/>
        <v>0.7760793458079922</v>
      </c>
      <c r="CA45" s="142" t="b">
        <f t="shared" si="22"/>
        <v>0</v>
      </c>
    </row>
    <row r="46" spans="1:79">
      <c r="A46" s="203" t="str">
        <f t="shared" si="67"/>
        <v>3VDSL bondingEntrynieuwunshared</v>
      </c>
      <c r="B46" s="203" t="str">
        <f t="shared" si="5"/>
        <v>3VDSL bondingEntrynieuwunshared</v>
      </c>
      <c r="C46" s="438">
        <v>3</v>
      </c>
      <c r="D46" s="438" t="s">
        <v>222</v>
      </c>
      <c r="E46" s="438" t="s">
        <v>78</v>
      </c>
      <c r="F46" s="438"/>
      <c r="G46" s="438"/>
      <c r="H46" s="438" t="s">
        <v>125</v>
      </c>
      <c r="I46" s="438" t="s">
        <v>128</v>
      </c>
      <c r="J46" s="274" t="str">
        <f t="shared" si="68"/>
        <v>VDSL bondingnieuwunshared</v>
      </c>
      <c r="L46" s="160">
        <f>INDEX(Mapping!$J:$J,MATCH(C$3&amp;C46,Mapping!$B:$B,0))</f>
        <v>1</v>
      </c>
      <c r="M46" s="148" t="str">
        <f>INDEX(Mapping!$H:$H,MATCH($E46,Mapping!$B:$B,0))</f>
        <v>WBA CM Ethernet</v>
      </c>
      <c r="N46" s="179" t="str">
        <f>INDEX(Mapping!$I:$I,MATCH($D46&amp;$I46,Mapping!$B:$B,0))</f>
        <v>VDSL Bonding</v>
      </c>
      <c r="O46" s="179" t="str">
        <f>INDEX(Mapping!$I:$I,MATCH($D46,Mapping!$B:$B,0))</f>
        <v>VDSL Bonding</v>
      </c>
      <c r="P46" s="179"/>
      <c r="Q46" s="179" t="str">
        <f>INDEX(Mapping!$H:$H,MATCH($H46,Mapping!$B:$B,0))</f>
        <v>New line</v>
      </c>
      <c r="R46" s="179" t="s">
        <v>115</v>
      </c>
      <c r="S46" s="148" t="str">
        <f>INDEX(Mapping!$J:$J,MATCH($D46&amp;$I46,Mapping!$B:$B,0))</f>
        <v>unshared</v>
      </c>
      <c r="T46" s="148" t="str">
        <f t="shared" si="63"/>
        <v>WBA CM EthernetVDSL BondingNew line</v>
      </c>
      <c r="U46" s="142" t="str">
        <f t="shared" si="64"/>
        <v>WBA CM EthernetVDSL Bondingunshared</v>
      </c>
      <c r="W46" s="160">
        <f>MATCH($J46,'Tarieven ZM'!$B:$B,0)</f>
        <v>99</v>
      </c>
      <c r="X46" s="148">
        <f>INDEX('Tarieven ZM'!$H:$H,$W46)</f>
        <v>1000</v>
      </c>
      <c r="Y46" s="161">
        <f>-INDEX(Parameters!$B:$B,MATCH(Y$3,Parameters!$A:$A,0))*$X46</f>
        <v>0</v>
      </c>
      <c r="Z46" s="149">
        <f>-INDEX(Parameters!$B:$B,MATCH(Z$3,Parameters!$A:$A,0))*$X46</f>
        <v>0</v>
      </c>
      <c r="AA46" s="148">
        <f t="shared" si="69"/>
        <v>1000</v>
      </c>
      <c r="AB46" s="148">
        <f>AA46/INDEX(Parameters!$B:$B,MATCH("AfschrijftermijnVVE"&amp;12*$C46,Parameters!$A:$A,0))</f>
        <v>27.777777777777779</v>
      </c>
      <c r="AC46" s="148">
        <f>INDEX('Tarieven ZM'!$G:$G,$W46)</f>
        <v>1000</v>
      </c>
      <c r="AD46" s="161">
        <f>-INDEX(Parameters!$B:$B,MATCH(AD$3,Parameters!$A:$A,0))*$AC46</f>
        <v>0</v>
      </c>
      <c r="AE46" s="161">
        <f>-INDEX(Parameters!$B:$B,MATCH(AE$3,Parameters!$A:$A,0))*$AC46</f>
        <v>0</v>
      </c>
      <c r="AF46" s="148">
        <f t="shared" si="70"/>
        <v>1000</v>
      </c>
      <c r="AG46" s="151">
        <f t="shared" ref="AG46" si="71">SUM(AB46,AF46)</f>
        <v>1027.7777777777778</v>
      </c>
      <c r="AH46" s="209"/>
      <c r="AI46" s="147">
        <f>IF(Q46&lt;&gt;"nvt",MATCH($T46,'Tarieven W&amp;O'!$B:$B,0),"nvt")</f>
        <v>25</v>
      </c>
      <c r="AJ46" s="262">
        <f>IF(AI46&lt;&gt;"nvt",INDEX('Tarieven W&amp;O'!$H:$H,$AI46)+INDEX(Parameters!C:C,MATCH("NLSx "&amp;O46&amp;" "&amp;M46,Parameters!A:A,0)),0)</f>
        <v>174.45</v>
      </c>
      <c r="AK46" s="148">
        <f>IF(AI46&lt;&gt;"nvt",INDEX('Tarieven W&amp;O'!$I:$I,$AI46),0)</f>
        <v>25</v>
      </c>
      <c r="AL46" s="149">
        <f>IF(AI46&lt;&gt;"nvt",-INDEX(Parameters!$B:$B,MATCH(AL$3&amp;$M46,Parameters!$A:$A,0))*(AJ46+AK46),0)</f>
        <v>0</v>
      </c>
      <c r="AM46" s="149"/>
      <c r="AN46" s="148">
        <f t="shared" ref="AN46" si="72">SUM(AJ46:AM46)</f>
        <v>199.45</v>
      </c>
      <c r="AO46" s="171">
        <f>AN46/INDEX(Parameters!$B:$B,MATCH("AfschrijftermijnVVE"&amp;12*$C46,Parameters!$A:$A,0))</f>
        <v>5.5402777777777779</v>
      </c>
      <c r="AP46" s="148">
        <f>MATCH($U46,'Tarieven W&amp;O'!$B:$B,0)</f>
        <v>13</v>
      </c>
      <c r="AQ46" s="150">
        <f>IF(AP46&lt;&gt;"nvt",INDEX('Tarieven W&amp;O'!$G:$G,$AP46),0)</f>
        <v>19.82</v>
      </c>
      <c r="AR46" s="277">
        <f>-INDEX(Parameters!$B:$B,MATCH(AR$3&amp;$M46&amp;O46,Parameters!$A:$A,0))*(AQ46)</f>
        <v>-1.9820000000000002</v>
      </c>
      <c r="AS46" s="148"/>
      <c r="AT46" s="148"/>
      <c r="AU46" s="150">
        <f t="shared" ref="AU46" si="73">SUM(AQ46:AT46)</f>
        <v>17.838000000000001</v>
      </c>
      <c r="AV46" s="150">
        <f t="shared" ref="AV46" si="74">SUM(AO46,AU46)</f>
        <v>23.378277777777779</v>
      </c>
      <c r="AW46" s="202"/>
      <c r="AX46" s="150">
        <f>Parameters!$B$6*AV46</f>
        <v>0.23378277777777778</v>
      </c>
      <c r="AY46" s="202">
        <v>0</v>
      </c>
      <c r="AZ46" s="202"/>
      <c r="BA46" s="150">
        <f t="shared" ref="BA46" si="75">SUM(AX46:AZ46)</f>
        <v>0.23378277777777778</v>
      </c>
      <c r="BB46" s="202"/>
      <c r="BC46" s="151">
        <f t="shared" ref="BC46" si="76">SUM(AV46,BA46)</f>
        <v>23.612060555555555</v>
      </c>
      <c r="BD46" s="209"/>
      <c r="BE46" s="140">
        <f t="shared" si="65"/>
        <v>1004.1657172222223</v>
      </c>
      <c r="BF46" s="141">
        <f t="shared" si="66"/>
        <v>0.97702610324324324</v>
      </c>
      <c r="BG46" s="142" t="b">
        <f t="shared" ref="BG46" si="77">BF46&lt;0</f>
        <v>0</v>
      </c>
      <c r="BI46" s="188" t="s">
        <v>538</v>
      </c>
      <c r="BJ46" s="189"/>
      <c r="BK46">
        <f>VLOOKUP(J46,'Tarieven ZM'!$B$7:$I$146,8,0)</f>
        <v>0</v>
      </c>
      <c r="BL46" s="203" t="str">
        <f t="shared" si="16"/>
        <v>VDSL BondingNew lineunshared</v>
      </c>
      <c r="BM46" s="282">
        <f>INDEX('inkoop ULL tbv Epacity'!$J:$J,MATCH(BL46,'inkoop ULL tbv Epacity'!$H:$H,0),0)</f>
        <v>35</v>
      </c>
      <c r="BN46" s="171">
        <f>BM46/INDEX(Parameters!$B:$B,MATCH("AfschrijftermijnVVE"&amp;12*$C46,Parameters!$A:$A,0))</f>
        <v>0.97222222222222221</v>
      </c>
      <c r="BO46" s="263">
        <f>INDEX('inkoop ULL tbv Epacity'!$I:$I,MATCH(BL46,'inkoop ULL tbv Epacity'!$H:$H,0),0)</f>
        <v>16.787259665595236</v>
      </c>
      <c r="BP46" s="263">
        <f t="shared" ref="BP46" si="78">BN46+BO46</f>
        <v>17.759481887817458</v>
      </c>
      <c r="BQ46" s="203"/>
      <c r="BR46" s="262">
        <f>Parameters!$B$12*AG46</f>
        <v>102.77777777777779</v>
      </c>
      <c r="BS46" s="262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SUM(Distributievergoedingen!$F$12,Distributievergoedingen!$I$12,Distributievergoedingen!$L$12,Distributievergoedingen!$O$12)*AF46+SUM(Distributievergoedingen!$O$12*AA46+Distributievergoedingen!$R$12+Distributievergoedingen!$U$12+Distributievergoedingen!$X$12)/(MAX(36,12*L46))</f>
        <v>112.77777777777777</v>
      </c>
      <c r="BT46" s="150"/>
      <c r="BU46" s="150">
        <f t="shared" ref="BU46" si="79">SUM(BR46:BT46)</f>
        <v>215.55555555555554</v>
      </c>
      <c r="BW46" s="151">
        <f t="shared" ref="BW46" si="80">SUM(BP46,BU46)</f>
        <v>233.315037443373</v>
      </c>
      <c r="BY46" s="140">
        <f t="shared" ref="BY46" si="81">AG46-BW46</f>
        <v>794.46274033440477</v>
      </c>
      <c r="BZ46" s="141">
        <f t="shared" ref="BZ46" si="82">IF(AG46=0,-999%,BY46/AG46)</f>
        <v>0.77299077437942088</v>
      </c>
      <c r="CA46" s="142" t="b">
        <f t="shared" ref="CA46" si="83">BZ46&lt;0</f>
        <v>0</v>
      </c>
    </row>
    <row r="47" spans="1:79">
      <c r="A47" s="203" t="str">
        <f t="shared" si="67"/>
        <v>3SDSLBasicnieuwunshared</v>
      </c>
      <c r="B47" s="203" t="str">
        <f t="shared" si="5"/>
        <v>3SDSLBasicnieuwunshared</v>
      </c>
      <c r="C47" s="438">
        <v>3</v>
      </c>
      <c r="D47" s="438" t="s">
        <v>64</v>
      </c>
      <c r="E47" s="438" t="s">
        <v>44</v>
      </c>
      <c r="F47" s="438"/>
      <c r="G47" s="438"/>
      <c r="H47" s="438" t="s">
        <v>125</v>
      </c>
      <c r="I47" s="438" t="s">
        <v>128</v>
      </c>
      <c r="J47" s="274" t="str">
        <f t="shared" si="68"/>
        <v>SDSLnieuwunshared</v>
      </c>
      <c r="L47" s="160">
        <f>INDEX(Mapping!$J:$J,MATCH(C$3&amp;C47,Mapping!$B:$B,0))</f>
        <v>1</v>
      </c>
      <c r="M47" s="148" t="str">
        <f>INDEX(Mapping!$H:$H,MATCH($E47,Mapping!$B:$B,0))</f>
        <v>WBA CM Ethernet</v>
      </c>
      <c r="N47" s="179" t="str">
        <f>INDEX(Mapping!$I:$I,MATCH($D47&amp;$I47,Mapping!$B:$B,0))</f>
        <v>SDSL</v>
      </c>
      <c r="O47" s="179" t="str">
        <f>INDEX(Mapping!$I:$I,MATCH($D47,Mapping!$B:$B,0))</f>
        <v>SDSL</v>
      </c>
      <c r="P47" s="179"/>
      <c r="Q47" s="179" t="str">
        <f>INDEX(Mapping!$H:$H,MATCH($H47,Mapping!$B:$B,0))</f>
        <v>New line</v>
      </c>
      <c r="R47" s="179" t="s">
        <v>115</v>
      </c>
      <c r="S47" s="148" t="str">
        <f>INDEX(Mapping!$J:$J,MATCH($D47&amp;$I47,Mapping!$B:$B,0))</f>
        <v>unshared</v>
      </c>
      <c r="T47" s="148" t="str">
        <f t="shared" si="63"/>
        <v>WBA CM EthernetSDSLNew line</v>
      </c>
      <c r="U47" s="142" t="str">
        <f t="shared" si="64"/>
        <v>WBA CM EthernetSDSLunshared</v>
      </c>
      <c r="W47" s="160">
        <f>MATCH($J47,'Tarieven ZM'!$B:$B,0)</f>
        <v>100</v>
      </c>
      <c r="X47" s="148">
        <f>INDEX('Tarieven ZM'!$H:$H,$W47)</f>
        <v>1000</v>
      </c>
      <c r="Y47" s="161">
        <f>-INDEX(Parameters!$B:$B,MATCH(Y$3,Parameters!$A:$A,0))*$X47</f>
        <v>0</v>
      </c>
      <c r="Z47" s="149">
        <f>-INDEX(Parameters!$B:$B,MATCH(Z$3,Parameters!$A:$A,0))*$X47</f>
        <v>0</v>
      </c>
      <c r="AA47" s="148">
        <f t="shared" si="69"/>
        <v>1000</v>
      </c>
      <c r="AB47" s="148">
        <f>AA47/INDEX(Parameters!$B:$B,MATCH("AfschrijftermijnVVE"&amp;12*$C47,Parameters!$A:$A,0))</f>
        <v>27.777777777777779</v>
      </c>
      <c r="AC47" s="148">
        <f>INDEX('Tarieven ZM'!$G:$G,$W47)</f>
        <v>1000</v>
      </c>
      <c r="AD47" s="161">
        <f>-INDEX(Parameters!$B:$B,MATCH(AD$3,Parameters!$A:$A,0))*$AC47</f>
        <v>0</v>
      </c>
      <c r="AE47" s="161">
        <f>-INDEX(Parameters!$B:$B,MATCH(AE$3,Parameters!$A:$A,0))*$AC47</f>
        <v>0</v>
      </c>
      <c r="AF47" s="148">
        <f t="shared" si="70"/>
        <v>1000</v>
      </c>
      <c r="AG47" s="151">
        <f t="shared" si="9"/>
        <v>1027.7777777777778</v>
      </c>
      <c r="AH47" s="209"/>
      <c r="AI47" s="147">
        <f>IF(Q47&lt;&gt;"nvt",MATCH($T47,'Tarieven W&amp;O'!$B:$B,0),"nvt")</f>
        <v>18</v>
      </c>
      <c r="AJ47" s="262">
        <f>IF(AI47&lt;&gt;"nvt",INDEX('Tarieven W&amp;O'!$H:$H,$AI47)+INDEX(Parameters!C:C,MATCH("NLSx "&amp;O47&amp;" "&amp;M47,Parameters!A:A,0)),0)</f>
        <v>65</v>
      </c>
      <c r="AK47" s="148">
        <f>IF(AI47&lt;&gt;"nvt",INDEX('Tarieven W&amp;O'!$I:$I,$AI47),0)</f>
        <v>25</v>
      </c>
      <c r="AL47" s="149">
        <f>IF(AI47&lt;&gt;"nvt",-INDEX(Parameters!$B:$B,MATCH(AL$3&amp;$M47,Parameters!$A:$A,0))*(AJ47+AK47),0)</f>
        <v>0</v>
      </c>
      <c r="AM47" s="149"/>
      <c r="AN47" s="148">
        <f t="shared" si="10"/>
        <v>90</v>
      </c>
      <c r="AO47" s="171">
        <f>AN47/INDEX(Parameters!$B:$B,MATCH("AfschrijftermijnVVE"&amp;12*$C47,Parameters!$A:$A,0))</f>
        <v>2.5</v>
      </c>
      <c r="AP47" s="148">
        <f>MATCH($U47,'Tarieven W&amp;O'!$B:$B,0)</f>
        <v>10</v>
      </c>
      <c r="AQ47" s="150">
        <f>IF(AP47&lt;&gt;"nvt",INDEX('Tarieven W&amp;O'!$G:$G,$AP47),0)</f>
        <v>33.729999999999997</v>
      </c>
      <c r="AR47" s="277">
        <f>-INDEX(Parameters!$B:$B,MATCH(AR$3&amp;$M47&amp;O47,Parameters!$A:$A,0))*(AQ47)</f>
        <v>-3.3729999999999998</v>
      </c>
      <c r="AS47" s="148"/>
      <c r="AT47" s="148"/>
      <c r="AU47" s="150">
        <f t="shared" si="11"/>
        <v>30.356999999999996</v>
      </c>
      <c r="AV47" s="150">
        <f t="shared" si="12"/>
        <v>32.856999999999999</v>
      </c>
      <c r="AW47" s="202"/>
      <c r="AX47" s="150">
        <f>Parameters!$B$6*AV47</f>
        <v>0.32856999999999997</v>
      </c>
      <c r="AY47" s="202">
        <v>0</v>
      </c>
      <c r="AZ47" s="202"/>
      <c r="BA47" s="150">
        <f t="shared" si="13"/>
        <v>0.32856999999999997</v>
      </c>
      <c r="BB47" s="202"/>
      <c r="BC47" s="151">
        <f t="shared" si="14"/>
        <v>33.185569999999998</v>
      </c>
      <c r="BD47" s="209"/>
      <c r="BE47" s="140">
        <f t="shared" si="65"/>
        <v>994.59220777777784</v>
      </c>
      <c r="BF47" s="141">
        <f t="shared" si="66"/>
        <v>0.9677113372972973</v>
      </c>
      <c r="BG47" s="142" t="b">
        <f t="shared" si="15"/>
        <v>0</v>
      </c>
      <c r="BI47" s="188" t="s">
        <v>538</v>
      </c>
      <c r="BJ47" s="189"/>
      <c r="BK47">
        <f>VLOOKUP(J47,'Tarieven ZM'!$B$7:$I$146,8,0)</f>
        <v>0</v>
      </c>
      <c r="BL47" s="203" t="str">
        <f t="shared" si="16"/>
        <v>SDSLNew lineunshared</v>
      </c>
      <c r="BM47" s="282">
        <f>INDEX('inkoop ULL tbv Epacity'!$J:$J,MATCH(BL47,'inkoop ULL tbv Epacity'!$H:$H,0),0)</f>
        <v>76.960000000000008</v>
      </c>
      <c r="BN47" s="171">
        <f>BM47/INDEX(Parameters!$B:$B,MATCH("AfschrijftermijnVVE"&amp;12*$C47,Parameters!$A:$A,0))</f>
        <v>2.137777777777778</v>
      </c>
      <c r="BO47" s="263">
        <f>INDEX('inkoop ULL tbv Epacity'!$I:$I,MATCH(BL47,'inkoop ULL tbv Epacity'!$H:$H,0),0)</f>
        <v>9.3855844444444436</v>
      </c>
      <c r="BP47" s="263">
        <f t="shared" si="17"/>
        <v>11.523362222222222</v>
      </c>
      <c r="BQ47" s="203"/>
      <c r="BR47" s="262">
        <f>Parameters!$B$12*AG47</f>
        <v>102.77777777777779</v>
      </c>
      <c r="BS47" s="262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SUM(Distributievergoedingen!$F$12,Distributievergoedingen!$I$12,Distributievergoedingen!$L$12,Distributievergoedingen!$O$12)*AF47+SUM(Distributievergoedingen!$O$12*AA47+Distributievergoedingen!$R$12+Distributievergoedingen!$U$12+Distributievergoedingen!$X$12)/(MAX(36,12*L47))</f>
        <v>112.77777777777777</v>
      </c>
      <c r="BT47" s="150"/>
      <c r="BU47" s="150">
        <f t="shared" si="18"/>
        <v>215.55555555555554</v>
      </c>
      <c r="BW47" s="151">
        <f t="shared" si="19"/>
        <v>227.07891777777778</v>
      </c>
      <c r="BY47" s="140">
        <f t="shared" si="20"/>
        <v>800.69886000000008</v>
      </c>
      <c r="BZ47" s="141">
        <f t="shared" si="21"/>
        <v>0.77905835027027026</v>
      </c>
      <c r="CA47" s="142" t="b">
        <f t="shared" si="22"/>
        <v>0</v>
      </c>
    </row>
    <row r="48" spans="1:79">
      <c r="A48" s="203" t="str">
        <f t="shared" si="67"/>
        <v>3SA IPVPNEntrynieuwunshared</v>
      </c>
      <c r="B48" s="203" t="str">
        <f t="shared" si="5"/>
        <v>3SA IPVPNEntrynieuwunshared</v>
      </c>
      <c r="C48" s="438">
        <v>3</v>
      </c>
      <c r="D48" s="438" t="s">
        <v>93</v>
      </c>
      <c r="E48" s="438" t="s">
        <v>78</v>
      </c>
      <c r="F48" s="438"/>
      <c r="G48" s="438"/>
      <c r="H48" s="438" t="s">
        <v>125</v>
      </c>
      <c r="I48" s="438" t="s">
        <v>128</v>
      </c>
      <c r="J48" s="274" t="str">
        <f t="shared" si="68"/>
        <v>SA IPVPNnieuwunshared</v>
      </c>
      <c r="L48" s="160">
        <f>INDEX(Mapping!$J:$J,MATCH(C$3&amp;C48,Mapping!$B:$B,0))</f>
        <v>1</v>
      </c>
      <c r="M48" s="148" t="str">
        <f>INDEX(Mapping!$H:$H,MATCH($E48,Mapping!$B:$B,0))</f>
        <v>WBA CM Ethernet</v>
      </c>
      <c r="N48" s="179" t="str">
        <f>INDEX(Mapping!$I:$I,MATCH($D48&amp;$I48,Mapping!$B:$B,0))</f>
        <v>FttH</v>
      </c>
      <c r="O48" s="179" t="str">
        <f>INDEX(Mapping!$I:$I,MATCH($D48,Mapping!$B:$B,0))</f>
        <v>FttH</v>
      </c>
      <c r="P48" s="179"/>
      <c r="Q48" s="179" t="str">
        <f>INDEX(Mapping!$H:$H,MATCH($H48,Mapping!$B:$B,0))</f>
        <v>New line</v>
      </c>
      <c r="R48" s="179" t="s">
        <v>115</v>
      </c>
      <c r="S48" s="148" t="str">
        <f>INDEX(Mapping!$J:$J,MATCH($D48&amp;$I48,Mapping!$B:$B,0))</f>
        <v>unshared</v>
      </c>
      <c r="T48" s="148" t="str">
        <f t="shared" si="63"/>
        <v>WBA CM EthernetFttHNew line</v>
      </c>
      <c r="U48" s="142" t="str">
        <f t="shared" si="64"/>
        <v>WBA CM EthernetFttHunshared</v>
      </c>
      <c r="W48" s="160">
        <f>MATCH($J48,'Tarieven ZM'!$B:$B,0)</f>
        <v>101</v>
      </c>
      <c r="X48" s="148">
        <f>INDEX('Tarieven ZM'!$H:$H,$W48)</f>
        <v>1000</v>
      </c>
      <c r="Y48" s="161">
        <f>-INDEX(Parameters!$B:$B,MATCH(Y$3,Parameters!$A:$A,0))*$X48</f>
        <v>0</v>
      </c>
      <c r="Z48" s="149">
        <f>-INDEX(Parameters!$B:$B,MATCH(Z$3,Parameters!$A:$A,0))*$X48</f>
        <v>0</v>
      </c>
      <c r="AA48" s="148">
        <f t="shared" si="69"/>
        <v>1000</v>
      </c>
      <c r="AB48" s="148">
        <f>AA48/INDEX(Parameters!$B:$B,MATCH("AfschrijftermijnVVE"&amp;12*$C48,Parameters!$A:$A,0))</f>
        <v>27.777777777777779</v>
      </c>
      <c r="AC48" s="148">
        <f>INDEX('Tarieven ZM'!$G:$G,$W48)</f>
        <v>1000</v>
      </c>
      <c r="AD48" s="161">
        <f>-INDEX(Parameters!$B:$B,MATCH(AD$3,Parameters!$A:$A,0))*$AC48</f>
        <v>0</v>
      </c>
      <c r="AE48" s="161">
        <f>-INDEX(Parameters!$B:$B,MATCH(AE$3,Parameters!$A:$A,0))*$AC48</f>
        <v>0</v>
      </c>
      <c r="AF48" s="148">
        <f t="shared" si="70"/>
        <v>1000</v>
      </c>
      <c r="AG48" s="151">
        <f t="shared" si="9"/>
        <v>1027.7777777777778</v>
      </c>
      <c r="AH48" s="209"/>
      <c r="AI48" s="147">
        <f>IF(Q48&lt;&gt;"nvt",MATCH($T48,'Tarieven W&amp;O'!$B:$B,0),"nvt")</f>
        <v>22</v>
      </c>
      <c r="AJ48" s="262">
        <f>IF(AI48&lt;&gt;"nvt",INDEX('Tarieven W&amp;O'!$H:$H,$AI48)+INDEX(Parameters!C:C,MATCH("NLSx "&amp;O48&amp;" "&amp;M48,Parameters!A:A,0)),0)</f>
        <v>25</v>
      </c>
      <c r="AK48" s="148">
        <f>IF(AI48&lt;&gt;"nvt",INDEX('Tarieven W&amp;O'!$I:$I,$AI48),0)</f>
        <v>25</v>
      </c>
      <c r="AL48" s="149">
        <f>IF(AI48&lt;&gt;"nvt",-INDEX(Parameters!$B:$B,MATCH(AL$3&amp;$M48,Parameters!$A:$A,0))*(AJ48+AK48),0)</f>
        <v>0</v>
      </c>
      <c r="AM48" s="149"/>
      <c r="AN48" s="148">
        <f t="shared" si="10"/>
        <v>50</v>
      </c>
      <c r="AO48" s="171">
        <f>AN48/INDEX(Parameters!$B:$B,MATCH("AfschrijftermijnVVE"&amp;12*$C48,Parameters!$A:$A,0))</f>
        <v>1.3888888888888888</v>
      </c>
      <c r="AP48" s="148">
        <f>MATCH($U48,'Tarieven W&amp;O'!$B:$B,0)</f>
        <v>11</v>
      </c>
      <c r="AQ48" s="150">
        <f>IF(AP48&lt;&gt;"nvt",INDEX('Tarieven W&amp;O'!$G:$G,$AP48),0)</f>
        <v>19.13</v>
      </c>
      <c r="AR48" s="277">
        <f>-INDEX(Parameters!$B:$B,MATCH(AR$3&amp;$M48&amp;O48,Parameters!$A:$A,0))*(AQ48)</f>
        <v>0</v>
      </c>
      <c r="AS48" s="148"/>
      <c r="AT48" s="148"/>
      <c r="AU48" s="150">
        <f t="shared" si="11"/>
        <v>19.13</v>
      </c>
      <c r="AV48" s="150">
        <f t="shared" si="12"/>
        <v>20.518888888888888</v>
      </c>
      <c r="AW48" s="202"/>
      <c r="AX48" s="150">
        <f>Parameters!$B$6*AV48</f>
        <v>0.20518888888888889</v>
      </c>
      <c r="AY48" s="202">
        <v>0</v>
      </c>
      <c r="AZ48" s="202"/>
      <c r="BA48" s="150">
        <f t="shared" si="13"/>
        <v>0.20518888888888889</v>
      </c>
      <c r="BB48" s="202"/>
      <c r="BC48" s="151">
        <f t="shared" si="14"/>
        <v>20.724077777777776</v>
      </c>
      <c r="BD48" s="209"/>
      <c r="BE48" s="140">
        <f t="shared" si="65"/>
        <v>1007.0537</v>
      </c>
      <c r="BF48" s="141">
        <f t="shared" si="66"/>
        <v>0.97983603243243245</v>
      </c>
      <c r="BG48" s="142" t="b">
        <f t="shared" si="15"/>
        <v>0</v>
      </c>
      <c r="BI48" s="188" t="s">
        <v>538</v>
      </c>
      <c r="BJ48" s="189"/>
      <c r="BK48">
        <f>VLOOKUP(J48,'Tarieven ZM'!$B$7:$I$146,8,0)</f>
        <v>0</v>
      </c>
      <c r="BL48" s="203" t="str">
        <f t="shared" si="16"/>
        <v>FttHNew lineunshared</v>
      </c>
      <c r="BM48" s="282">
        <f>INDEX('inkoop ULL tbv Epacity'!$J:$J,MATCH(BL48,'inkoop ULL tbv Epacity'!$H:$H,0),0)</f>
        <v>114.6</v>
      </c>
      <c r="BN48" s="171">
        <f>BM48/INDEX(Parameters!$B:$B,MATCH("AfschrijftermijnVVE"&amp;12*$C48,Parameters!$A:$A,0))</f>
        <v>3.1833333333333331</v>
      </c>
      <c r="BO48" s="263">
        <f>INDEX('inkoop ULL tbv Epacity'!$I:$I,MATCH(BL48,'inkoop ULL tbv Epacity'!$H:$H,0),0)</f>
        <v>18.2732188395</v>
      </c>
      <c r="BP48" s="263">
        <f t="shared" si="17"/>
        <v>21.456552172833334</v>
      </c>
      <c r="BQ48" s="203"/>
      <c r="BR48" s="262">
        <f>Parameters!$B$12*AG48</f>
        <v>102.77777777777779</v>
      </c>
      <c r="BS48" s="262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SUM(Distributievergoedingen!$F$12,Distributievergoedingen!$I$12,Distributievergoedingen!$L$12,Distributievergoedingen!$O$12)*AF48+SUM(Distributievergoedingen!$O$12*AA48+Distributievergoedingen!$R$12+Distributievergoedingen!$U$12+Distributievergoedingen!$X$12)/(MAX(36,12*L48))</f>
        <v>112.77777777777777</v>
      </c>
      <c r="BT48" s="150"/>
      <c r="BU48" s="150">
        <f t="shared" si="18"/>
        <v>215.55555555555554</v>
      </c>
      <c r="BW48" s="151">
        <f t="shared" si="19"/>
        <v>237.01210772838888</v>
      </c>
      <c r="BY48" s="140">
        <f t="shared" si="20"/>
        <v>790.76567004938897</v>
      </c>
      <c r="BZ48" s="141">
        <f t="shared" si="21"/>
        <v>0.76939362491291896</v>
      </c>
      <c r="CA48" s="142" t="b">
        <f t="shared" si="22"/>
        <v>0</v>
      </c>
    </row>
    <row r="49" spans="1:79">
      <c r="A49" s="203" t="str">
        <f t="shared" si="67"/>
        <v>3VDSLEntrybestaandunshared</v>
      </c>
      <c r="B49" s="203" t="str">
        <f t="shared" si="5"/>
        <v>3VDSLEntrybestaandunshared</v>
      </c>
      <c r="C49" s="438">
        <v>3</v>
      </c>
      <c r="D49" s="438" t="s">
        <v>77</v>
      </c>
      <c r="E49" s="438" t="s">
        <v>78</v>
      </c>
      <c r="F49" s="438"/>
      <c r="G49" s="438"/>
      <c r="H49" s="438" t="s">
        <v>124</v>
      </c>
      <c r="I49" s="438" t="s">
        <v>128</v>
      </c>
      <c r="J49" s="274" t="str">
        <f t="shared" si="68"/>
        <v>VDSLbestaandunshared</v>
      </c>
      <c r="L49" s="160">
        <f>INDEX(Mapping!$J:$J,MATCH(C$3&amp;C49,Mapping!$B:$B,0))</f>
        <v>1</v>
      </c>
      <c r="M49" s="148" t="str">
        <f>INDEX(Mapping!$H:$H,MATCH($E49,Mapping!$B:$B,0))</f>
        <v>WBA CM Ethernet</v>
      </c>
      <c r="N49" s="179" t="str">
        <f>INDEX(Mapping!$I:$I,MATCH($D49&amp;$I49,Mapping!$B:$B,0))</f>
        <v>VDSL</v>
      </c>
      <c r="O49" s="179" t="str">
        <f>INDEX(Mapping!$I:$I,MATCH($D49,Mapping!$B:$B,0))</f>
        <v>VDSL</v>
      </c>
      <c r="P49" s="179"/>
      <c r="Q49" s="179" t="str">
        <f>INDEX(Mapping!$H:$H,MATCH($H49,Mapping!$B:$B,0))</f>
        <v>nvt</v>
      </c>
      <c r="R49" s="179" t="s">
        <v>115</v>
      </c>
      <c r="S49" s="148" t="str">
        <f>INDEX(Mapping!$J:$J,MATCH($D49&amp;$I49,Mapping!$B:$B,0))</f>
        <v>unshared</v>
      </c>
      <c r="T49" s="148" t="str">
        <f t="shared" si="63"/>
        <v>WBA CM EthernetVDSLnvt</v>
      </c>
      <c r="U49" s="142" t="str">
        <f t="shared" si="64"/>
        <v>WBA CM EthernetVDSLunshared</v>
      </c>
      <c r="W49" s="160">
        <f>MATCH($J49,'Tarieven ZM'!$B:$B,0)</f>
        <v>102</v>
      </c>
      <c r="X49" s="148">
        <f>INDEX('Tarieven ZM'!$H:$H,$W49)</f>
        <v>1000</v>
      </c>
      <c r="Y49" s="161">
        <f>-INDEX(Parameters!$B:$B,MATCH(Y$3,Parameters!$A:$A,0))*$X49</f>
        <v>0</v>
      </c>
      <c r="Z49" s="149">
        <f>-INDEX(Parameters!$B:$B,MATCH(Z$3,Parameters!$A:$A,0))*$X49</f>
        <v>0</v>
      </c>
      <c r="AA49" s="148">
        <f t="shared" si="69"/>
        <v>1000</v>
      </c>
      <c r="AB49" s="148">
        <f>AA49/INDEX(Parameters!$B:$B,MATCH("AfschrijftermijnVVE"&amp;12*$C49,Parameters!$A:$A,0))</f>
        <v>27.777777777777779</v>
      </c>
      <c r="AC49" s="148">
        <f>INDEX('Tarieven ZM'!$G:$G,$W49)</f>
        <v>1000</v>
      </c>
      <c r="AD49" s="161">
        <f>-INDEX(Parameters!$B:$B,MATCH(AD$3,Parameters!$A:$A,0))*$AC49</f>
        <v>0</v>
      </c>
      <c r="AE49" s="161">
        <f>-INDEX(Parameters!$B:$B,MATCH(AE$3,Parameters!$A:$A,0))*$AC49</f>
        <v>0</v>
      </c>
      <c r="AF49" s="148">
        <f t="shared" si="70"/>
        <v>1000</v>
      </c>
      <c r="AG49" s="151">
        <f t="shared" si="9"/>
        <v>1027.7777777777778</v>
      </c>
      <c r="AH49" s="209"/>
      <c r="AI49" s="147" t="str">
        <f>IF(Q49&lt;&gt;"nvt",MATCH($T49,'Tarieven W&amp;O'!$B:$B,0),"nvt")</f>
        <v>nvt</v>
      </c>
      <c r="AJ49" s="262">
        <f>IF(AI49&lt;&gt;"nvt",INDEX('Tarieven W&amp;O'!$H:$H,$AI49)+INDEX(Parameters!C:C,MATCH("NLSx "&amp;O49&amp;" "&amp;M49,Parameters!A:A,0)),0)</f>
        <v>0</v>
      </c>
      <c r="AK49" s="148">
        <f>IF(AI49&lt;&gt;"nvt",INDEX('Tarieven W&amp;O'!$I:$I,$AI49),0)</f>
        <v>0</v>
      </c>
      <c r="AL49" s="149">
        <f>IF(AI49&lt;&gt;"nvt",-INDEX(Parameters!$B:$B,MATCH(AL$3&amp;$M49,Parameters!$A:$A,0))*(AJ49+AK49),0)</f>
        <v>0</v>
      </c>
      <c r="AM49" s="149"/>
      <c r="AN49" s="148">
        <f t="shared" si="10"/>
        <v>0</v>
      </c>
      <c r="AO49" s="171">
        <f>AN49/INDEX(Parameters!$B:$B,MATCH("AfschrijftermijnVVE"&amp;12*$C49,Parameters!$A:$A,0))</f>
        <v>0</v>
      </c>
      <c r="AP49" s="148">
        <f>MATCH($U49,'Tarieven W&amp;O'!$B:$B,0)</f>
        <v>9</v>
      </c>
      <c r="AQ49" s="150">
        <f>IF(AP49&lt;&gt;"nvt",INDEX('Tarieven W&amp;O'!$G:$G,$AP49),0)</f>
        <v>13.09</v>
      </c>
      <c r="AR49" s="277">
        <f>-INDEX(Parameters!$B:$B,MATCH(AR$3&amp;$M49&amp;O49,Parameters!$A:$A,0))*(AQ49)</f>
        <v>-1.3090000000000002</v>
      </c>
      <c r="AS49" s="148"/>
      <c r="AT49" s="148"/>
      <c r="AU49" s="150">
        <f t="shared" si="11"/>
        <v>11.780999999999999</v>
      </c>
      <c r="AV49" s="150">
        <f t="shared" si="12"/>
        <v>11.780999999999999</v>
      </c>
      <c r="AW49" s="202"/>
      <c r="AX49" s="150">
        <f>Parameters!$B$6*AV49</f>
        <v>0.11780999999999998</v>
      </c>
      <c r="AY49" s="202">
        <v>0</v>
      </c>
      <c r="AZ49" s="202"/>
      <c r="BA49" s="150">
        <f t="shared" si="13"/>
        <v>0.11780999999999998</v>
      </c>
      <c r="BB49" s="202"/>
      <c r="BC49" s="151">
        <f t="shared" si="14"/>
        <v>11.898809999999999</v>
      </c>
      <c r="BD49" s="209"/>
      <c r="BE49" s="140">
        <f t="shared" si="65"/>
        <v>1015.8789677777778</v>
      </c>
      <c r="BF49" s="141">
        <f t="shared" si="66"/>
        <v>0.98842277945945944</v>
      </c>
      <c r="BG49" s="142" t="b">
        <f t="shared" si="15"/>
        <v>0</v>
      </c>
      <c r="BI49" s="188" t="s">
        <v>538</v>
      </c>
      <c r="BJ49" s="189"/>
      <c r="BK49">
        <f>VLOOKUP(J49,'Tarieven ZM'!$B$7:$I$146,8,0)</f>
        <v>0</v>
      </c>
      <c r="BL49" s="203" t="str">
        <f t="shared" si="16"/>
        <v>VDSLnvtunshared</v>
      </c>
      <c r="BM49" s="282">
        <f>INDEX('inkoop ULL tbv Epacity'!$J:$J,MATCH(BL49,'inkoop ULL tbv Epacity'!$H:$H,0),0)</f>
        <v>35</v>
      </c>
      <c r="BN49" s="171">
        <f>BM49/INDEX(Parameters!$B:$B,MATCH("AfschrijftermijnVVE"&amp;12*$C49,Parameters!$A:$A,0))</f>
        <v>0.97222222222222221</v>
      </c>
      <c r="BO49" s="263">
        <f>INDEX('inkoop ULL tbv Epacity'!$I:$I,MATCH(BL49,'inkoop ULL tbv Epacity'!$H:$H,0),0)</f>
        <v>12.501783475119046</v>
      </c>
      <c r="BP49" s="263">
        <f t="shared" si="17"/>
        <v>13.474005697341267</v>
      </c>
      <c r="BQ49" s="203"/>
      <c r="BR49" s="262">
        <f>Parameters!$B$12*AG49</f>
        <v>102.77777777777779</v>
      </c>
      <c r="BS49" s="262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SUM(Distributievergoedingen!$F$12,Distributievergoedingen!$I$12,Distributievergoedingen!$L$12,Distributievergoedingen!$O$12)*AF49+SUM(Distributievergoedingen!$O$12*AA49+Distributievergoedingen!$R$12+Distributievergoedingen!$U$12+Distributievergoedingen!$X$12)/(MAX(36,12*L49))</f>
        <v>112.77777777777777</v>
      </c>
      <c r="BT49" s="150"/>
      <c r="BU49" s="150">
        <f t="shared" si="18"/>
        <v>215.55555555555554</v>
      </c>
      <c r="BW49" s="151">
        <f t="shared" si="19"/>
        <v>229.0295612528968</v>
      </c>
      <c r="BY49" s="140">
        <f t="shared" si="20"/>
        <v>798.74821652488106</v>
      </c>
      <c r="BZ49" s="141">
        <f t="shared" si="21"/>
        <v>0.77716042688907339</v>
      </c>
      <c r="CA49" s="142" t="b">
        <f t="shared" si="22"/>
        <v>0</v>
      </c>
    </row>
    <row r="50" spans="1:79">
      <c r="A50" s="203" t="str">
        <f t="shared" si="67"/>
        <v>3ADSLBasicbestaandunshared</v>
      </c>
      <c r="B50" s="203" t="str">
        <f t="shared" si="5"/>
        <v>3ADSLBasicbestaandunshared</v>
      </c>
      <c r="C50" s="438">
        <v>3</v>
      </c>
      <c r="D50" s="438" t="s">
        <v>42</v>
      </c>
      <c r="E50" s="438" t="s">
        <v>44</v>
      </c>
      <c r="F50" s="438"/>
      <c r="G50" s="438"/>
      <c r="H50" s="438" t="s">
        <v>124</v>
      </c>
      <c r="I50" s="438" t="s">
        <v>128</v>
      </c>
      <c r="J50" s="274" t="str">
        <f t="shared" si="68"/>
        <v>ADSLbestaandunshared</v>
      </c>
      <c r="L50" s="160">
        <f>INDEX(Mapping!$J:$J,MATCH(C$3&amp;C50,Mapping!$B:$B,0))</f>
        <v>1</v>
      </c>
      <c r="M50" s="148" t="str">
        <f>INDEX(Mapping!$H:$H,MATCH($E50,Mapping!$B:$B,0))</f>
        <v>WBA CM Ethernet</v>
      </c>
      <c r="N50" s="179" t="str">
        <f>INDEX(Mapping!$I:$I,MATCH($D50&amp;$I50,Mapping!$B:$B,0))</f>
        <v>ADSL</v>
      </c>
      <c r="O50" s="179" t="str">
        <f>INDEX(Mapping!$I:$I,MATCH($D50,Mapping!$B:$B,0))</f>
        <v>ADSL</v>
      </c>
      <c r="P50" s="179"/>
      <c r="Q50" s="179" t="str">
        <f>INDEX(Mapping!$H:$H,MATCH($H50,Mapping!$B:$B,0))</f>
        <v>nvt</v>
      </c>
      <c r="R50" s="179" t="s">
        <v>115</v>
      </c>
      <c r="S50" s="148" t="str">
        <f>INDEX(Mapping!$J:$J,MATCH($D50&amp;$I50,Mapping!$B:$B,0))</f>
        <v>unshared</v>
      </c>
      <c r="T50" s="148" t="str">
        <f t="shared" si="63"/>
        <v>WBA CM EthernetADSLnvt</v>
      </c>
      <c r="U50" s="142" t="str">
        <f t="shared" si="64"/>
        <v>WBA CM EthernetADSLunshared</v>
      </c>
      <c r="W50" s="160">
        <f>MATCH($J50,'Tarieven ZM'!$B:$B,0)</f>
        <v>103</v>
      </c>
      <c r="X50" s="148">
        <f>INDEX('Tarieven ZM'!$H:$H,$W50)</f>
        <v>1000</v>
      </c>
      <c r="Y50" s="161">
        <f>-INDEX(Parameters!$B:$B,MATCH(Y$3,Parameters!$A:$A,0))*$X50</f>
        <v>0</v>
      </c>
      <c r="Z50" s="149">
        <f>-INDEX(Parameters!$B:$B,MATCH(Z$3,Parameters!$A:$A,0))*$X50</f>
        <v>0</v>
      </c>
      <c r="AA50" s="148">
        <f t="shared" si="69"/>
        <v>1000</v>
      </c>
      <c r="AB50" s="148">
        <f>AA50/INDEX(Parameters!$B:$B,MATCH("AfschrijftermijnVVE"&amp;12*$C50,Parameters!$A:$A,0))</f>
        <v>27.777777777777779</v>
      </c>
      <c r="AC50" s="148">
        <f>INDEX('Tarieven ZM'!$G:$G,$W50)</f>
        <v>1000</v>
      </c>
      <c r="AD50" s="161">
        <f>-INDEX(Parameters!$B:$B,MATCH(AD$3,Parameters!$A:$A,0))*$AC50</f>
        <v>0</v>
      </c>
      <c r="AE50" s="161">
        <f>-INDEX(Parameters!$B:$B,MATCH(AE$3,Parameters!$A:$A,0))*$AC50</f>
        <v>0</v>
      </c>
      <c r="AF50" s="148">
        <f t="shared" si="70"/>
        <v>1000</v>
      </c>
      <c r="AG50" s="151">
        <f t="shared" si="9"/>
        <v>1027.7777777777778</v>
      </c>
      <c r="AH50" s="209"/>
      <c r="AI50" s="147" t="str">
        <f>IF(Q50&lt;&gt;"nvt",MATCH($T50,'Tarieven W&amp;O'!$B:$B,0),"nvt")</f>
        <v>nvt</v>
      </c>
      <c r="AJ50" s="262">
        <f>IF(AI50&lt;&gt;"nvt",INDEX('Tarieven W&amp;O'!$H:$H,$AI50)+INDEX(Parameters!C:C,MATCH("NLSx "&amp;O50&amp;" "&amp;M50,Parameters!A:A,0)),0)</f>
        <v>0</v>
      </c>
      <c r="AK50" s="148">
        <f>IF(AI50&lt;&gt;"nvt",INDEX('Tarieven W&amp;O'!$I:$I,$AI50),0)</f>
        <v>0</v>
      </c>
      <c r="AL50" s="149">
        <f>IF(AI50&lt;&gt;"nvt",-INDEX(Parameters!$B:$B,MATCH(AL$3&amp;$M50,Parameters!$A:$A,0))*(AJ50+AK50),0)</f>
        <v>0</v>
      </c>
      <c r="AM50" s="149"/>
      <c r="AN50" s="148">
        <f t="shared" si="10"/>
        <v>0</v>
      </c>
      <c r="AO50" s="171">
        <f>AN50/INDEX(Parameters!$B:$B,MATCH("AfschrijftermijnVVE"&amp;12*$C50,Parameters!$A:$A,0))</f>
        <v>0</v>
      </c>
      <c r="AP50" s="148">
        <f>MATCH($U50,'Tarieven W&amp;O'!$B:$B,0)</f>
        <v>8</v>
      </c>
      <c r="AQ50" s="150">
        <f>IF(AP50&lt;&gt;"nvt",INDEX('Tarieven W&amp;O'!$G:$G,$AP50),0)</f>
        <v>13.09</v>
      </c>
      <c r="AR50" s="277">
        <f>-INDEX(Parameters!$B:$B,MATCH(AR$3&amp;$M50&amp;O50,Parameters!$A:$A,0))*(AQ50)</f>
        <v>-1.3090000000000002</v>
      </c>
      <c r="AS50" s="148"/>
      <c r="AT50" s="148"/>
      <c r="AU50" s="150">
        <f t="shared" si="11"/>
        <v>11.780999999999999</v>
      </c>
      <c r="AV50" s="150">
        <f t="shared" si="12"/>
        <v>11.780999999999999</v>
      </c>
      <c r="AW50" s="202"/>
      <c r="AX50" s="150">
        <f>Parameters!$B$6*AV50</f>
        <v>0.11780999999999998</v>
      </c>
      <c r="AY50" s="202">
        <v>0</v>
      </c>
      <c r="AZ50" s="202"/>
      <c r="BA50" s="150">
        <f t="shared" si="13"/>
        <v>0.11780999999999998</v>
      </c>
      <c r="BB50" s="202"/>
      <c r="BC50" s="151">
        <f t="shared" si="14"/>
        <v>11.898809999999999</v>
      </c>
      <c r="BD50" s="209"/>
      <c r="BE50" s="140">
        <f t="shared" si="65"/>
        <v>1015.8789677777778</v>
      </c>
      <c r="BF50" s="141">
        <f t="shared" si="66"/>
        <v>0.98842277945945944</v>
      </c>
      <c r="BG50" s="142" t="b">
        <f t="shared" si="15"/>
        <v>0</v>
      </c>
      <c r="BI50" s="188" t="s">
        <v>538</v>
      </c>
      <c r="BJ50" s="189"/>
      <c r="BK50">
        <f>VLOOKUP(J50,'Tarieven ZM'!$B$7:$I$146,8,0)</f>
        <v>0</v>
      </c>
      <c r="BL50" s="203" t="str">
        <f t="shared" si="16"/>
        <v>ADSLnvtunshared</v>
      </c>
      <c r="BM50" s="282">
        <f>INDEX('inkoop ULL tbv Epacity'!$J:$J,MATCH(BL50,'inkoop ULL tbv Epacity'!$H:$H,0),0)</f>
        <v>35</v>
      </c>
      <c r="BN50" s="171">
        <f>BM50/INDEX(Parameters!$B:$B,MATCH("AfschrijftermijnVVE"&amp;12*$C50,Parameters!$A:$A,0))</f>
        <v>0.97222222222222221</v>
      </c>
      <c r="BO50" s="263">
        <f>INDEX('inkoop ULL tbv Epacity'!$I:$I,MATCH(BL50,'inkoop ULL tbv Epacity'!$H:$H,0),0)</f>
        <v>12.501783475119046</v>
      </c>
      <c r="BP50" s="263">
        <f t="shared" si="17"/>
        <v>13.474005697341267</v>
      </c>
      <c r="BQ50" s="203"/>
      <c r="BR50" s="262">
        <f>Parameters!$B$12*AG50</f>
        <v>102.77777777777779</v>
      </c>
      <c r="BS50" s="262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SUM(Distributievergoedingen!$F$12,Distributievergoedingen!$I$12,Distributievergoedingen!$L$12,Distributievergoedingen!$O$12)*AF50+SUM(Distributievergoedingen!$O$12*AA50+Distributievergoedingen!$R$12+Distributievergoedingen!$U$12+Distributievergoedingen!$X$12)/(MAX(36,12*L50))</f>
        <v>112.77777777777777</v>
      </c>
      <c r="BT50" s="150"/>
      <c r="BU50" s="150">
        <f t="shared" si="18"/>
        <v>215.55555555555554</v>
      </c>
      <c r="BW50" s="151">
        <f t="shared" si="19"/>
        <v>229.0295612528968</v>
      </c>
      <c r="BY50" s="140">
        <f t="shared" si="20"/>
        <v>798.74821652488106</v>
      </c>
      <c r="BZ50" s="141">
        <f t="shared" si="21"/>
        <v>0.77716042688907339</v>
      </c>
      <c r="CA50" s="142" t="b">
        <f t="shared" si="22"/>
        <v>0</v>
      </c>
    </row>
    <row r="51" spans="1:79">
      <c r="A51" s="203" t="str">
        <f t="shared" si="67"/>
        <v>3SDSLBasicbestaandunshared</v>
      </c>
      <c r="B51" s="203" t="str">
        <f t="shared" si="5"/>
        <v>3SDSLBasicbestaandunshared</v>
      </c>
      <c r="C51" s="438">
        <v>3</v>
      </c>
      <c r="D51" s="438" t="s">
        <v>64</v>
      </c>
      <c r="E51" s="438" t="s">
        <v>44</v>
      </c>
      <c r="F51" s="438"/>
      <c r="G51" s="438"/>
      <c r="H51" s="438" t="s">
        <v>124</v>
      </c>
      <c r="I51" s="438" t="s">
        <v>128</v>
      </c>
      <c r="J51" s="274" t="str">
        <f t="shared" si="68"/>
        <v>SDSLbestaandunshared</v>
      </c>
      <c r="L51" s="160">
        <f>INDEX(Mapping!$J:$J,MATCH(C$3&amp;C51,Mapping!$B:$B,0))</f>
        <v>1</v>
      </c>
      <c r="M51" s="148" t="str">
        <f>INDEX(Mapping!$H:$H,MATCH($E51,Mapping!$B:$B,0))</f>
        <v>WBA CM Ethernet</v>
      </c>
      <c r="N51" s="179" t="str">
        <f>INDEX(Mapping!$I:$I,MATCH($D51&amp;$I51,Mapping!$B:$B,0))</f>
        <v>SDSL</v>
      </c>
      <c r="O51" s="179" t="str">
        <f>INDEX(Mapping!$I:$I,MATCH($D51,Mapping!$B:$B,0))</f>
        <v>SDSL</v>
      </c>
      <c r="P51" s="179"/>
      <c r="Q51" s="179" t="str">
        <f>INDEX(Mapping!$H:$H,MATCH($H51,Mapping!$B:$B,0))</f>
        <v>nvt</v>
      </c>
      <c r="R51" s="179" t="s">
        <v>115</v>
      </c>
      <c r="S51" s="148" t="str">
        <f>INDEX(Mapping!$J:$J,MATCH($D51&amp;$I51,Mapping!$B:$B,0))</f>
        <v>unshared</v>
      </c>
      <c r="T51" s="148" t="str">
        <f t="shared" si="63"/>
        <v>WBA CM EthernetSDSLnvt</v>
      </c>
      <c r="U51" s="142" t="str">
        <f t="shared" si="64"/>
        <v>WBA CM EthernetSDSLunshared</v>
      </c>
      <c r="W51" s="160">
        <f>MATCH($J51,'Tarieven ZM'!$B:$B,0)</f>
        <v>104</v>
      </c>
      <c r="X51" s="148">
        <f>INDEX('Tarieven ZM'!$H:$H,$W51)</f>
        <v>1000</v>
      </c>
      <c r="Y51" s="161">
        <f>-INDEX(Parameters!$B:$B,MATCH(Y$3,Parameters!$A:$A,0))*$X51</f>
        <v>0</v>
      </c>
      <c r="Z51" s="149">
        <f>-INDEX(Parameters!$B:$B,MATCH(Z$3,Parameters!$A:$A,0))*$X51</f>
        <v>0</v>
      </c>
      <c r="AA51" s="148">
        <f t="shared" si="69"/>
        <v>1000</v>
      </c>
      <c r="AB51" s="148">
        <f>AA51/INDEX(Parameters!$B:$B,MATCH("AfschrijftermijnVVE"&amp;12*$C51,Parameters!$A:$A,0))</f>
        <v>27.777777777777779</v>
      </c>
      <c r="AC51" s="148">
        <f>INDEX('Tarieven ZM'!$G:$G,$W51)</f>
        <v>1000</v>
      </c>
      <c r="AD51" s="161">
        <f>-INDEX(Parameters!$B:$B,MATCH(AD$3,Parameters!$A:$A,0))*$AC51</f>
        <v>0</v>
      </c>
      <c r="AE51" s="161">
        <f>-INDEX(Parameters!$B:$B,MATCH(AE$3,Parameters!$A:$A,0))*$AC51</f>
        <v>0</v>
      </c>
      <c r="AF51" s="148">
        <f t="shared" si="70"/>
        <v>1000</v>
      </c>
      <c r="AG51" s="151">
        <f t="shared" si="9"/>
        <v>1027.7777777777778</v>
      </c>
      <c r="AH51" s="209"/>
      <c r="AI51" s="147" t="str">
        <f>IF(Q51&lt;&gt;"nvt",MATCH($T51,'Tarieven W&amp;O'!$B:$B,0),"nvt")</f>
        <v>nvt</v>
      </c>
      <c r="AJ51" s="262">
        <f>IF(AI51&lt;&gt;"nvt",INDEX('Tarieven W&amp;O'!$H:$H,$AI51)+INDEX(Parameters!C:C,MATCH("NLSx "&amp;O51&amp;" "&amp;M51,Parameters!A:A,0)),0)</f>
        <v>0</v>
      </c>
      <c r="AK51" s="148">
        <f>IF(AI51&lt;&gt;"nvt",INDEX('Tarieven W&amp;O'!$I:$I,$AI51),0)</f>
        <v>0</v>
      </c>
      <c r="AL51" s="149">
        <f>IF(AI51&lt;&gt;"nvt",-INDEX(Parameters!$B:$B,MATCH(AL$3&amp;$M51,Parameters!$A:$A,0))*(AJ51+AK51),0)</f>
        <v>0</v>
      </c>
      <c r="AM51" s="149"/>
      <c r="AN51" s="148">
        <f t="shared" si="10"/>
        <v>0</v>
      </c>
      <c r="AO51" s="171">
        <f>AN51/INDEX(Parameters!$B:$B,MATCH("AfschrijftermijnVVE"&amp;12*$C51,Parameters!$A:$A,0))</f>
        <v>0</v>
      </c>
      <c r="AP51" s="148">
        <f>MATCH($U51,'Tarieven W&amp;O'!$B:$B,0)</f>
        <v>10</v>
      </c>
      <c r="AQ51" s="150">
        <f>IF(AP51&lt;&gt;"nvt",INDEX('Tarieven W&amp;O'!$G:$G,$AP51),0)</f>
        <v>33.729999999999997</v>
      </c>
      <c r="AR51" s="277">
        <f>-INDEX(Parameters!$B:$B,MATCH(AR$3&amp;$M51&amp;O51,Parameters!$A:$A,0))*(AQ51)</f>
        <v>-3.3729999999999998</v>
      </c>
      <c r="AS51" s="148"/>
      <c r="AT51" s="148"/>
      <c r="AU51" s="150">
        <f t="shared" si="11"/>
        <v>30.356999999999996</v>
      </c>
      <c r="AV51" s="150">
        <f t="shared" si="12"/>
        <v>30.356999999999996</v>
      </c>
      <c r="AW51" s="202"/>
      <c r="AX51" s="150">
        <f>Parameters!$B$6*AV51</f>
        <v>0.30356999999999995</v>
      </c>
      <c r="AY51" s="202">
        <v>0</v>
      </c>
      <c r="AZ51" s="202"/>
      <c r="BA51" s="150">
        <f t="shared" si="13"/>
        <v>0.30356999999999995</v>
      </c>
      <c r="BB51" s="202"/>
      <c r="BC51" s="151">
        <f t="shared" si="14"/>
        <v>30.660569999999996</v>
      </c>
      <c r="BD51" s="209"/>
      <c r="BE51" s="140">
        <f t="shared" si="65"/>
        <v>997.11720777777782</v>
      </c>
      <c r="BF51" s="141">
        <f t="shared" si="66"/>
        <v>0.97016809405405402</v>
      </c>
      <c r="BG51" s="142" t="b">
        <f t="shared" si="15"/>
        <v>0</v>
      </c>
      <c r="BI51" s="188" t="s">
        <v>538</v>
      </c>
      <c r="BJ51" s="189"/>
      <c r="BK51">
        <f>VLOOKUP(J51,'Tarieven ZM'!$B$7:$I$146,8,0)</f>
        <v>0</v>
      </c>
      <c r="BL51" s="203" t="str">
        <f t="shared" si="16"/>
        <v>SDSLnvtunshared</v>
      </c>
      <c r="BM51" s="282">
        <f>INDEX('inkoop ULL tbv Epacity'!$J:$J,MATCH(BL51,'inkoop ULL tbv Epacity'!$H:$H,0),0)</f>
        <v>19.3</v>
      </c>
      <c r="BN51" s="171">
        <f>BM51/INDEX(Parameters!$B:$B,MATCH("AfschrijftermijnVVE"&amp;12*$C51,Parameters!$A:$A,0))</f>
        <v>0.53611111111111109</v>
      </c>
      <c r="BO51" s="263">
        <f>INDEX('inkoop ULL tbv Epacity'!$I:$I,MATCH(BL51,'inkoop ULL tbv Epacity'!$H:$H,0),0)</f>
        <v>9.3855844444444436</v>
      </c>
      <c r="BP51" s="263">
        <f t="shared" si="17"/>
        <v>9.921695555555555</v>
      </c>
      <c r="BQ51" s="203"/>
      <c r="BR51" s="262">
        <f>Parameters!$B$12*AG51</f>
        <v>102.77777777777779</v>
      </c>
      <c r="BS51" s="262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SUM(Distributievergoedingen!$F$12,Distributievergoedingen!$I$12,Distributievergoedingen!$L$12,Distributievergoedingen!$O$12)*AF51+SUM(Distributievergoedingen!$O$12*AA51+Distributievergoedingen!$R$12+Distributievergoedingen!$U$12+Distributievergoedingen!$X$12)/(MAX(36,12*L51))</f>
        <v>112.77777777777777</v>
      </c>
      <c r="BT51" s="150"/>
      <c r="BU51" s="150">
        <f t="shared" si="18"/>
        <v>215.55555555555554</v>
      </c>
      <c r="BW51" s="151">
        <f t="shared" si="19"/>
        <v>225.47725111111109</v>
      </c>
      <c r="BY51" s="140">
        <f t="shared" si="20"/>
        <v>802.30052666666677</v>
      </c>
      <c r="BZ51" s="141">
        <f t="shared" si="21"/>
        <v>0.78061672864864873</v>
      </c>
      <c r="CA51" s="142" t="b">
        <f t="shared" si="22"/>
        <v>0</v>
      </c>
    </row>
    <row r="52" spans="1:79">
      <c r="A52" s="203" t="str">
        <f t="shared" si="67"/>
        <v>3VDSLEntrybestaandshared</v>
      </c>
      <c r="B52" s="203" t="str">
        <f t="shared" si="5"/>
        <v>3VDSLEntrybestaandshared</v>
      </c>
      <c r="C52" s="438">
        <v>3</v>
      </c>
      <c r="D52" s="438" t="s">
        <v>77</v>
      </c>
      <c r="E52" s="438" t="s">
        <v>78</v>
      </c>
      <c r="F52" s="438"/>
      <c r="G52" s="438"/>
      <c r="H52" s="438" t="s">
        <v>124</v>
      </c>
      <c r="I52" s="438" t="s">
        <v>127</v>
      </c>
      <c r="J52" s="274" t="str">
        <f t="shared" si="68"/>
        <v>VDSLbestaandshared</v>
      </c>
      <c r="L52" s="160">
        <f>INDEX(Mapping!$J:$J,MATCH(C$3&amp;C52,Mapping!$B:$B,0))</f>
        <v>1</v>
      </c>
      <c r="M52" s="148" t="str">
        <f>INDEX(Mapping!$H:$H,MATCH($E52,Mapping!$B:$B,0))</f>
        <v>WBA CM Ethernet</v>
      </c>
      <c r="N52" s="179" t="str">
        <f>INDEX(Mapping!$I:$I,MATCH($D52&amp;$I52,Mapping!$B:$B,0))</f>
        <v>VDSL</v>
      </c>
      <c r="O52" s="179" t="str">
        <f>INDEX(Mapping!$I:$I,MATCH($D52,Mapping!$B:$B,0))</f>
        <v>VDSL</v>
      </c>
      <c r="P52" s="179"/>
      <c r="Q52" s="179" t="str">
        <f>INDEX(Mapping!$H:$H,MATCH($H52,Mapping!$B:$B,0))</f>
        <v>nvt</v>
      </c>
      <c r="R52" s="179" t="s">
        <v>115</v>
      </c>
      <c r="S52" s="148" t="str">
        <f>INDEX(Mapping!$J:$J,MATCH($D52&amp;$I52,Mapping!$B:$B,0))</f>
        <v>shared</v>
      </c>
      <c r="T52" s="148" t="str">
        <f t="shared" si="63"/>
        <v>WBA CM EthernetVDSLnvt</v>
      </c>
      <c r="U52" s="142" t="str">
        <f t="shared" si="64"/>
        <v>WBA CM EthernetVDSLshared</v>
      </c>
      <c r="W52" s="160">
        <f>MATCH($J52,'Tarieven ZM'!$B:$B,0)</f>
        <v>105</v>
      </c>
      <c r="X52" s="148">
        <f>INDEX('Tarieven ZM'!$H:$H,$W52)</f>
        <v>1000</v>
      </c>
      <c r="Y52" s="161">
        <f>-INDEX(Parameters!$B:$B,MATCH(Y$3,Parameters!$A:$A,0))*$X52</f>
        <v>0</v>
      </c>
      <c r="Z52" s="149">
        <f>-INDEX(Parameters!$B:$B,MATCH(Z$3,Parameters!$A:$A,0))*$X52</f>
        <v>0</v>
      </c>
      <c r="AA52" s="148">
        <f t="shared" si="69"/>
        <v>1000</v>
      </c>
      <c r="AB52" s="148">
        <f>AA52/INDEX(Parameters!$B:$B,MATCH("AfschrijftermijnVVE"&amp;12*$C52,Parameters!$A:$A,0))</f>
        <v>27.777777777777779</v>
      </c>
      <c r="AC52" s="148">
        <f>INDEX('Tarieven ZM'!$G:$G,$W52)</f>
        <v>1000</v>
      </c>
      <c r="AD52" s="161">
        <f>-INDEX(Parameters!$B:$B,MATCH(AD$3,Parameters!$A:$A,0))*$AC52</f>
        <v>0</v>
      </c>
      <c r="AE52" s="161">
        <f>-INDEX(Parameters!$B:$B,MATCH(AE$3,Parameters!$A:$A,0))*$AC52</f>
        <v>0</v>
      </c>
      <c r="AF52" s="148">
        <f t="shared" si="70"/>
        <v>1000</v>
      </c>
      <c r="AG52" s="151">
        <f t="shared" si="9"/>
        <v>1027.7777777777778</v>
      </c>
      <c r="AH52" s="209"/>
      <c r="AI52" s="147" t="str">
        <f>IF(Q52&lt;&gt;"nvt",MATCH($T52,'Tarieven W&amp;O'!$B:$B,0),"nvt")</f>
        <v>nvt</v>
      </c>
      <c r="AJ52" s="262">
        <f>IF(AI52&lt;&gt;"nvt",INDEX('Tarieven W&amp;O'!$H:$H,$AI52)+INDEX(Parameters!C:C,MATCH("NLSx "&amp;O52&amp;" "&amp;M52,Parameters!A:A,0)),0)</f>
        <v>0</v>
      </c>
      <c r="AK52" s="148">
        <f>IF(AI52&lt;&gt;"nvt",INDEX('Tarieven W&amp;O'!$I:$I,$AI52),0)</f>
        <v>0</v>
      </c>
      <c r="AL52" s="149">
        <f>IF(AI52&lt;&gt;"nvt",-INDEX(Parameters!$B:$B,MATCH(AL$3&amp;$M52,Parameters!$A:$A,0))*(AJ52+AK52),0)</f>
        <v>0</v>
      </c>
      <c r="AM52" s="149"/>
      <c r="AN52" s="148">
        <f t="shared" si="10"/>
        <v>0</v>
      </c>
      <c r="AO52" s="171">
        <f>AN52/INDEX(Parameters!$B:$B,MATCH("AfschrijftermijnVVE"&amp;12*$C52,Parameters!$A:$A,0))</f>
        <v>0</v>
      </c>
      <c r="AP52" s="148">
        <f>MATCH($U52,'Tarieven W&amp;O'!$B:$B,0)</f>
        <v>14</v>
      </c>
      <c r="AQ52" s="150">
        <f>IF(AP52&lt;&gt;"nvt",INDEX('Tarieven W&amp;O'!$G:$G,$AP52),0)</f>
        <v>5.36</v>
      </c>
      <c r="AR52" s="277">
        <f>-INDEX(Parameters!$B:$B,MATCH(AR$3&amp;$M52&amp;O52,Parameters!$A:$A,0))*(AQ52)</f>
        <v>-0.53600000000000003</v>
      </c>
      <c r="AS52" s="148"/>
      <c r="AT52" s="148"/>
      <c r="AU52" s="150">
        <f t="shared" si="11"/>
        <v>4.8239999999999998</v>
      </c>
      <c r="AV52" s="150">
        <f t="shared" si="12"/>
        <v>4.8239999999999998</v>
      </c>
      <c r="AW52" s="202"/>
      <c r="AX52" s="150">
        <f>Parameters!$B$6*AV52</f>
        <v>4.8239999999999998E-2</v>
      </c>
      <c r="AY52" s="202">
        <v>0</v>
      </c>
      <c r="AZ52" s="202"/>
      <c r="BA52" s="150">
        <f t="shared" si="13"/>
        <v>4.8239999999999998E-2</v>
      </c>
      <c r="BB52" s="202"/>
      <c r="BC52" s="151">
        <f t="shared" si="14"/>
        <v>4.8722399999999997</v>
      </c>
      <c r="BD52" s="209"/>
      <c r="BE52" s="140">
        <f t="shared" si="65"/>
        <v>1022.9055377777778</v>
      </c>
      <c r="BF52" s="141">
        <f t="shared" si="66"/>
        <v>0.99525944216216211</v>
      </c>
      <c r="BG52" s="142" t="b">
        <f t="shared" si="15"/>
        <v>0</v>
      </c>
      <c r="BI52" s="188" t="s">
        <v>538</v>
      </c>
      <c r="BJ52" s="189"/>
      <c r="BK52">
        <f>VLOOKUP(J52,'Tarieven ZM'!$B$7:$I$146,8,0)</f>
        <v>0</v>
      </c>
      <c r="BL52" s="203" t="str">
        <f t="shared" si="16"/>
        <v>VDSLnvtshared</v>
      </c>
      <c r="BM52" s="282">
        <f>INDEX('inkoop ULL tbv Epacity'!$J:$J,MATCH(BL52,'inkoop ULL tbv Epacity'!$H:$H,0),0)</f>
        <v>35</v>
      </c>
      <c r="BN52" s="171">
        <f>BM52/INDEX(Parameters!$B:$B,MATCH("AfschrijftermijnVVE"&amp;12*$C52,Parameters!$A:$A,0))</f>
        <v>0.97222222222222221</v>
      </c>
      <c r="BO52" s="263">
        <f>INDEX('inkoop ULL tbv Epacity'!$I:$I,MATCH(BL52,'inkoop ULL tbv Epacity'!$H:$H,0),0)</f>
        <v>6.031783475119048</v>
      </c>
      <c r="BP52" s="263">
        <f t="shared" si="17"/>
        <v>7.0040056973412703</v>
      </c>
      <c r="BQ52" s="203"/>
      <c r="BR52" s="262">
        <f>Parameters!$B$12*AG52</f>
        <v>102.77777777777779</v>
      </c>
      <c r="BS52" s="262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SUM(Distributievergoedingen!$F$12,Distributievergoedingen!$I$12,Distributievergoedingen!$L$12,Distributievergoedingen!$O$12)*AF52+SUM(Distributievergoedingen!$O$12*AA52+Distributievergoedingen!$R$12+Distributievergoedingen!$U$12+Distributievergoedingen!$X$12)/(MAX(36,12*L52))</f>
        <v>112.77777777777777</v>
      </c>
      <c r="BT52" s="150"/>
      <c r="BU52" s="150">
        <f t="shared" si="18"/>
        <v>215.55555555555554</v>
      </c>
      <c r="BW52" s="151">
        <f t="shared" si="19"/>
        <v>222.5595612528968</v>
      </c>
      <c r="BY52" s="140">
        <f t="shared" si="20"/>
        <v>805.21821652488097</v>
      </c>
      <c r="BZ52" s="141">
        <f t="shared" si="21"/>
        <v>0.78345556202420852</v>
      </c>
      <c r="CA52" s="142" t="b">
        <f t="shared" si="22"/>
        <v>0</v>
      </c>
    </row>
    <row r="53" spans="1:79">
      <c r="A53" s="203" t="str">
        <f t="shared" si="67"/>
        <v>3ADSLBasicbestaandshared</v>
      </c>
      <c r="B53" s="203" t="str">
        <f t="shared" si="5"/>
        <v>3ADSLBasicbestaandshared</v>
      </c>
      <c r="C53" s="438">
        <v>3</v>
      </c>
      <c r="D53" s="438" t="s">
        <v>42</v>
      </c>
      <c r="E53" s="438" t="s">
        <v>44</v>
      </c>
      <c r="F53" s="438"/>
      <c r="G53" s="438"/>
      <c r="H53" s="438" t="s">
        <v>124</v>
      </c>
      <c r="I53" s="438" t="s">
        <v>127</v>
      </c>
      <c r="J53" s="274" t="str">
        <f t="shared" si="68"/>
        <v>ADSLbestaandshared</v>
      </c>
      <c r="L53" s="160">
        <f>INDEX(Mapping!$J:$J,MATCH(C$3&amp;C53,Mapping!$B:$B,0))</f>
        <v>1</v>
      </c>
      <c r="M53" s="148" t="str">
        <f>INDEX(Mapping!$H:$H,MATCH($E53,Mapping!$B:$B,0))</f>
        <v>WBA CM Ethernet</v>
      </c>
      <c r="N53" s="179" t="str">
        <f>INDEX(Mapping!$I:$I,MATCH($D53&amp;$I53,Mapping!$B:$B,0))</f>
        <v>ADSL</v>
      </c>
      <c r="O53" s="179" t="str">
        <f>INDEX(Mapping!$I:$I,MATCH($D53,Mapping!$B:$B,0))</f>
        <v>ADSL</v>
      </c>
      <c r="P53" s="179"/>
      <c r="Q53" s="179" t="str">
        <f>INDEX(Mapping!$H:$H,MATCH($H53,Mapping!$B:$B,0))</f>
        <v>nvt</v>
      </c>
      <c r="R53" s="179" t="s">
        <v>115</v>
      </c>
      <c r="S53" s="148" t="str">
        <f>INDEX(Mapping!$J:$J,MATCH($D53&amp;$I53,Mapping!$B:$B,0))</f>
        <v>shared</v>
      </c>
      <c r="T53" s="148" t="str">
        <f t="shared" si="63"/>
        <v>WBA CM EthernetADSLnvt</v>
      </c>
      <c r="U53" s="142" t="str">
        <f t="shared" si="64"/>
        <v>WBA CM EthernetADSLshared</v>
      </c>
      <c r="W53" s="160">
        <f>MATCH($J53,'Tarieven ZM'!$B:$B,0)</f>
        <v>106</v>
      </c>
      <c r="X53" s="148">
        <f>INDEX('Tarieven ZM'!$H:$H,$W53)</f>
        <v>1000</v>
      </c>
      <c r="Y53" s="161">
        <f>-INDEX(Parameters!$B:$B,MATCH(Y$3,Parameters!$A:$A,0))*$X53</f>
        <v>0</v>
      </c>
      <c r="Z53" s="149">
        <f>-INDEX(Parameters!$B:$B,MATCH(Z$3,Parameters!$A:$A,0))*$X53</f>
        <v>0</v>
      </c>
      <c r="AA53" s="148">
        <f t="shared" si="69"/>
        <v>1000</v>
      </c>
      <c r="AB53" s="148">
        <f>AA53/INDEX(Parameters!$B:$B,MATCH("AfschrijftermijnVVE"&amp;12*$C53,Parameters!$A:$A,0))</f>
        <v>27.777777777777779</v>
      </c>
      <c r="AC53" s="148">
        <f>INDEX('Tarieven ZM'!$G:$G,$W53)</f>
        <v>1000</v>
      </c>
      <c r="AD53" s="161">
        <f>-INDEX(Parameters!$B:$B,MATCH(AD$3,Parameters!$A:$A,0))*$AC53</f>
        <v>0</v>
      </c>
      <c r="AE53" s="161">
        <f>-INDEX(Parameters!$B:$B,MATCH(AE$3,Parameters!$A:$A,0))*$AC53</f>
        <v>0</v>
      </c>
      <c r="AF53" s="148">
        <f t="shared" si="70"/>
        <v>1000</v>
      </c>
      <c r="AG53" s="151">
        <f t="shared" si="9"/>
        <v>1027.7777777777778</v>
      </c>
      <c r="AH53" s="209"/>
      <c r="AI53" s="147" t="str">
        <f>IF(Q53&lt;&gt;"nvt",MATCH($T53,'Tarieven W&amp;O'!$B:$B,0),"nvt")</f>
        <v>nvt</v>
      </c>
      <c r="AJ53" s="262">
        <f>IF(AI53&lt;&gt;"nvt",INDEX('Tarieven W&amp;O'!$H:$H,$AI53)+INDEX(Parameters!C:C,MATCH("NLSx "&amp;O53&amp;" "&amp;M53,Parameters!A:A,0)),0)</f>
        <v>0</v>
      </c>
      <c r="AK53" s="148">
        <f>IF(AI53&lt;&gt;"nvt",INDEX('Tarieven W&amp;O'!$I:$I,$AI53),0)</f>
        <v>0</v>
      </c>
      <c r="AL53" s="149">
        <f>IF(AI53&lt;&gt;"nvt",-INDEX(Parameters!$B:$B,MATCH(AL$3&amp;$M53,Parameters!$A:$A,0))*(AJ53+AK53),0)</f>
        <v>0</v>
      </c>
      <c r="AM53" s="149"/>
      <c r="AN53" s="148">
        <f t="shared" si="10"/>
        <v>0</v>
      </c>
      <c r="AO53" s="171">
        <f>AN53/INDEX(Parameters!$B:$B,MATCH("AfschrijftermijnVVE"&amp;12*$C53,Parameters!$A:$A,0))</f>
        <v>0</v>
      </c>
      <c r="AP53" s="148">
        <f>MATCH($U53,'Tarieven W&amp;O'!$B:$B,0)</f>
        <v>15</v>
      </c>
      <c r="AQ53" s="150">
        <f>IF(AP53&lt;&gt;"nvt",INDEX('Tarieven W&amp;O'!$G:$G,$AP53),0)</f>
        <v>5.36</v>
      </c>
      <c r="AR53" s="277">
        <f>-INDEX(Parameters!$B:$B,MATCH(AR$3&amp;$M53&amp;O53,Parameters!$A:$A,0))*(AQ53)</f>
        <v>-0.53600000000000003</v>
      </c>
      <c r="AS53" s="148"/>
      <c r="AT53" s="148"/>
      <c r="AU53" s="150">
        <f t="shared" si="11"/>
        <v>4.8239999999999998</v>
      </c>
      <c r="AV53" s="150">
        <f t="shared" si="12"/>
        <v>4.8239999999999998</v>
      </c>
      <c r="AW53" s="202"/>
      <c r="AX53" s="150">
        <f>Parameters!$B$6*AV53</f>
        <v>4.8239999999999998E-2</v>
      </c>
      <c r="AY53" s="202">
        <v>0</v>
      </c>
      <c r="AZ53" s="202"/>
      <c r="BA53" s="150">
        <f t="shared" si="13"/>
        <v>4.8239999999999998E-2</v>
      </c>
      <c r="BB53" s="202"/>
      <c r="BC53" s="151">
        <f t="shared" si="14"/>
        <v>4.8722399999999997</v>
      </c>
      <c r="BD53" s="209"/>
      <c r="BE53" s="140">
        <f t="shared" si="65"/>
        <v>1022.9055377777778</v>
      </c>
      <c r="BF53" s="141">
        <f t="shared" si="66"/>
        <v>0.99525944216216211</v>
      </c>
      <c r="BG53" s="142" t="b">
        <f t="shared" si="15"/>
        <v>0</v>
      </c>
      <c r="BI53" s="188" t="s">
        <v>538</v>
      </c>
      <c r="BJ53" s="189"/>
      <c r="BK53">
        <f>VLOOKUP(J53,'Tarieven ZM'!$B$7:$I$146,8,0)</f>
        <v>0</v>
      </c>
      <c r="BL53" s="203" t="str">
        <f t="shared" si="16"/>
        <v>ADSLnvtshared</v>
      </c>
      <c r="BM53" s="282">
        <f>INDEX('inkoop ULL tbv Epacity'!$J:$J,MATCH(BL53,'inkoop ULL tbv Epacity'!$H:$H,0),0)</f>
        <v>35</v>
      </c>
      <c r="BN53" s="171">
        <f>BM53/INDEX(Parameters!$B:$B,MATCH("AfschrijftermijnVVE"&amp;12*$C53,Parameters!$A:$A,0))</f>
        <v>0.97222222222222221</v>
      </c>
      <c r="BO53" s="263">
        <f>INDEX('inkoop ULL tbv Epacity'!$I:$I,MATCH(BL53,'inkoop ULL tbv Epacity'!$H:$H,0),0)</f>
        <v>6.031783475119048</v>
      </c>
      <c r="BP53" s="263">
        <f t="shared" si="17"/>
        <v>7.0040056973412703</v>
      </c>
      <c r="BQ53" s="203"/>
      <c r="BR53" s="262">
        <f>Parameters!$B$12*AG53</f>
        <v>102.77777777777779</v>
      </c>
      <c r="BS53" s="262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SUM(Distributievergoedingen!$F$12,Distributievergoedingen!$I$12,Distributievergoedingen!$L$12,Distributievergoedingen!$O$12)*AF53+SUM(Distributievergoedingen!$O$12*AA53+Distributievergoedingen!$R$12+Distributievergoedingen!$U$12+Distributievergoedingen!$X$12)/(MAX(36,12*L53))</f>
        <v>112.77777777777777</v>
      </c>
      <c r="BT53" s="150"/>
      <c r="BU53" s="150">
        <f t="shared" si="18"/>
        <v>215.55555555555554</v>
      </c>
      <c r="BW53" s="151">
        <f t="shared" si="19"/>
        <v>222.5595612528968</v>
      </c>
      <c r="BY53" s="140">
        <f t="shared" si="20"/>
        <v>805.21821652488097</v>
      </c>
      <c r="BZ53" s="141">
        <f t="shared" si="21"/>
        <v>0.78345556202420852</v>
      </c>
      <c r="CA53" s="142" t="b">
        <f t="shared" si="22"/>
        <v>0</v>
      </c>
    </row>
    <row r="54" spans="1:79">
      <c r="A54" s="203" t="str">
        <f t="shared" si="67"/>
        <v>3ADSLPremiumnieuwunshared</v>
      </c>
      <c r="B54" s="203" t="str">
        <f t="shared" si="5"/>
        <v>3ADSLPremiumnieuwunshared</v>
      </c>
      <c r="C54" s="438">
        <v>3</v>
      </c>
      <c r="D54" s="438" t="s">
        <v>42</v>
      </c>
      <c r="E54" s="438" t="s">
        <v>70</v>
      </c>
      <c r="F54" s="438"/>
      <c r="G54" s="438"/>
      <c r="H54" s="438" t="s">
        <v>125</v>
      </c>
      <c r="I54" s="438" t="s">
        <v>128</v>
      </c>
      <c r="J54" s="274" t="str">
        <f t="shared" si="68"/>
        <v>ADSLnieuwunshared</v>
      </c>
      <c r="L54" s="160">
        <f>INDEX(Mapping!$J:$J,MATCH(C$3&amp;C54,Mapping!$B:$B,0))</f>
        <v>1</v>
      </c>
      <c r="M54" s="148" t="str">
        <f>INDEX(Mapping!$H:$H,MATCH($E54,Mapping!$B:$B,0))</f>
        <v>WBA ZM Ethernet</v>
      </c>
      <c r="N54" s="179" t="str">
        <f>INDEX(Mapping!$I:$I,MATCH($D54&amp;$I54,Mapping!$B:$B,0))</f>
        <v>ADSL</v>
      </c>
      <c r="O54" s="179" t="str">
        <f>INDEX(Mapping!$I:$I,MATCH($D54,Mapping!$B:$B,0))</f>
        <v>ADSL</v>
      </c>
      <c r="P54" s="179"/>
      <c r="Q54" s="179" t="str">
        <f>INDEX(Mapping!$H:$H,MATCH($H54,Mapping!$B:$B,0))</f>
        <v>New line</v>
      </c>
      <c r="R54" s="179" t="s">
        <v>115</v>
      </c>
      <c r="S54" s="148" t="str">
        <f>INDEX(Mapping!$J:$J,MATCH($D54&amp;$I54,Mapping!$B:$B,0))</f>
        <v>unshared</v>
      </c>
      <c r="T54" s="148" t="str">
        <f t="shared" si="63"/>
        <v>WBA ZM EthernetADSLNew line</v>
      </c>
      <c r="U54" s="142" t="str">
        <f t="shared" si="64"/>
        <v>WBA ZM EthernetADSLunshared</v>
      </c>
      <c r="W54" s="160">
        <f>MATCH($J54,'Tarieven ZM'!$B:$B,0)</f>
        <v>97</v>
      </c>
      <c r="X54" s="148">
        <f>INDEX('Tarieven ZM'!$H:$H,$W54)</f>
        <v>1000</v>
      </c>
      <c r="Y54" s="161">
        <f>-INDEX(Parameters!$B:$B,MATCH(Y$3,Parameters!$A:$A,0))*$X54</f>
        <v>0</v>
      </c>
      <c r="Z54" s="149">
        <f>-INDEX(Parameters!$B:$B,MATCH(Z$3,Parameters!$A:$A,0))*$X54</f>
        <v>0</v>
      </c>
      <c r="AA54" s="148">
        <f t="shared" si="69"/>
        <v>1000</v>
      </c>
      <c r="AB54" s="148">
        <f>AA54/INDEX(Parameters!$B:$B,MATCH("AfschrijftermijnVVE"&amp;12*$C54,Parameters!$A:$A,0))</f>
        <v>27.777777777777779</v>
      </c>
      <c r="AC54" s="148">
        <f>INDEX('Tarieven ZM'!$G:$G,$W54)</f>
        <v>1000</v>
      </c>
      <c r="AD54" s="161">
        <f>-INDEX(Parameters!$B:$B,MATCH(AD$3,Parameters!$A:$A,0))*$AC54</f>
        <v>0</v>
      </c>
      <c r="AE54" s="161">
        <f>-INDEX(Parameters!$B:$B,MATCH(AE$3,Parameters!$A:$A,0))*$AC54</f>
        <v>0</v>
      </c>
      <c r="AF54" s="148">
        <f t="shared" si="70"/>
        <v>1000</v>
      </c>
      <c r="AG54" s="151">
        <f t="shared" si="9"/>
        <v>1027.7777777777778</v>
      </c>
      <c r="AH54" s="209"/>
      <c r="AI54" s="147">
        <f>IF(Q54&lt;&gt;"nvt",MATCH($T54,'Tarieven W&amp;O'!$B:$B,0),"nvt")</f>
        <v>36</v>
      </c>
      <c r="AJ54" s="262">
        <f>IF(AI54&lt;&gt;"nvt",INDEX('Tarieven W&amp;O'!$H:$H,$AI54)+INDEX(Parameters!C:C,MATCH("NLSx "&amp;O54&amp;" "&amp;M54,Parameters!A:A,0)),0)</f>
        <v>64</v>
      </c>
      <c r="AK54" s="148">
        <f>IF(AI54&lt;&gt;"nvt",INDEX('Tarieven W&amp;O'!$I:$I,$AI54),0)</f>
        <v>25</v>
      </c>
      <c r="AL54" s="149">
        <f>IF(AI54&lt;&gt;"nvt",-INDEX(Parameters!$B:$B,MATCH(AL$3&amp;$M54,Parameters!$A:$A,0))*(AJ54+AK54),0)</f>
        <v>0</v>
      </c>
      <c r="AM54" s="149"/>
      <c r="AN54" s="148">
        <f t="shared" si="10"/>
        <v>89</v>
      </c>
      <c r="AO54" s="171">
        <f>AN54/INDEX(Parameters!$B:$B,MATCH("AfschrijftermijnVVE"&amp;12*$C54,Parameters!$A:$A,0))</f>
        <v>2.4722222222222223</v>
      </c>
      <c r="AP54" s="148">
        <f>MATCH($U54,'Tarieven W&amp;O'!$B:$B,0)</f>
        <v>28</v>
      </c>
      <c r="AQ54" s="150">
        <f>IF(AP54&lt;&gt;"nvt",INDEX('Tarieven W&amp;O'!$G:$G,$AP54),0)</f>
        <v>11.2</v>
      </c>
      <c r="AR54" s="277">
        <f>-INDEX(Parameters!$B:$B,MATCH(AR$3&amp;$M54&amp;O54,Parameters!$A:$A,0))*(AQ54)</f>
        <v>0</v>
      </c>
      <c r="AS54" s="148"/>
      <c r="AT54" s="148"/>
      <c r="AU54" s="150">
        <f t="shared" si="11"/>
        <v>11.2</v>
      </c>
      <c r="AV54" s="150">
        <f t="shared" si="12"/>
        <v>13.672222222222221</v>
      </c>
      <c r="AW54" s="202"/>
      <c r="AX54" s="150">
        <f>Parameters!$B$6*AV54</f>
        <v>0.13672222222222222</v>
      </c>
      <c r="AY54" s="202">
        <v>0</v>
      </c>
      <c r="AZ54" s="202"/>
      <c r="BA54" s="150">
        <f t="shared" si="13"/>
        <v>0.13672222222222222</v>
      </c>
      <c r="BB54" s="202"/>
      <c r="BC54" s="151">
        <f t="shared" si="14"/>
        <v>13.808944444444442</v>
      </c>
      <c r="BD54" s="209"/>
      <c r="BE54" s="140">
        <f t="shared" si="65"/>
        <v>1013.9688333333334</v>
      </c>
      <c r="BF54" s="141">
        <f t="shared" si="66"/>
        <v>0.98656427027027027</v>
      </c>
      <c r="BG54" s="142" t="b">
        <f t="shared" si="15"/>
        <v>0</v>
      </c>
      <c r="BI54" s="188" t="s">
        <v>538</v>
      </c>
      <c r="BJ54" s="189"/>
      <c r="BK54">
        <f>VLOOKUP(J54,'Tarieven ZM'!$B$7:$I$146,8,0)</f>
        <v>0</v>
      </c>
      <c r="BL54" s="203" t="str">
        <f t="shared" si="16"/>
        <v>ADSLNew lineunshared</v>
      </c>
      <c r="BM54" s="282">
        <f>INDEX('inkoop ULL tbv Epacity'!$J:$J,MATCH(BL54,'inkoop ULL tbv Epacity'!$H:$H,0),0)</f>
        <v>75</v>
      </c>
      <c r="BN54" s="171">
        <f>BM54/INDEX(Parameters!$B:$B,MATCH("AfschrijftermijnVVE"&amp;12*$C54,Parameters!$A:$A,0))</f>
        <v>2.0833333333333335</v>
      </c>
      <c r="BO54" s="263">
        <f>INDEX('inkoop ULL tbv Epacity'!$I:$I,MATCH(BL54,'inkoop ULL tbv Epacity'!$H:$H,0),0)</f>
        <v>12.501783475119046</v>
      </c>
      <c r="BP54" s="263">
        <f t="shared" si="17"/>
        <v>14.58511680845238</v>
      </c>
      <c r="BQ54" s="203"/>
      <c r="BR54" s="262">
        <f>Parameters!$B$12*AG54</f>
        <v>102.77777777777779</v>
      </c>
      <c r="BS54" s="262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SUM(Distributievergoedingen!$F$12,Distributievergoedingen!$I$12,Distributievergoedingen!$L$12,Distributievergoedingen!$O$12)*AF54+SUM(Distributievergoedingen!$O$12*AA54+Distributievergoedingen!$R$12+Distributievergoedingen!$U$12+Distributievergoedingen!$X$12)/(MAX(36,12*L54))</f>
        <v>112.77777777777777</v>
      </c>
      <c r="BT54" s="150"/>
      <c r="BU54" s="150">
        <f t="shared" si="18"/>
        <v>215.55555555555554</v>
      </c>
      <c r="BW54" s="151">
        <f t="shared" si="19"/>
        <v>230.14067236400791</v>
      </c>
      <c r="BY54" s="140">
        <f t="shared" si="20"/>
        <v>797.63710541376986</v>
      </c>
      <c r="BZ54" s="141">
        <f t="shared" si="21"/>
        <v>0.7760793458079922</v>
      </c>
      <c r="CA54" s="142" t="b">
        <f t="shared" si="22"/>
        <v>0</v>
      </c>
    </row>
    <row r="55" spans="1:79">
      <c r="A55" s="203" t="str">
        <f t="shared" si="67"/>
        <v>3VDSLPremiumnieuwunshared</v>
      </c>
      <c r="B55" s="203" t="str">
        <f t="shared" si="5"/>
        <v>3VDSLPremiumnieuwunshared</v>
      </c>
      <c r="C55" s="438">
        <v>3</v>
      </c>
      <c r="D55" s="438" t="s">
        <v>77</v>
      </c>
      <c r="E55" s="438" t="s">
        <v>70</v>
      </c>
      <c r="F55" s="438"/>
      <c r="G55" s="438"/>
      <c r="H55" s="438" t="s">
        <v>125</v>
      </c>
      <c r="I55" s="438" t="s">
        <v>128</v>
      </c>
      <c r="J55" s="274" t="str">
        <f t="shared" si="68"/>
        <v>VDSLnieuwunshared</v>
      </c>
      <c r="L55" s="160">
        <f>INDEX(Mapping!$J:$J,MATCH(C$3&amp;C55,Mapping!$B:$B,0))</f>
        <v>1</v>
      </c>
      <c r="M55" s="148" t="str">
        <f>INDEX(Mapping!$H:$H,MATCH($E55,Mapping!$B:$B,0))</f>
        <v>WBA ZM Ethernet</v>
      </c>
      <c r="N55" s="179" t="str">
        <f>INDEX(Mapping!$I:$I,MATCH($D55&amp;$I55,Mapping!$B:$B,0))</f>
        <v>VDSL</v>
      </c>
      <c r="O55" s="179" t="str">
        <f>INDEX(Mapping!$I:$I,MATCH($D55,Mapping!$B:$B,0))</f>
        <v>VDSL</v>
      </c>
      <c r="P55" s="179"/>
      <c r="Q55" s="179" t="str">
        <f>INDEX(Mapping!$H:$H,MATCH($H55,Mapping!$B:$B,0))</f>
        <v>New line</v>
      </c>
      <c r="R55" s="179" t="s">
        <v>115</v>
      </c>
      <c r="S55" s="148" t="str">
        <f>INDEX(Mapping!$J:$J,MATCH($D55&amp;$I55,Mapping!$B:$B,0))</f>
        <v>unshared</v>
      </c>
      <c r="T55" s="148" t="str">
        <f t="shared" si="63"/>
        <v>WBA ZM EthernetVDSLNew line</v>
      </c>
      <c r="U55" s="142" t="str">
        <f t="shared" si="64"/>
        <v>WBA ZM EthernetVDSLunshared</v>
      </c>
      <c r="W55" s="160">
        <f>MATCH($J55,'Tarieven ZM'!$B:$B,0)</f>
        <v>98</v>
      </c>
      <c r="X55" s="148">
        <f>INDEX('Tarieven ZM'!$H:$H,$W55)</f>
        <v>1000</v>
      </c>
      <c r="Y55" s="161">
        <f>-INDEX(Parameters!$B:$B,MATCH(Y$3,Parameters!$A:$A,0))*$X55</f>
        <v>0</v>
      </c>
      <c r="Z55" s="149">
        <f>-INDEX(Parameters!$B:$B,MATCH(Z$3,Parameters!$A:$A,0))*$X55</f>
        <v>0</v>
      </c>
      <c r="AA55" s="148">
        <f t="shared" si="69"/>
        <v>1000</v>
      </c>
      <c r="AB55" s="148">
        <f>AA55/INDEX(Parameters!$B:$B,MATCH("AfschrijftermijnVVE"&amp;12*$C55,Parameters!$A:$A,0))</f>
        <v>27.777777777777779</v>
      </c>
      <c r="AC55" s="148">
        <f>INDEX('Tarieven ZM'!$G:$G,$W55)</f>
        <v>1000</v>
      </c>
      <c r="AD55" s="161">
        <f>-INDEX(Parameters!$B:$B,MATCH(AD$3,Parameters!$A:$A,0))*$AC55</f>
        <v>0</v>
      </c>
      <c r="AE55" s="161">
        <f>-INDEX(Parameters!$B:$B,MATCH(AE$3,Parameters!$A:$A,0))*$AC55</f>
        <v>0</v>
      </c>
      <c r="AF55" s="148">
        <f t="shared" si="70"/>
        <v>1000</v>
      </c>
      <c r="AG55" s="151">
        <f t="shared" si="9"/>
        <v>1027.7777777777778</v>
      </c>
      <c r="AH55" s="209"/>
      <c r="AI55" s="147">
        <f>IF(Q55&lt;&gt;"nvt",MATCH($T55,'Tarieven W&amp;O'!$B:$B,0),"nvt")</f>
        <v>37</v>
      </c>
      <c r="AJ55" s="262">
        <f>IF(AI55&lt;&gt;"nvt",INDEX('Tarieven W&amp;O'!$H:$H,$AI55)+INDEX(Parameters!C:C,MATCH("NLSx "&amp;O55&amp;" "&amp;M55,Parameters!A:A,0)),0)</f>
        <v>64</v>
      </c>
      <c r="AK55" s="148">
        <f>IF(AI55&lt;&gt;"nvt",INDEX('Tarieven W&amp;O'!$I:$I,$AI55),0)</f>
        <v>25</v>
      </c>
      <c r="AL55" s="149">
        <f>IF(AI55&lt;&gt;"nvt",-INDEX(Parameters!$B:$B,MATCH(AL$3&amp;$M55,Parameters!$A:$A,0))*(AJ55+AK55),0)</f>
        <v>0</v>
      </c>
      <c r="AM55" s="149"/>
      <c r="AN55" s="148">
        <f t="shared" si="10"/>
        <v>89</v>
      </c>
      <c r="AO55" s="171">
        <f>AN55/INDEX(Parameters!$B:$B,MATCH("AfschrijftermijnVVE"&amp;12*$C55,Parameters!$A:$A,0))</f>
        <v>2.4722222222222223</v>
      </c>
      <c r="AP55" s="148">
        <f>MATCH($U55,'Tarieven W&amp;O'!$B:$B,0)</f>
        <v>29</v>
      </c>
      <c r="AQ55" s="150">
        <f>IF(AP55&lt;&gt;"nvt",INDEX('Tarieven W&amp;O'!$G:$G,$AP55),0)</f>
        <v>11.2</v>
      </c>
      <c r="AR55" s="277">
        <f>-INDEX(Parameters!$B:$B,MATCH(AR$3&amp;$M55&amp;O55,Parameters!$A:$A,0))*(AQ55)</f>
        <v>0</v>
      </c>
      <c r="AS55" s="148"/>
      <c r="AT55" s="148"/>
      <c r="AU55" s="150">
        <f t="shared" si="11"/>
        <v>11.2</v>
      </c>
      <c r="AV55" s="150">
        <f t="shared" si="12"/>
        <v>13.672222222222221</v>
      </c>
      <c r="AW55" s="202"/>
      <c r="AX55" s="150">
        <f>Parameters!$B$6*AV55</f>
        <v>0.13672222222222222</v>
      </c>
      <c r="AY55" s="202">
        <v>0</v>
      </c>
      <c r="AZ55" s="202"/>
      <c r="BA55" s="150">
        <f t="shared" si="13"/>
        <v>0.13672222222222222</v>
      </c>
      <c r="BB55" s="202"/>
      <c r="BC55" s="151">
        <f t="shared" si="14"/>
        <v>13.808944444444442</v>
      </c>
      <c r="BD55" s="209"/>
      <c r="BE55" s="140">
        <f t="shared" si="65"/>
        <v>1013.9688333333334</v>
      </c>
      <c r="BF55" s="141">
        <f t="shared" si="66"/>
        <v>0.98656427027027027</v>
      </c>
      <c r="BG55" s="142" t="b">
        <f t="shared" si="15"/>
        <v>0</v>
      </c>
      <c r="BI55" s="188" t="s">
        <v>538</v>
      </c>
      <c r="BJ55" s="189"/>
      <c r="BK55">
        <f>VLOOKUP(J55,'Tarieven ZM'!$B$7:$I$146,8,0)</f>
        <v>0</v>
      </c>
      <c r="BL55" s="203" t="str">
        <f t="shared" si="16"/>
        <v>VDSLNew lineunshared</v>
      </c>
      <c r="BM55" s="282">
        <f>INDEX('inkoop ULL tbv Epacity'!$J:$J,MATCH(BL55,'inkoop ULL tbv Epacity'!$H:$H,0),0)</f>
        <v>75</v>
      </c>
      <c r="BN55" s="171">
        <f>BM55/INDEX(Parameters!$B:$B,MATCH("AfschrijftermijnVVE"&amp;12*$C55,Parameters!$A:$A,0))</f>
        <v>2.0833333333333335</v>
      </c>
      <c r="BO55" s="263">
        <f>INDEX('inkoop ULL tbv Epacity'!$I:$I,MATCH(BL55,'inkoop ULL tbv Epacity'!$H:$H,0),0)</f>
        <v>12.501783475119046</v>
      </c>
      <c r="BP55" s="263">
        <f t="shared" si="17"/>
        <v>14.58511680845238</v>
      </c>
      <c r="BQ55" s="203"/>
      <c r="BR55" s="262">
        <f>Parameters!$B$12*AG55</f>
        <v>102.77777777777779</v>
      </c>
      <c r="BS55" s="262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SUM(Distributievergoedingen!$F$12,Distributievergoedingen!$I$12,Distributievergoedingen!$L$12,Distributievergoedingen!$O$12)*AF55+SUM(Distributievergoedingen!$O$12*AA55+Distributievergoedingen!$R$12+Distributievergoedingen!$U$12+Distributievergoedingen!$X$12)/(MAX(36,12*L55))</f>
        <v>112.77777777777777</v>
      </c>
      <c r="BT55" s="150"/>
      <c r="BU55" s="150">
        <f t="shared" si="18"/>
        <v>215.55555555555554</v>
      </c>
      <c r="BW55" s="151">
        <f t="shared" si="19"/>
        <v>230.14067236400791</v>
      </c>
      <c r="BY55" s="140">
        <f t="shared" si="20"/>
        <v>797.63710541376986</v>
      </c>
      <c r="BZ55" s="141">
        <f t="shared" si="21"/>
        <v>0.7760793458079922</v>
      </c>
      <c r="CA55" s="142" t="b">
        <f t="shared" si="22"/>
        <v>0</v>
      </c>
    </row>
    <row r="56" spans="1:79">
      <c r="A56" s="203" t="str">
        <f t="shared" si="67"/>
        <v>3VDSL bondingPremiumnieuwunshared</v>
      </c>
      <c r="B56" s="203" t="str">
        <f t="shared" si="5"/>
        <v>3VDSL bondingPremiumnieuwunshared</v>
      </c>
      <c r="C56" s="438">
        <v>3</v>
      </c>
      <c r="D56" s="438" t="s">
        <v>222</v>
      </c>
      <c r="E56" s="438" t="s">
        <v>70</v>
      </c>
      <c r="F56" s="438"/>
      <c r="G56" s="438"/>
      <c r="H56" s="438" t="s">
        <v>125</v>
      </c>
      <c r="I56" s="438" t="s">
        <v>128</v>
      </c>
      <c r="J56" s="274" t="str">
        <f t="shared" si="68"/>
        <v>VDSL bondingnieuwunshared</v>
      </c>
      <c r="L56" s="160">
        <f>INDEX(Mapping!$J:$J,MATCH(C$3&amp;C56,Mapping!$B:$B,0))</f>
        <v>1</v>
      </c>
      <c r="M56" s="148" t="str">
        <f>INDEX(Mapping!$H:$H,MATCH($E56,Mapping!$B:$B,0))</f>
        <v>WBA ZM Ethernet</v>
      </c>
      <c r="N56" s="179" t="str">
        <f>INDEX(Mapping!$I:$I,MATCH($D56&amp;$I56,Mapping!$B:$B,0))</f>
        <v>VDSL Bonding</v>
      </c>
      <c r="O56" s="179" t="str">
        <f>INDEX(Mapping!$I:$I,MATCH($D56,Mapping!$B:$B,0))</f>
        <v>VDSL Bonding</v>
      </c>
      <c r="P56" s="179"/>
      <c r="Q56" s="179" t="str">
        <f>INDEX(Mapping!$H:$H,MATCH($H56,Mapping!$B:$B,0))</f>
        <v>New line</v>
      </c>
      <c r="R56" s="179" t="s">
        <v>115</v>
      </c>
      <c r="S56" s="148" t="str">
        <f>INDEX(Mapping!$J:$J,MATCH($D56&amp;$I56,Mapping!$B:$B,0))</f>
        <v>unshared</v>
      </c>
      <c r="T56" s="148" t="str">
        <f t="shared" si="63"/>
        <v>WBA ZM EthernetVDSL BondingNew line</v>
      </c>
      <c r="U56" s="142" t="str">
        <f t="shared" si="64"/>
        <v>WBA ZM EthernetVDSL Bondingunshared</v>
      </c>
      <c r="W56" s="160">
        <f>MATCH($J56,'Tarieven ZM'!$B:$B,0)</f>
        <v>99</v>
      </c>
      <c r="X56" s="148">
        <f>INDEX('Tarieven ZM'!$H:$H,$W56)</f>
        <v>1000</v>
      </c>
      <c r="Y56" s="161">
        <f>-INDEX(Parameters!$B:$B,MATCH(Y$3,Parameters!$A:$A,0))*$X56</f>
        <v>0</v>
      </c>
      <c r="Z56" s="149">
        <f>-INDEX(Parameters!$B:$B,MATCH(Z$3,Parameters!$A:$A,0))*$X56</f>
        <v>0</v>
      </c>
      <c r="AA56" s="148">
        <f t="shared" si="69"/>
        <v>1000</v>
      </c>
      <c r="AB56" s="148">
        <f>AA56/INDEX(Parameters!$B:$B,MATCH("AfschrijftermijnVVE"&amp;12*$C56,Parameters!$A:$A,0))</f>
        <v>27.777777777777779</v>
      </c>
      <c r="AC56" s="148">
        <f>INDEX('Tarieven ZM'!$G:$G,$W56)</f>
        <v>1000</v>
      </c>
      <c r="AD56" s="161">
        <f>-INDEX(Parameters!$B:$B,MATCH(AD$3,Parameters!$A:$A,0))*$AC56</f>
        <v>0</v>
      </c>
      <c r="AE56" s="161">
        <f>-INDEX(Parameters!$B:$B,MATCH(AE$3,Parameters!$A:$A,0))*$AC56</f>
        <v>0</v>
      </c>
      <c r="AF56" s="148">
        <f t="shared" si="70"/>
        <v>1000</v>
      </c>
      <c r="AG56" s="151">
        <f t="shared" ref="AG56" si="84">SUM(AB56,AF56)</f>
        <v>1027.7777777777778</v>
      </c>
      <c r="AH56" s="209"/>
      <c r="AI56" s="147">
        <f>IF(Q56&lt;&gt;"nvt",MATCH($T56,'Tarieven W&amp;O'!$B:$B,0),"nvt")</f>
        <v>43</v>
      </c>
      <c r="AJ56" s="262">
        <f>IF(AI56&lt;&gt;"nvt",INDEX('Tarieven W&amp;O'!$H:$H,$AI56)+INDEX(Parameters!C:C,MATCH("NLSx "&amp;O56&amp;" "&amp;M56,Parameters!A:A,0)),0)</f>
        <v>173.45</v>
      </c>
      <c r="AK56" s="148">
        <f>IF(AI56&lt;&gt;"nvt",INDEX('Tarieven W&amp;O'!$I:$I,$AI56),0)</f>
        <v>25</v>
      </c>
      <c r="AL56" s="149">
        <f>IF(AI56&lt;&gt;"nvt",-INDEX(Parameters!$B:$B,MATCH(AL$3&amp;$M56,Parameters!$A:$A,0))*(AJ56+AK56),0)</f>
        <v>0</v>
      </c>
      <c r="AM56" s="149"/>
      <c r="AN56" s="148">
        <f t="shared" ref="AN56" si="85">SUM(AJ56:AM56)</f>
        <v>198.45</v>
      </c>
      <c r="AO56" s="171">
        <f>AN56/INDEX(Parameters!$B:$B,MATCH("AfschrijftermijnVVE"&amp;12*$C56,Parameters!$A:$A,0))</f>
        <v>5.5124999999999993</v>
      </c>
      <c r="AP56" s="148">
        <f>MATCH($U56,'Tarieven W&amp;O'!$B:$B,0)</f>
        <v>33</v>
      </c>
      <c r="AQ56" s="150">
        <f>IF(AP56&lt;&gt;"nvt",INDEX('Tarieven W&amp;O'!$G:$G,$AP56),0)</f>
        <v>17.34</v>
      </c>
      <c r="AR56" s="277">
        <f>-INDEX(Parameters!$B:$B,MATCH(AR$3&amp;$M56&amp;O56,Parameters!$A:$A,0))*(AQ56)</f>
        <v>0</v>
      </c>
      <c r="AS56" s="148"/>
      <c r="AT56" s="148"/>
      <c r="AU56" s="150">
        <f t="shared" ref="AU56" si="86">SUM(AQ56:AT56)</f>
        <v>17.34</v>
      </c>
      <c r="AV56" s="150">
        <f t="shared" ref="AV56" si="87">SUM(AO56,AU56)</f>
        <v>22.852499999999999</v>
      </c>
      <c r="AW56" s="202"/>
      <c r="AX56" s="150">
        <f>Parameters!$B$6*AV56</f>
        <v>0.22852500000000001</v>
      </c>
      <c r="AY56" s="202">
        <v>0</v>
      </c>
      <c r="AZ56" s="202"/>
      <c r="BA56" s="150">
        <f t="shared" ref="BA56" si="88">SUM(AX56:AZ56)</f>
        <v>0.22852500000000001</v>
      </c>
      <c r="BB56" s="202"/>
      <c r="BC56" s="151">
        <f t="shared" ref="BC56" si="89">SUM(AV56,BA56)</f>
        <v>23.081025</v>
      </c>
      <c r="BD56" s="209"/>
      <c r="BE56" s="140">
        <f t="shared" si="65"/>
        <v>1004.6967527777779</v>
      </c>
      <c r="BF56" s="141">
        <f t="shared" si="66"/>
        <v>0.97754278648648651</v>
      </c>
      <c r="BG56" s="142" t="b">
        <f t="shared" ref="BG56" si="90">BF56&lt;0</f>
        <v>0</v>
      </c>
      <c r="BI56" s="188" t="s">
        <v>538</v>
      </c>
      <c r="BJ56" s="189"/>
      <c r="BK56">
        <f>VLOOKUP(J56,'Tarieven ZM'!$B$7:$I$146,8,0)</f>
        <v>0</v>
      </c>
      <c r="BL56" s="203" t="str">
        <f t="shared" si="16"/>
        <v>VDSL BondingNew lineunshared</v>
      </c>
      <c r="BM56" s="282">
        <f>INDEX('inkoop ULL tbv Epacity'!$J:$J,MATCH(BL56,'inkoop ULL tbv Epacity'!$H:$H,0),0)</f>
        <v>35</v>
      </c>
      <c r="BN56" s="171">
        <f>BM56/INDEX(Parameters!$B:$B,MATCH("AfschrijftermijnVVE"&amp;12*$C56,Parameters!$A:$A,0))</f>
        <v>0.97222222222222221</v>
      </c>
      <c r="BO56" s="263">
        <f>INDEX('inkoop ULL tbv Epacity'!$I:$I,MATCH(BL56,'inkoop ULL tbv Epacity'!$H:$H,0),0)</f>
        <v>16.787259665595236</v>
      </c>
      <c r="BP56" s="263">
        <f t="shared" ref="BP56" si="91">BN56+BO56</f>
        <v>17.759481887817458</v>
      </c>
      <c r="BQ56" s="203"/>
      <c r="BR56" s="262">
        <f>Parameters!$B$12*AG56</f>
        <v>102.77777777777779</v>
      </c>
      <c r="BS56" s="262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SUM(Distributievergoedingen!$F$12,Distributievergoedingen!$I$12,Distributievergoedingen!$L$12,Distributievergoedingen!$O$12)*AF56+SUM(Distributievergoedingen!$O$12*AA56+Distributievergoedingen!$R$12+Distributievergoedingen!$U$12+Distributievergoedingen!$X$12)/(MAX(36,12*L56))</f>
        <v>112.77777777777777</v>
      </c>
      <c r="BT56" s="150"/>
      <c r="BU56" s="150">
        <f t="shared" ref="BU56" si="92">SUM(BR56:BT56)</f>
        <v>215.55555555555554</v>
      </c>
      <c r="BW56" s="151">
        <f t="shared" ref="BW56" si="93">SUM(BP56,BU56)</f>
        <v>233.315037443373</v>
      </c>
      <c r="BY56" s="140">
        <f t="shared" ref="BY56" si="94">AG56-BW56</f>
        <v>794.46274033440477</v>
      </c>
      <c r="BZ56" s="141">
        <f t="shared" ref="BZ56" si="95">IF(AG56=0,-999%,BY56/AG56)</f>
        <v>0.77299077437942088</v>
      </c>
      <c r="CA56" s="142" t="b">
        <f t="shared" ref="CA56" si="96">BZ56&lt;0</f>
        <v>0</v>
      </c>
    </row>
    <row r="57" spans="1:79">
      <c r="A57" s="203" t="str">
        <f t="shared" si="67"/>
        <v>3SDSLPremiumnieuwunshared</v>
      </c>
      <c r="B57" s="203" t="str">
        <f t="shared" si="5"/>
        <v>3SDSLPremiumnieuwunshared</v>
      </c>
      <c r="C57" s="438">
        <v>3</v>
      </c>
      <c r="D57" s="438" t="s">
        <v>64</v>
      </c>
      <c r="E57" s="438" t="s">
        <v>70</v>
      </c>
      <c r="F57" s="438"/>
      <c r="G57" s="438"/>
      <c r="H57" s="438" t="s">
        <v>125</v>
      </c>
      <c r="I57" s="438" t="s">
        <v>128</v>
      </c>
      <c r="J57" s="274" t="str">
        <f t="shared" si="68"/>
        <v>SDSLnieuwunshared</v>
      </c>
      <c r="L57" s="160">
        <f>INDEX(Mapping!$J:$J,MATCH(C$3&amp;C57,Mapping!$B:$B,0))</f>
        <v>1</v>
      </c>
      <c r="M57" s="148" t="str">
        <f>INDEX(Mapping!$H:$H,MATCH($E57,Mapping!$B:$B,0))</f>
        <v>WBA ZM Ethernet</v>
      </c>
      <c r="N57" s="179" t="str">
        <f>INDEX(Mapping!$I:$I,MATCH($D57&amp;$I57,Mapping!$B:$B,0))</f>
        <v>SDSL</v>
      </c>
      <c r="O57" s="179" t="str">
        <f>INDEX(Mapping!$I:$I,MATCH($D57,Mapping!$B:$B,0))</f>
        <v>SDSL</v>
      </c>
      <c r="P57" s="179"/>
      <c r="Q57" s="179" t="str">
        <f>INDEX(Mapping!$H:$H,MATCH($H57,Mapping!$B:$B,0))</f>
        <v>New line</v>
      </c>
      <c r="R57" s="179" t="s">
        <v>115</v>
      </c>
      <c r="S57" s="148" t="str">
        <f>INDEX(Mapping!$J:$J,MATCH($D57&amp;$I57,Mapping!$B:$B,0))</f>
        <v>unshared</v>
      </c>
      <c r="T57" s="148" t="str">
        <f t="shared" si="63"/>
        <v>WBA ZM EthernetSDSLNew line</v>
      </c>
      <c r="U57" s="142" t="str">
        <f t="shared" si="64"/>
        <v>WBA ZM EthernetSDSLunshared</v>
      </c>
      <c r="W57" s="160">
        <f>MATCH($J57,'Tarieven ZM'!$B:$B,0)</f>
        <v>100</v>
      </c>
      <c r="X57" s="148">
        <f>INDEX('Tarieven ZM'!$H:$H,$W57)</f>
        <v>1000</v>
      </c>
      <c r="Y57" s="161">
        <f>-INDEX(Parameters!$B:$B,MATCH(Y$3,Parameters!$A:$A,0))*$X57</f>
        <v>0</v>
      </c>
      <c r="Z57" s="149">
        <f>-INDEX(Parameters!$B:$B,MATCH(Z$3,Parameters!$A:$A,0))*$X57</f>
        <v>0</v>
      </c>
      <c r="AA57" s="148">
        <f t="shared" si="69"/>
        <v>1000</v>
      </c>
      <c r="AB57" s="148">
        <f>AA57/INDEX(Parameters!$B:$B,MATCH("AfschrijftermijnVVE"&amp;12*$C57,Parameters!$A:$A,0))</f>
        <v>27.777777777777779</v>
      </c>
      <c r="AC57" s="148">
        <f>INDEX('Tarieven ZM'!$G:$G,$W57)</f>
        <v>1000</v>
      </c>
      <c r="AD57" s="161">
        <f>-INDEX(Parameters!$B:$B,MATCH(AD$3,Parameters!$A:$A,0))*$AC57</f>
        <v>0</v>
      </c>
      <c r="AE57" s="161">
        <f>-INDEX(Parameters!$B:$B,MATCH(AE$3,Parameters!$A:$A,0))*$AC57</f>
        <v>0</v>
      </c>
      <c r="AF57" s="148">
        <f t="shared" si="70"/>
        <v>1000</v>
      </c>
      <c r="AG57" s="151">
        <f t="shared" si="9"/>
        <v>1027.7777777777778</v>
      </c>
      <c r="AH57" s="209"/>
      <c r="AI57" s="147">
        <f>IF(Q57&lt;&gt;"nvt",MATCH($T57,'Tarieven W&amp;O'!$B:$B,0),"nvt")</f>
        <v>38</v>
      </c>
      <c r="AJ57" s="262">
        <f>IF(AI57&lt;&gt;"nvt",INDEX('Tarieven W&amp;O'!$H:$H,$AI57)+INDEX(Parameters!C:C,MATCH("NLSx "&amp;O57&amp;" "&amp;M57,Parameters!A:A,0)),0)</f>
        <v>64</v>
      </c>
      <c r="AK57" s="148">
        <f>IF(AI57&lt;&gt;"nvt",INDEX('Tarieven W&amp;O'!$I:$I,$AI57),0)</f>
        <v>25</v>
      </c>
      <c r="AL57" s="149">
        <f>IF(AI57&lt;&gt;"nvt",-INDEX(Parameters!$B:$B,MATCH(AL$3&amp;$M57,Parameters!$A:$A,0))*(AJ57+AK57),0)</f>
        <v>0</v>
      </c>
      <c r="AM57" s="149"/>
      <c r="AN57" s="148">
        <f t="shared" si="10"/>
        <v>89</v>
      </c>
      <c r="AO57" s="171">
        <f>AN57/INDEX(Parameters!$B:$B,MATCH("AfschrijftermijnVVE"&amp;12*$C57,Parameters!$A:$A,0))</f>
        <v>2.4722222222222223</v>
      </c>
      <c r="AP57" s="148">
        <f>MATCH($U57,'Tarieven W&amp;O'!$B:$B,0)</f>
        <v>30</v>
      </c>
      <c r="AQ57" s="150">
        <f>IF(AP57&lt;&gt;"nvt",INDEX('Tarieven W&amp;O'!$G:$G,$AP57),0)</f>
        <v>22.1</v>
      </c>
      <c r="AR57" s="277">
        <f>-INDEX(Parameters!$B:$B,MATCH(AR$3&amp;$M57&amp;O57,Parameters!$A:$A,0))*(AQ57)</f>
        <v>0</v>
      </c>
      <c r="AS57" s="148"/>
      <c r="AT57" s="148"/>
      <c r="AU57" s="150">
        <f t="shared" si="11"/>
        <v>22.1</v>
      </c>
      <c r="AV57" s="150">
        <f t="shared" si="12"/>
        <v>24.572222222222223</v>
      </c>
      <c r="AW57" s="202"/>
      <c r="AX57" s="150">
        <f>Parameters!$B$6*AV57</f>
        <v>0.24572222222222223</v>
      </c>
      <c r="AY57" s="202">
        <v>0</v>
      </c>
      <c r="AZ57" s="202"/>
      <c r="BA57" s="150">
        <f t="shared" si="13"/>
        <v>0.24572222222222223</v>
      </c>
      <c r="BB57" s="202"/>
      <c r="BC57" s="151">
        <f t="shared" si="14"/>
        <v>24.817944444444446</v>
      </c>
      <c r="BD57" s="209"/>
      <c r="BE57" s="140">
        <f t="shared" si="65"/>
        <v>1002.9598333333333</v>
      </c>
      <c r="BF57" s="141">
        <f t="shared" si="66"/>
        <v>0.97585281081081077</v>
      </c>
      <c r="BG57" s="142" t="b">
        <f t="shared" si="15"/>
        <v>0</v>
      </c>
      <c r="BI57" s="188" t="s">
        <v>538</v>
      </c>
      <c r="BJ57" s="189"/>
      <c r="BK57">
        <f>VLOOKUP(J57,'Tarieven ZM'!$B$7:$I$146,8,0)</f>
        <v>0</v>
      </c>
      <c r="BL57" s="203" t="str">
        <f t="shared" si="16"/>
        <v>SDSLNew lineunshared</v>
      </c>
      <c r="BM57" s="282">
        <f>INDEX('inkoop ULL tbv Epacity'!$J:$J,MATCH(BL57,'inkoop ULL tbv Epacity'!$H:$H,0),0)</f>
        <v>76.960000000000008</v>
      </c>
      <c r="BN57" s="171">
        <f>BM57/INDEX(Parameters!$B:$B,MATCH("AfschrijftermijnVVE"&amp;12*$C57,Parameters!$A:$A,0))</f>
        <v>2.137777777777778</v>
      </c>
      <c r="BO57" s="263">
        <f>INDEX('inkoop ULL tbv Epacity'!$I:$I,MATCH(BL57,'inkoop ULL tbv Epacity'!$H:$H,0),0)</f>
        <v>9.3855844444444436</v>
      </c>
      <c r="BP57" s="263">
        <f t="shared" si="17"/>
        <v>11.523362222222222</v>
      </c>
      <c r="BQ57" s="203"/>
      <c r="BR57" s="262">
        <f>Parameters!$B$12*AG57</f>
        <v>102.77777777777779</v>
      </c>
      <c r="BS57" s="262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SUM(Distributievergoedingen!$F$12,Distributievergoedingen!$I$12,Distributievergoedingen!$L$12,Distributievergoedingen!$O$12)*AF57+SUM(Distributievergoedingen!$O$12*AA57+Distributievergoedingen!$R$12+Distributievergoedingen!$U$12+Distributievergoedingen!$X$12)/(MAX(36,12*L57))</f>
        <v>112.77777777777777</v>
      </c>
      <c r="BT57" s="150"/>
      <c r="BU57" s="150">
        <f t="shared" si="18"/>
        <v>215.55555555555554</v>
      </c>
      <c r="BW57" s="151">
        <f t="shared" si="19"/>
        <v>227.07891777777778</v>
      </c>
      <c r="BY57" s="140">
        <f t="shared" si="20"/>
        <v>800.69886000000008</v>
      </c>
      <c r="BZ57" s="141">
        <f t="shared" si="21"/>
        <v>0.77905835027027026</v>
      </c>
      <c r="CA57" s="142" t="b">
        <f t="shared" si="22"/>
        <v>0</v>
      </c>
    </row>
    <row r="58" spans="1:79">
      <c r="A58" s="203" t="str">
        <f t="shared" si="67"/>
        <v>3SA IPVPNPremiumnieuwunshared</v>
      </c>
      <c r="B58" s="203" t="str">
        <f t="shared" si="5"/>
        <v>3SA IPVPNPremiumnieuwunshared</v>
      </c>
      <c r="C58" s="438">
        <v>3</v>
      </c>
      <c r="D58" s="438" t="s">
        <v>93</v>
      </c>
      <c r="E58" s="438" t="s">
        <v>70</v>
      </c>
      <c r="F58" s="438"/>
      <c r="G58" s="438"/>
      <c r="H58" s="438" t="s">
        <v>125</v>
      </c>
      <c r="I58" s="438" t="s">
        <v>128</v>
      </c>
      <c r="J58" s="274" t="str">
        <f t="shared" si="68"/>
        <v>SA IPVPNnieuwunshared</v>
      </c>
      <c r="L58" s="160">
        <f>INDEX(Mapping!$J:$J,MATCH(C$3&amp;C58,Mapping!$B:$B,0))</f>
        <v>1</v>
      </c>
      <c r="M58" s="148" t="str">
        <f>INDEX(Mapping!$H:$H,MATCH($E58,Mapping!$B:$B,0))</f>
        <v>WBA ZM Ethernet</v>
      </c>
      <c r="N58" s="179" t="str">
        <f>INDEX(Mapping!$I:$I,MATCH($D58&amp;$I58,Mapping!$B:$B,0))</f>
        <v>FttH</v>
      </c>
      <c r="O58" s="179" t="str">
        <f>INDEX(Mapping!$I:$I,MATCH($D58,Mapping!$B:$B,0))</f>
        <v>FttH</v>
      </c>
      <c r="P58" s="179"/>
      <c r="Q58" s="179" t="str">
        <f>INDEX(Mapping!$H:$H,MATCH($H58,Mapping!$B:$B,0))</f>
        <v>New line</v>
      </c>
      <c r="R58" s="179" t="s">
        <v>115</v>
      </c>
      <c r="S58" s="148" t="str">
        <f>INDEX(Mapping!$J:$J,MATCH($D58&amp;$I58,Mapping!$B:$B,0))</f>
        <v>unshared</v>
      </c>
      <c r="T58" s="148" t="str">
        <f t="shared" si="63"/>
        <v>WBA ZM EthernetFttHNew line</v>
      </c>
      <c r="U58" s="142" t="str">
        <f t="shared" si="64"/>
        <v>WBA ZM EthernetFttHunshared</v>
      </c>
      <c r="W58" s="160">
        <f>MATCH($J58,'Tarieven ZM'!$B:$B,0)</f>
        <v>101</v>
      </c>
      <c r="X58" s="148">
        <f>INDEX('Tarieven ZM'!$H:$H,$W58)</f>
        <v>1000</v>
      </c>
      <c r="Y58" s="161">
        <f>-INDEX(Parameters!$B:$B,MATCH(Y$3,Parameters!$A:$A,0))*$X58</f>
        <v>0</v>
      </c>
      <c r="Z58" s="149">
        <f>-INDEX(Parameters!$B:$B,MATCH(Z$3,Parameters!$A:$A,0))*$X58</f>
        <v>0</v>
      </c>
      <c r="AA58" s="148">
        <f t="shared" si="69"/>
        <v>1000</v>
      </c>
      <c r="AB58" s="148">
        <f>AA58/INDEX(Parameters!$B:$B,MATCH("AfschrijftermijnVVE"&amp;12*$C58,Parameters!$A:$A,0))</f>
        <v>27.777777777777779</v>
      </c>
      <c r="AC58" s="148">
        <f>INDEX('Tarieven ZM'!$G:$G,$W58)</f>
        <v>1000</v>
      </c>
      <c r="AD58" s="161">
        <f>-INDEX(Parameters!$B:$B,MATCH(AD$3,Parameters!$A:$A,0))*$AC58</f>
        <v>0</v>
      </c>
      <c r="AE58" s="161">
        <f>-INDEX(Parameters!$B:$B,MATCH(AE$3,Parameters!$A:$A,0))*$AC58</f>
        <v>0</v>
      </c>
      <c r="AF58" s="148">
        <f t="shared" si="70"/>
        <v>1000</v>
      </c>
      <c r="AG58" s="151">
        <f t="shared" si="9"/>
        <v>1027.7777777777778</v>
      </c>
      <c r="AH58" s="209"/>
      <c r="AI58" s="147">
        <f>IF(Q58&lt;&gt;"nvt",MATCH($T58,'Tarieven W&amp;O'!$B:$B,0),"nvt")</f>
        <v>39</v>
      </c>
      <c r="AJ58" s="262">
        <f>IF(AI58&lt;&gt;"nvt",INDEX('Tarieven W&amp;O'!$H:$H,$AI58)+INDEX(Parameters!C:C,MATCH("NLSx "&amp;O58&amp;" "&amp;M58,Parameters!A:A,0)),0)</f>
        <v>24</v>
      </c>
      <c r="AK58" s="148">
        <f>IF(AI58&lt;&gt;"nvt",INDEX('Tarieven W&amp;O'!$I:$I,$AI58),0)</f>
        <v>25</v>
      </c>
      <c r="AL58" s="149">
        <f>IF(AI58&lt;&gt;"nvt",-INDEX(Parameters!$B:$B,MATCH(AL$3&amp;$M58,Parameters!$A:$A,0))*(AJ58+AK58),0)</f>
        <v>0</v>
      </c>
      <c r="AM58" s="149"/>
      <c r="AN58" s="148">
        <f t="shared" si="10"/>
        <v>49</v>
      </c>
      <c r="AO58" s="171">
        <f>AN58/INDEX(Parameters!$B:$B,MATCH("AfschrijftermijnVVE"&amp;12*$C58,Parameters!$A:$A,0))</f>
        <v>1.3611111111111112</v>
      </c>
      <c r="AP58" s="148">
        <f>MATCH($U58,'Tarieven W&amp;O'!$B:$B,0)</f>
        <v>31</v>
      </c>
      <c r="AQ58" s="150">
        <f>IF(AP58&lt;&gt;"nvt",INDEX('Tarieven W&amp;O'!$G:$G,$AP58),0)</f>
        <v>19</v>
      </c>
      <c r="AR58" s="277">
        <f>-INDEX(Parameters!$B:$B,MATCH(AR$3&amp;$M58&amp;O58,Parameters!$A:$A,0))*(AQ58)</f>
        <v>0</v>
      </c>
      <c r="AS58" s="148"/>
      <c r="AT58" s="148"/>
      <c r="AU58" s="150">
        <f t="shared" si="11"/>
        <v>19</v>
      </c>
      <c r="AV58" s="150">
        <f t="shared" si="12"/>
        <v>20.361111111111111</v>
      </c>
      <c r="AW58" s="202"/>
      <c r="AX58" s="150">
        <f>Parameters!$B$6*AV58</f>
        <v>0.2036111111111111</v>
      </c>
      <c r="AY58" s="202">
        <v>0</v>
      </c>
      <c r="AZ58" s="202"/>
      <c r="BA58" s="150">
        <f t="shared" si="13"/>
        <v>0.2036111111111111</v>
      </c>
      <c r="BB58" s="202"/>
      <c r="BC58" s="151">
        <f t="shared" si="14"/>
        <v>20.564722222222223</v>
      </c>
      <c r="BD58" s="209"/>
      <c r="BE58" s="140">
        <f t="shared" si="65"/>
        <v>1007.2130555555556</v>
      </c>
      <c r="BF58" s="141">
        <f t="shared" si="66"/>
        <v>0.97999108108108102</v>
      </c>
      <c r="BG58" s="142" t="b">
        <f t="shared" si="15"/>
        <v>0</v>
      </c>
      <c r="BI58" s="188" t="s">
        <v>538</v>
      </c>
      <c r="BJ58" s="189"/>
      <c r="BK58">
        <f>VLOOKUP(J58,'Tarieven ZM'!$B$7:$I$146,8,0)</f>
        <v>0</v>
      </c>
      <c r="BL58" s="203" t="str">
        <f t="shared" si="16"/>
        <v>FttHNew lineunshared</v>
      </c>
      <c r="BM58" s="282">
        <f>INDEX('inkoop ULL tbv Epacity'!$J:$J,MATCH(BL58,'inkoop ULL tbv Epacity'!$H:$H,0),0)</f>
        <v>114.6</v>
      </c>
      <c r="BN58" s="171">
        <f>BM58/INDEX(Parameters!$B:$B,MATCH("AfschrijftermijnVVE"&amp;12*$C58,Parameters!$A:$A,0))</f>
        <v>3.1833333333333331</v>
      </c>
      <c r="BO58" s="263">
        <f>INDEX('inkoop ULL tbv Epacity'!$I:$I,MATCH(BL58,'inkoop ULL tbv Epacity'!$H:$H,0),0)</f>
        <v>18.2732188395</v>
      </c>
      <c r="BP58" s="263">
        <f t="shared" si="17"/>
        <v>21.456552172833334</v>
      </c>
      <c r="BQ58" s="203"/>
      <c r="BR58" s="262">
        <f>Parameters!$B$12*AG58</f>
        <v>102.77777777777779</v>
      </c>
      <c r="BS58" s="262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SUM(Distributievergoedingen!$F$12,Distributievergoedingen!$I$12,Distributievergoedingen!$L$12,Distributievergoedingen!$O$12)*AF58+SUM(Distributievergoedingen!$O$12*AA58+Distributievergoedingen!$R$12+Distributievergoedingen!$U$12+Distributievergoedingen!$X$12)/(MAX(36,12*L58))</f>
        <v>112.77777777777777</v>
      </c>
      <c r="BT58" s="150"/>
      <c r="BU58" s="150">
        <f t="shared" si="18"/>
        <v>215.55555555555554</v>
      </c>
      <c r="BW58" s="151">
        <f t="shared" si="19"/>
        <v>237.01210772838888</v>
      </c>
      <c r="BY58" s="140">
        <f t="shared" si="20"/>
        <v>790.76567004938897</v>
      </c>
      <c r="BZ58" s="141">
        <f t="shared" si="21"/>
        <v>0.76939362491291896</v>
      </c>
      <c r="CA58" s="142" t="b">
        <f t="shared" si="22"/>
        <v>0</v>
      </c>
    </row>
    <row r="59" spans="1:79">
      <c r="A59" s="203" t="str">
        <f t="shared" si="67"/>
        <v>3VDSLPremiumbestaandunshared</v>
      </c>
      <c r="B59" s="203" t="str">
        <f t="shared" si="5"/>
        <v>3VDSLPremiumbestaandunshared</v>
      </c>
      <c r="C59" s="438">
        <v>3</v>
      </c>
      <c r="D59" s="438" t="s">
        <v>77</v>
      </c>
      <c r="E59" s="438" t="s">
        <v>70</v>
      </c>
      <c r="F59" s="438"/>
      <c r="G59" s="438"/>
      <c r="H59" s="438" t="s">
        <v>124</v>
      </c>
      <c r="I59" s="438" t="s">
        <v>128</v>
      </c>
      <c r="J59" s="274" t="str">
        <f t="shared" si="68"/>
        <v>VDSLbestaandunshared</v>
      </c>
      <c r="L59" s="160">
        <f>INDEX(Mapping!$J:$J,MATCH(C$3&amp;C59,Mapping!$B:$B,0))</f>
        <v>1</v>
      </c>
      <c r="M59" s="148" t="str">
        <f>INDEX(Mapping!$H:$H,MATCH($E59,Mapping!$B:$B,0))</f>
        <v>WBA ZM Ethernet</v>
      </c>
      <c r="N59" s="179" t="str">
        <f>INDEX(Mapping!$I:$I,MATCH($D59&amp;$I59,Mapping!$B:$B,0))</f>
        <v>VDSL</v>
      </c>
      <c r="O59" s="179" t="str">
        <f>INDEX(Mapping!$I:$I,MATCH($D59,Mapping!$B:$B,0))</f>
        <v>VDSL</v>
      </c>
      <c r="P59" s="179"/>
      <c r="Q59" s="179" t="str">
        <f>INDEX(Mapping!$H:$H,MATCH($H59,Mapping!$B:$B,0))</f>
        <v>nvt</v>
      </c>
      <c r="R59" s="179" t="s">
        <v>115</v>
      </c>
      <c r="S59" s="148" t="str">
        <f>INDEX(Mapping!$J:$J,MATCH($D59&amp;$I59,Mapping!$B:$B,0))</f>
        <v>unshared</v>
      </c>
      <c r="T59" s="148" t="str">
        <f t="shared" si="63"/>
        <v>WBA ZM EthernetVDSLnvt</v>
      </c>
      <c r="U59" s="142" t="str">
        <f t="shared" si="64"/>
        <v>WBA ZM EthernetVDSLunshared</v>
      </c>
      <c r="W59" s="160">
        <f>MATCH($J59,'Tarieven ZM'!$B:$B,0)</f>
        <v>102</v>
      </c>
      <c r="X59" s="148">
        <f>INDEX('Tarieven ZM'!$H:$H,$W59)</f>
        <v>1000</v>
      </c>
      <c r="Y59" s="161">
        <f>-INDEX(Parameters!$B:$B,MATCH(Y$3,Parameters!$A:$A,0))*$X59</f>
        <v>0</v>
      </c>
      <c r="Z59" s="149">
        <f>-INDEX(Parameters!$B:$B,MATCH(Z$3,Parameters!$A:$A,0))*$X59</f>
        <v>0</v>
      </c>
      <c r="AA59" s="148">
        <f t="shared" si="69"/>
        <v>1000</v>
      </c>
      <c r="AB59" s="148">
        <f>AA59/INDEX(Parameters!$B:$B,MATCH("AfschrijftermijnVVE"&amp;12*$C59,Parameters!$A:$A,0))</f>
        <v>27.777777777777779</v>
      </c>
      <c r="AC59" s="148">
        <f>INDEX('Tarieven ZM'!$G:$G,$W59)</f>
        <v>1000</v>
      </c>
      <c r="AD59" s="161">
        <f>-INDEX(Parameters!$B:$B,MATCH(AD$3,Parameters!$A:$A,0))*$AC59</f>
        <v>0</v>
      </c>
      <c r="AE59" s="161">
        <f>-INDEX(Parameters!$B:$B,MATCH(AE$3,Parameters!$A:$A,0))*$AC59</f>
        <v>0</v>
      </c>
      <c r="AF59" s="148">
        <f t="shared" si="70"/>
        <v>1000</v>
      </c>
      <c r="AG59" s="151">
        <f t="shared" si="9"/>
        <v>1027.7777777777778</v>
      </c>
      <c r="AH59" s="209"/>
      <c r="AI59" s="147" t="str">
        <f>IF(Q59&lt;&gt;"nvt",MATCH($T59,'Tarieven W&amp;O'!$B:$B,0),"nvt")</f>
        <v>nvt</v>
      </c>
      <c r="AJ59" s="262">
        <f>IF(AI59&lt;&gt;"nvt",INDEX('Tarieven W&amp;O'!$H:$H,$AI59)+INDEX(Parameters!C:C,MATCH("NLSx "&amp;O59&amp;" "&amp;M59,Parameters!A:A,0)),0)</f>
        <v>0</v>
      </c>
      <c r="AK59" s="148">
        <f>IF(AI59&lt;&gt;"nvt",INDEX('Tarieven W&amp;O'!$I:$I,$AI59),0)</f>
        <v>0</v>
      </c>
      <c r="AL59" s="149">
        <f>IF(AI59&lt;&gt;"nvt",-INDEX(Parameters!$B:$B,MATCH(AL$3&amp;$M59,Parameters!$A:$A,0))*(AJ59+AK59),0)</f>
        <v>0</v>
      </c>
      <c r="AM59" s="149"/>
      <c r="AN59" s="148">
        <f t="shared" si="10"/>
        <v>0</v>
      </c>
      <c r="AO59" s="171">
        <f>AN59/INDEX(Parameters!$B:$B,MATCH("AfschrijftermijnVVE"&amp;12*$C59,Parameters!$A:$A,0))</f>
        <v>0</v>
      </c>
      <c r="AP59" s="148">
        <f>MATCH($U59,'Tarieven W&amp;O'!$B:$B,0)</f>
        <v>29</v>
      </c>
      <c r="AQ59" s="150">
        <f>IF(AP59&lt;&gt;"nvt",INDEX('Tarieven W&amp;O'!$G:$G,$AP59),0)</f>
        <v>11.2</v>
      </c>
      <c r="AR59" s="277">
        <f>-INDEX(Parameters!$B:$B,MATCH(AR$3&amp;$M59&amp;O59,Parameters!$A:$A,0))*(AQ59)</f>
        <v>0</v>
      </c>
      <c r="AS59" s="148"/>
      <c r="AT59" s="148"/>
      <c r="AU59" s="150">
        <f t="shared" si="11"/>
        <v>11.2</v>
      </c>
      <c r="AV59" s="150">
        <f t="shared" si="12"/>
        <v>11.2</v>
      </c>
      <c r="AW59" s="202"/>
      <c r="AX59" s="150">
        <f>Parameters!$B$6*AV59</f>
        <v>0.11199999999999999</v>
      </c>
      <c r="AY59" s="202">
        <v>0</v>
      </c>
      <c r="AZ59" s="202"/>
      <c r="BA59" s="150">
        <f t="shared" si="13"/>
        <v>0.11199999999999999</v>
      </c>
      <c r="BB59" s="202"/>
      <c r="BC59" s="151">
        <f t="shared" si="14"/>
        <v>11.311999999999999</v>
      </c>
      <c r="BD59" s="209"/>
      <c r="BE59" s="140">
        <f t="shared" si="65"/>
        <v>1016.4657777777778</v>
      </c>
      <c r="BF59" s="141">
        <f t="shared" si="66"/>
        <v>0.98899372972972976</v>
      </c>
      <c r="BG59" s="142" t="b">
        <f t="shared" si="15"/>
        <v>0</v>
      </c>
      <c r="BI59" s="188" t="s">
        <v>538</v>
      </c>
      <c r="BJ59" s="189"/>
      <c r="BK59">
        <f>VLOOKUP(J59,'Tarieven ZM'!$B$7:$I$146,8,0)</f>
        <v>0</v>
      </c>
      <c r="BL59" s="203" t="str">
        <f t="shared" si="16"/>
        <v>VDSLnvtunshared</v>
      </c>
      <c r="BM59" s="282">
        <f>INDEX('inkoop ULL tbv Epacity'!$J:$J,MATCH(BL59,'inkoop ULL tbv Epacity'!$H:$H,0),0)</f>
        <v>35</v>
      </c>
      <c r="BN59" s="171">
        <f>BM59/INDEX(Parameters!$B:$B,MATCH("AfschrijftermijnVVE"&amp;12*$C59,Parameters!$A:$A,0))</f>
        <v>0.97222222222222221</v>
      </c>
      <c r="BO59" s="263">
        <f>INDEX('inkoop ULL tbv Epacity'!$I:$I,MATCH(BL59,'inkoop ULL tbv Epacity'!$H:$H,0),0)</f>
        <v>12.501783475119046</v>
      </c>
      <c r="BP59" s="263">
        <f t="shared" si="17"/>
        <v>13.474005697341267</v>
      </c>
      <c r="BQ59" s="203"/>
      <c r="BR59" s="262">
        <f>Parameters!$B$12*AG59</f>
        <v>102.77777777777779</v>
      </c>
      <c r="BS59" s="262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SUM(Distributievergoedingen!$F$12,Distributievergoedingen!$I$12,Distributievergoedingen!$L$12,Distributievergoedingen!$O$12)*AF59+SUM(Distributievergoedingen!$O$12*AA59+Distributievergoedingen!$R$12+Distributievergoedingen!$U$12+Distributievergoedingen!$X$12)/(MAX(36,12*L59))</f>
        <v>112.77777777777777</v>
      </c>
      <c r="BT59" s="150"/>
      <c r="BU59" s="150">
        <f t="shared" si="18"/>
        <v>215.55555555555554</v>
      </c>
      <c r="BW59" s="151">
        <f t="shared" si="19"/>
        <v>229.0295612528968</v>
      </c>
      <c r="BY59" s="140">
        <f t="shared" si="20"/>
        <v>798.74821652488106</v>
      </c>
      <c r="BZ59" s="141">
        <f t="shared" si="21"/>
        <v>0.77716042688907339</v>
      </c>
      <c r="CA59" s="142" t="b">
        <f t="shared" si="22"/>
        <v>0</v>
      </c>
    </row>
    <row r="60" spans="1:79">
      <c r="A60" s="203" t="str">
        <f t="shared" si="67"/>
        <v>3ADSLPremiumbestaandunshared</v>
      </c>
      <c r="B60" s="203" t="str">
        <f t="shared" si="5"/>
        <v>3ADSLPremiumbestaandunshared</v>
      </c>
      <c r="C60" s="438">
        <v>3</v>
      </c>
      <c r="D60" s="438" t="s">
        <v>42</v>
      </c>
      <c r="E60" s="438" t="s">
        <v>70</v>
      </c>
      <c r="F60" s="438"/>
      <c r="G60" s="438"/>
      <c r="H60" s="438" t="s">
        <v>124</v>
      </c>
      <c r="I60" s="438" t="s">
        <v>128</v>
      </c>
      <c r="J60" s="274" t="str">
        <f t="shared" si="68"/>
        <v>ADSLbestaandunshared</v>
      </c>
      <c r="L60" s="160">
        <f>INDEX(Mapping!$J:$J,MATCH(C$3&amp;C60,Mapping!$B:$B,0))</f>
        <v>1</v>
      </c>
      <c r="M60" s="148" t="str">
        <f>INDEX(Mapping!$H:$H,MATCH($E60,Mapping!$B:$B,0))</f>
        <v>WBA ZM Ethernet</v>
      </c>
      <c r="N60" s="179" t="str">
        <f>INDEX(Mapping!$I:$I,MATCH($D60&amp;$I60,Mapping!$B:$B,0))</f>
        <v>ADSL</v>
      </c>
      <c r="O60" s="179" t="str">
        <f>INDEX(Mapping!$I:$I,MATCH($D60,Mapping!$B:$B,0))</f>
        <v>ADSL</v>
      </c>
      <c r="P60" s="179"/>
      <c r="Q60" s="179" t="str">
        <f>INDEX(Mapping!$H:$H,MATCH($H60,Mapping!$B:$B,0))</f>
        <v>nvt</v>
      </c>
      <c r="R60" s="179" t="s">
        <v>115</v>
      </c>
      <c r="S60" s="148" t="str">
        <f>INDEX(Mapping!$J:$J,MATCH($D60&amp;$I60,Mapping!$B:$B,0))</f>
        <v>unshared</v>
      </c>
      <c r="T60" s="148" t="str">
        <f t="shared" si="63"/>
        <v>WBA ZM EthernetADSLnvt</v>
      </c>
      <c r="U60" s="142" t="str">
        <f t="shared" si="64"/>
        <v>WBA ZM EthernetADSLunshared</v>
      </c>
      <c r="W60" s="160">
        <f>MATCH($J60,'Tarieven ZM'!$B:$B,0)</f>
        <v>103</v>
      </c>
      <c r="X60" s="148">
        <f>INDEX('Tarieven ZM'!$H:$H,$W60)</f>
        <v>1000</v>
      </c>
      <c r="Y60" s="161">
        <f>-INDEX(Parameters!$B:$B,MATCH(Y$3,Parameters!$A:$A,0))*$X60</f>
        <v>0</v>
      </c>
      <c r="Z60" s="149">
        <f>-INDEX(Parameters!$B:$B,MATCH(Z$3,Parameters!$A:$A,0))*$X60</f>
        <v>0</v>
      </c>
      <c r="AA60" s="148">
        <f t="shared" si="69"/>
        <v>1000</v>
      </c>
      <c r="AB60" s="148">
        <f>AA60/INDEX(Parameters!$B:$B,MATCH("AfschrijftermijnVVE"&amp;12*$C60,Parameters!$A:$A,0))</f>
        <v>27.777777777777779</v>
      </c>
      <c r="AC60" s="148">
        <f>INDEX('Tarieven ZM'!$G:$G,$W60)</f>
        <v>1000</v>
      </c>
      <c r="AD60" s="161">
        <f>-INDEX(Parameters!$B:$B,MATCH(AD$3,Parameters!$A:$A,0))*$AC60</f>
        <v>0</v>
      </c>
      <c r="AE60" s="161">
        <f>-INDEX(Parameters!$B:$B,MATCH(AE$3,Parameters!$A:$A,0))*$AC60</f>
        <v>0</v>
      </c>
      <c r="AF60" s="148">
        <f t="shared" si="70"/>
        <v>1000</v>
      </c>
      <c r="AG60" s="151">
        <f t="shared" si="9"/>
        <v>1027.7777777777778</v>
      </c>
      <c r="AH60" s="209"/>
      <c r="AI60" s="147" t="str">
        <f>IF(Q60&lt;&gt;"nvt",MATCH($T60,'Tarieven W&amp;O'!$B:$B,0),"nvt")</f>
        <v>nvt</v>
      </c>
      <c r="AJ60" s="262">
        <f>IF(AI60&lt;&gt;"nvt",INDEX('Tarieven W&amp;O'!$H:$H,$AI60)+INDEX(Parameters!C:C,MATCH("NLSx "&amp;O60&amp;" "&amp;M60,Parameters!A:A,0)),0)</f>
        <v>0</v>
      </c>
      <c r="AK60" s="148">
        <f>IF(AI60&lt;&gt;"nvt",INDEX('Tarieven W&amp;O'!$I:$I,$AI60),0)</f>
        <v>0</v>
      </c>
      <c r="AL60" s="149">
        <f>IF(AI60&lt;&gt;"nvt",-INDEX(Parameters!$B:$B,MATCH(AL$3&amp;$M60,Parameters!$A:$A,0))*(AJ60+AK60),0)</f>
        <v>0</v>
      </c>
      <c r="AM60" s="149"/>
      <c r="AN60" s="148">
        <f t="shared" si="10"/>
        <v>0</v>
      </c>
      <c r="AO60" s="171">
        <f>AN60/INDEX(Parameters!$B:$B,MATCH("AfschrijftermijnVVE"&amp;12*$C60,Parameters!$A:$A,0))</f>
        <v>0</v>
      </c>
      <c r="AP60" s="148">
        <f>MATCH($U60,'Tarieven W&amp;O'!$B:$B,0)</f>
        <v>28</v>
      </c>
      <c r="AQ60" s="150">
        <f>IF(AP60&lt;&gt;"nvt",INDEX('Tarieven W&amp;O'!$G:$G,$AP60),0)</f>
        <v>11.2</v>
      </c>
      <c r="AR60" s="277">
        <f>-INDEX(Parameters!$B:$B,MATCH(AR$3&amp;$M60&amp;O60,Parameters!$A:$A,0))*(AQ60)</f>
        <v>0</v>
      </c>
      <c r="AS60" s="148"/>
      <c r="AT60" s="148"/>
      <c r="AU60" s="150">
        <f t="shared" si="11"/>
        <v>11.2</v>
      </c>
      <c r="AV60" s="150">
        <f t="shared" si="12"/>
        <v>11.2</v>
      </c>
      <c r="AW60" s="202"/>
      <c r="AX60" s="150">
        <f>Parameters!$B$6*AV60</f>
        <v>0.11199999999999999</v>
      </c>
      <c r="AY60" s="202">
        <v>0</v>
      </c>
      <c r="AZ60" s="202"/>
      <c r="BA60" s="150">
        <f t="shared" si="13"/>
        <v>0.11199999999999999</v>
      </c>
      <c r="BB60" s="202"/>
      <c r="BC60" s="151">
        <f t="shared" si="14"/>
        <v>11.311999999999999</v>
      </c>
      <c r="BD60" s="209"/>
      <c r="BE60" s="140">
        <f t="shared" si="65"/>
        <v>1016.4657777777778</v>
      </c>
      <c r="BF60" s="141">
        <f t="shared" si="66"/>
        <v>0.98899372972972976</v>
      </c>
      <c r="BG60" s="142" t="b">
        <f t="shared" si="15"/>
        <v>0</v>
      </c>
      <c r="BI60" s="188" t="s">
        <v>538</v>
      </c>
      <c r="BJ60" s="189"/>
      <c r="BK60">
        <f>VLOOKUP(J60,'Tarieven ZM'!$B$7:$I$146,8,0)</f>
        <v>0</v>
      </c>
      <c r="BL60" s="203" t="str">
        <f t="shared" si="16"/>
        <v>ADSLnvtunshared</v>
      </c>
      <c r="BM60" s="282">
        <f>INDEX('inkoop ULL tbv Epacity'!$J:$J,MATCH(BL60,'inkoop ULL tbv Epacity'!$H:$H,0),0)</f>
        <v>35</v>
      </c>
      <c r="BN60" s="171">
        <f>BM60/INDEX(Parameters!$B:$B,MATCH("AfschrijftermijnVVE"&amp;12*$C60,Parameters!$A:$A,0))</f>
        <v>0.97222222222222221</v>
      </c>
      <c r="BO60" s="263">
        <f>INDEX('inkoop ULL tbv Epacity'!$I:$I,MATCH(BL60,'inkoop ULL tbv Epacity'!$H:$H,0),0)</f>
        <v>12.501783475119046</v>
      </c>
      <c r="BP60" s="263">
        <f t="shared" si="17"/>
        <v>13.474005697341267</v>
      </c>
      <c r="BQ60" s="203"/>
      <c r="BR60" s="262">
        <f>Parameters!$B$12*AG60</f>
        <v>102.77777777777779</v>
      </c>
      <c r="BS60" s="262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SUM(Distributievergoedingen!$F$12,Distributievergoedingen!$I$12,Distributievergoedingen!$L$12,Distributievergoedingen!$O$12)*AF60+SUM(Distributievergoedingen!$O$12*AA60+Distributievergoedingen!$R$12+Distributievergoedingen!$U$12+Distributievergoedingen!$X$12)/(MAX(36,12*L60))</f>
        <v>112.77777777777777</v>
      </c>
      <c r="BT60" s="150"/>
      <c r="BU60" s="150">
        <f t="shared" si="18"/>
        <v>215.55555555555554</v>
      </c>
      <c r="BW60" s="151">
        <f t="shared" si="19"/>
        <v>229.0295612528968</v>
      </c>
      <c r="BY60" s="140">
        <f t="shared" si="20"/>
        <v>798.74821652488106</v>
      </c>
      <c r="BZ60" s="141">
        <f t="shared" si="21"/>
        <v>0.77716042688907339</v>
      </c>
      <c r="CA60" s="142" t="b">
        <f t="shared" si="22"/>
        <v>0</v>
      </c>
    </row>
    <row r="61" spans="1:79">
      <c r="A61" s="203" t="str">
        <f t="shared" si="67"/>
        <v>3SDSLPremiumbestaandunshared</v>
      </c>
      <c r="B61" s="203" t="str">
        <f t="shared" si="5"/>
        <v>3SDSLPremiumbestaandunshared</v>
      </c>
      <c r="C61" s="438">
        <v>3</v>
      </c>
      <c r="D61" s="438" t="s">
        <v>64</v>
      </c>
      <c r="E61" s="438" t="s">
        <v>70</v>
      </c>
      <c r="F61" s="438"/>
      <c r="G61" s="438"/>
      <c r="H61" s="438" t="s">
        <v>124</v>
      </c>
      <c r="I61" s="438" t="s">
        <v>128</v>
      </c>
      <c r="J61" s="274" t="str">
        <f t="shared" si="68"/>
        <v>SDSLbestaandunshared</v>
      </c>
      <c r="L61" s="160">
        <f>INDEX(Mapping!$J:$J,MATCH(C$3&amp;C61,Mapping!$B:$B,0))</f>
        <v>1</v>
      </c>
      <c r="M61" s="148" t="str">
        <f>INDEX(Mapping!$H:$H,MATCH($E61,Mapping!$B:$B,0))</f>
        <v>WBA ZM Ethernet</v>
      </c>
      <c r="N61" s="179" t="str">
        <f>INDEX(Mapping!$I:$I,MATCH($D61&amp;$I61,Mapping!$B:$B,0))</f>
        <v>SDSL</v>
      </c>
      <c r="O61" s="179" t="str">
        <f>INDEX(Mapping!$I:$I,MATCH($D61,Mapping!$B:$B,0))</f>
        <v>SDSL</v>
      </c>
      <c r="P61" s="179"/>
      <c r="Q61" s="179" t="str">
        <f>INDEX(Mapping!$H:$H,MATCH($H61,Mapping!$B:$B,0))</f>
        <v>nvt</v>
      </c>
      <c r="R61" s="179" t="s">
        <v>115</v>
      </c>
      <c r="S61" s="148" t="str">
        <f>INDEX(Mapping!$J:$J,MATCH($D61&amp;$I61,Mapping!$B:$B,0))</f>
        <v>unshared</v>
      </c>
      <c r="T61" s="148" t="str">
        <f t="shared" si="63"/>
        <v>WBA ZM EthernetSDSLnvt</v>
      </c>
      <c r="U61" s="142" t="str">
        <f t="shared" si="64"/>
        <v>WBA ZM EthernetSDSLunshared</v>
      </c>
      <c r="W61" s="160">
        <f>MATCH($J61,'Tarieven ZM'!$B:$B,0)</f>
        <v>104</v>
      </c>
      <c r="X61" s="148">
        <f>INDEX('Tarieven ZM'!$H:$H,$W61)</f>
        <v>1000</v>
      </c>
      <c r="Y61" s="161">
        <f>-INDEX(Parameters!$B:$B,MATCH(Y$3,Parameters!$A:$A,0))*$X61</f>
        <v>0</v>
      </c>
      <c r="Z61" s="149">
        <f>-INDEX(Parameters!$B:$B,MATCH(Z$3,Parameters!$A:$A,0))*$X61</f>
        <v>0</v>
      </c>
      <c r="AA61" s="148">
        <f t="shared" si="69"/>
        <v>1000</v>
      </c>
      <c r="AB61" s="148">
        <f>AA61/INDEX(Parameters!$B:$B,MATCH("AfschrijftermijnVVE"&amp;12*$C61,Parameters!$A:$A,0))</f>
        <v>27.777777777777779</v>
      </c>
      <c r="AC61" s="148">
        <f>INDEX('Tarieven ZM'!$G:$G,$W61)</f>
        <v>1000</v>
      </c>
      <c r="AD61" s="161">
        <f>-INDEX(Parameters!$B:$B,MATCH(AD$3,Parameters!$A:$A,0))*$AC61</f>
        <v>0</v>
      </c>
      <c r="AE61" s="161">
        <f>-INDEX(Parameters!$B:$B,MATCH(AE$3,Parameters!$A:$A,0))*$AC61</f>
        <v>0</v>
      </c>
      <c r="AF61" s="148">
        <f t="shared" si="70"/>
        <v>1000</v>
      </c>
      <c r="AG61" s="151">
        <f t="shared" si="9"/>
        <v>1027.7777777777778</v>
      </c>
      <c r="AH61" s="209"/>
      <c r="AI61" s="147" t="str">
        <f>IF(Q61&lt;&gt;"nvt",MATCH($T61,'Tarieven W&amp;O'!$B:$B,0),"nvt")</f>
        <v>nvt</v>
      </c>
      <c r="AJ61" s="262">
        <f>IF(AI61&lt;&gt;"nvt",INDEX('Tarieven W&amp;O'!$H:$H,$AI61)+INDEX(Parameters!C:C,MATCH("NLSx "&amp;O61&amp;" "&amp;M61,Parameters!A:A,0)),0)</f>
        <v>0</v>
      </c>
      <c r="AK61" s="148">
        <f>IF(AI61&lt;&gt;"nvt",INDEX('Tarieven W&amp;O'!$I:$I,$AI61),0)</f>
        <v>0</v>
      </c>
      <c r="AL61" s="149">
        <f>IF(AI61&lt;&gt;"nvt",-INDEX(Parameters!$B:$B,MATCH(AL$3&amp;$M61,Parameters!$A:$A,0))*(AJ61+AK61),0)</f>
        <v>0</v>
      </c>
      <c r="AM61" s="149"/>
      <c r="AN61" s="148">
        <f t="shared" si="10"/>
        <v>0</v>
      </c>
      <c r="AO61" s="171">
        <f>AN61/INDEX(Parameters!$B:$B,MATCH("AfschrijftermijnVVE"&amp;12*$C61,Parameters!$A:$A,0))</f>
        <v>0</v>
      </c>
      <c r="AP61" s="148">
        <f>MATCH($U61,'Tarieven W&amp;O'!$B:$B,0)</f>
        <v>30</v>
      </c>
      <c r="AQ61" s="150">
        <f>IF(AP61&lt;&gt;"nvt",INDEX('Tarieven W&amp;O'!$G:$G,$AP61),0)</f>
        <v>22.1</v>
      </c>
      <c r="AR61" s="277">
        <f>-INDEX(Parameters!$B:$B,MATCH(AR$3&amp;$M61&amp;O61,Parameters!$A:$A,0))*(AQ61)</f>
        <v>0</v>
      </c>
      <c r="AS61" s="148"/>
      <c r="AT61" s="148"/>
      <c r="AU61" s="150">
        <f t="shared" si="11"/>
        <v>22.1</v>
      </c>
      <c r="AV61" s="150">
        <f t="shared" si="12"/>
        <v>22.1</v>
      </c>
      <c r="AW61" s="202"/>
      <c r="AX61" s="150">
        <f>Parameters!$B$6*AV61</f>
        <v>0.22100000000000003</v>
      </c>
      <c r="AY61" s="202">
        <v>0</v>
      </c>
      <c r="AZ61" s="202"/>
      <c r="BA61" s="150">
        <f t="shared" si="13"/>
        <v>0.22100000000000003</v>
      </c>
      <c r="BB61" s="202"/>
      <c r="BC61" s="151">
        <f t="shared" si="14"/>
        <v>22.321000000000002</v>
      </c>
      <c r="BD61" s="209"/>
      <c r="BE61" s="140">
        <f t="shared" si="65"/>
        <v>1005.4567777777778</v>
      </c>
      <c r="BF61" s="141">
        <f t="shared" si="66"/>
        <v>0.97828227027027026</v>
      </c>
      <c r="BG61" s="142" t="b">
        <f t="shared" si="15"/>
        <v>0</v>
      </c>
      <c r="BI61" s="188" t="s">
        <v>538</v>
      </c>
      <c r="BJ61" s="189"/>
      <c r="BK61">
        <f>VLOOKUP(J61,'Tarieven ZM'!$B$7:$I$146,8,0)</f>
        <v>0</v>
      </c>
      <c r="BL61" s="203" t="str">
        <f t="shared" si="16"/>
        <v>SDSLnvtunshared</v>
      </c>
      <c r="BM61" s="282">
        <f>INDEX('inkoop ULL tbv Epacity'!$J:$J,MATCH(BL61,'inkoop ULL tbv Epacity'!$H:$H,0),0)</f>
        <v>19.3</v>
      </c>
      <c r="BN61" s="171">
        <f>BM61/INDEX(Parameters!$B:$B,MATCH("AfschrijftermijnVVE"&amp;12*$C61,Parameters!$A:$A,0))</f>
        <v>0.53611111111111109</v>
      </c>
      <c r="BO61" s="263">
        <f>INDEX('inkoop ULL tbv Epacity'!$I:$I,MATCH(BL61,'inkoop ULL tbv Epacity'!$H:$H,0),0)</f>
        <v>9.3855844444444436</v>
      </c>
      <c r="BP61" s="263">
        <f t="shared" si="17"/>
        <v>9.921695555555555</v>
      </c>
      <c r="BQ61" s="203"/>
      <c r="BR61" s="262">
        <f>Parameters!$B$12*AG61</f>
        <v>102.77777777777779</v>
      </c>
      <c r="BS61" s="262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SUM(Distributievergoedingen!$F$12,Distributievergoedingen!$I$12,Distributievergoedingen!$L$12,Distributievergoedingen!$O$12)*AF61+SUM(Distributievergoedingen!$O$12*AA61+Distributievergoedingen!$R$12+Distributievergoedingen!$U$12+Distributievergoedingen!$X$12)/(MAX(36,12*L61))</f>
        <v>112.77777777777777</v>
      </c>
      <c r="BT61" s="150"/>
      <c r="BU61" s="150">
        <f t="shared" si="18"/>
        <v>215.55555555555554</v>
      </c>
      <c r="BW61" s="151">
        <f t="shared" si="19"/>
        <v>225.47725111111109</v>
      </c>
      <c r="BY61" s="140">
        <f t="shared" si="20"/>
        <v>802.30052666666677</v>
      </c>
      <c r="BZ61" s="141">
        <f t="shared" si="21"/>
        <v>0.78061672864864873</v>
      </c>
      <c r="CA61" s="142" t="b">
        <f t="shared" si="22"/>
        <v>0</v>
      </c>
    </row>
    <row r="62" spans="1:79">
      <c r="A62" s="203" t="str">
        <f t="shared" si="67"/>
        <v>3VDSLPremiumbestaandshared</v>
      </c>
      <c r="B62" s="203" t="str">
        <f t="shared" si="5"/>
        <v>3VDSLPremiumbestaandshared</v>
      </c>
      <c r="C62" s="438">
        <v>3</v>
      </c>
      <c r="D62" s="438" t="s">
        <v>77</v>
      </c>
      <c r="E62" s="438" t="s">
        <v>70</v>
      </c>
      <c r="F62" s="438"/>
      <c r="G62" s="438"/>
      <c r="H62" s="438" t="s">
        <v>124</v>
      </c>
      <c r="I62" s="438" t="s">
        <v>127</v>
      </c>
      <c r="J62" s="274" t="str">
        <f t="shared" si="68"/>
        <v>VDSLbestaandshared</v>
      </c>
      <c r="L62" s="160">
        <f>INDEX(Mapping!$J:$J,MATCH(C$3&amp;C62,Mapping!$B:$B,0))</f>
        <v>1</v>
      </c>
      <c r="M62" s="148" t="str">
        <f>INDEX(Mapping!$H:$H,MATCH($E62,Mapping!$B:$B,0))</f>
        <v>WBA ZM Ethernet</v>
      </c>
      <c r="N62" s="179" t="str">
        <f>INDEX(Mapping!$I:$I,MATCH($D62&amp;$I62,Mapping!$B:$B,0))</f>
        <v>VDSL</v>
      </c>
      <c r="O62" s="179" t="str">
        <f>INDEX(Mapping!$I:$I,MATCH($D62,Mapping!$B:$B,0))</f>
        <v>VDSL</v>
      </c>
      <c r="P62" s="179"/>
      <c r="Q62" s="179" t="str">
        <f>INDEX(Mapping!$H:$H,MATCH($H62,Mapping!$B:$B,0))</f>
        <v>nvt</v>
      </c>
      <c r="R62" s="179" t="s">
        <v>115</v>
      </c>
      <c r="S62" s="148" t="str">
        <f>INDEX(Mapping!$J:$J,MATCH($D62&amp;$I62,Mapping!$B:$B,0))</f>
        <v>shared</v>
      </c>
      <c r="T62" s="148" t="str">
        <f t="shared" si="63"/>
        <v>WBA ZM EthernetVDSLnvt</v>
      </c>
      <c r="U62" s="142" t="str">
        <f t="shared" si="64"/>
        <v>WBA ZM EthernetVDSLshared</v>
      </c>
      <c r="W62" s="160">
        <f>MATCH($J62,'Tarieven ZM'!$B:$B,0)</f>
        <v>105</v>
      </c>
      <c r="X62" s="148">
        <f>INDEX('Tarieven ZM'!$H:$H,$W62)</f>
        <v>1000</v>
      </c>
      <c r="Y62" s="161">
        <f>-INDEX(Parameters!$B:$B,MATCH(Y$3,Parameters!$A:$A,0))*$X62</f>
        <v>0</v>
      </c>
      <c r="Z62" s="149">
        <f>-INDEX(Parameters!$B:$B,MATCH(Z$3,Parameters!$A:$A,0))*$X62</f>
        <v>0</v>
      </c>
      <c r="AA62" s="148">
        <f t="shared" si="69"/>
        <v>1000</v>
      </c>
      <c r="AB62" s="148">
        <f>AA62/INDEX(Parameters!$B:$B,MATCH("AfschrijftermijnVVE"&amp;12*$C62,Parameters!$A:$A,0))</f>
        <v>27.777777777777779</v>
      </c>
      <c r="AC62" s="148">
        <f>INDEX('Tarieven ZM'!$G:$G,$W62)</f>
        <v>1000</v>
      </c>
      <c r="AD62" s="161">
        <f>-INDEX(Parameters!$B:$B,MATCH(AD$3,Parameters!$A:$A,0))*$AC62</f>
        <v>0</v>
      </c>
      <c r="AE62" s="161">
        <f>-INDEX(Parameters!$B:$B,MATCH(AE$3,Parameters!$A:$A,0))*$AC62</f>
        <v>0</v>
      </c>
      <c r="AF62" s="148">
        <f t="shared" si="70"/>
        <v>1000</v>
      </c>
      <c r="AG62" s="151">
        <f t="shared" si="9"/>
        <v>1027.7777777777778</v>
      </c>
      <c r="AH62" s="209"/>
      <c r="AI62" s="147" t="str">
        <f>IF(Q62&lt;&gt;"nvt",MATCH($T62,'Tarieven W&amp;O'!$B:$B,0),"nvt")</f>
        <v>nvt</v>
      </c>
      <c r="AJ62" s="262">
        <f>IF(AI62&lt;&gt;"nvt",INDEX('Tarieven W&amp;O'!$H:$H,$AI62)+INDEX(Parameters!C:C,MATCH("NLSx "&amp;O62&amp;" "&amp;M62,Parameters!A:A,0)),0)</f>
        <v>0</v>
      </c>
      <c r="AK62" s="148">
        <f>IF(AI62&lt;&gt;"nvt",INDEX('Tarieven W&amp;O'!$I:$I,$AI62),0)</f>
        <v>0</v>
      </c>
      <c r="AL62" s="149">
        <f>IF(AI62&lt;&gt;"nvt",-INDEX(Parameters!$B:$B,MATCH(AL$3&amp;$M62,Parameters!$A:$A,0))*(AJ62+AK62),0)</f>
        <v>0</v>
      </c>
      <c r="AM62" s="149"/>
      <c r="AN62" s="148">
        <f t="shared" si="10"/>
        <v>0</v>
      </c>
      <c r="AO62" s="171">
        <f>AN62/INDEX(Parameters!$B:$B,MATCH("AfschrijftermijnVVE"&amp;12*$C62,Parameters!$A:$A,0))</f>
        <v>0</v>
      </c>
      <c r="AP62" s="148">
        <f>MATCH($U62,'Tarieven W&amp;O'!$B:$B,0)</f>
        <v>34</v>
      </c>
      <c r="AQ62" s="150">
        <f>IF(AP62&lt;&gt;"nvt",INDEX('Tarieven W&amp;O'!$G:$G,$AP62),0)</f>
        <v>2.88</v>
      </c>
      <c r="AR62" s="277">
        <f>-INDEX(Parameters!$B:$B,MATCH(AR$3&amp;$M62&amp;O62,Parameters!$A:$A,0))*(AQ62)</f>
        <v>0</v>
      </c>
      <c r="AS62" s="148"/>
      <c r="AT62" s="148"/>
      <c r="AU62" s="150">
        <f t="shared" si="11"/>
        <v>2.88</v>
      </c>
      <c r="AV62" s="150">
        <f t="shared" si="12"/>
        <v>2.88</v>
      </c>
      <c r="AW62" s="202"/>
      <c r="AX62" s="150">
        <f>Parameters!$B$6*AV62</f>
        <v>2.8799999999999999E-2</v>
      </c>
      <c r="AY62" s="202">
        <v>0</v>
      </c>
      <c r="AZ62" s="202"/>
      <c r="BA62" s="150">
        <f t="shared" si="13"/>
        <v>2.8799999999999999E-2</v>
      </c>
      <c r="BB62" s="202"/>
      <c r="BC62" s="151">
        <f t="shared" si="14"/>
        <v>2.9087999999999998</v>
      </c>
      <c r="BD62" s="209"/>
      <c r="BE62" s="140">
        <f t="shared" si="65"/>
        <v>1024.8689777777779</v>
      </c>
      <c r="BF62" s="141">
        <f t="shared" si="66"/>
        <v>0.99716981621621625</v>
      </c>
      <c r="BG62" s="142" t="b">
        <f t="shared" si="15"/>
        <v>0</v>
      </c>
      <c r="BI62" s="188" t="s">
        <v>538</v>
      </c>
      <c r="BJ62" s="189"/>
      <c r="BK62">
        <f>VLOOKUP(J62,'Tarieven ZM'!$B$7:$I$146,8,0)</f>
        <v>0</v>
      </c>
      <c r="BL62" s="203" t="str">
        <f t="shared" si="16"/>
        <v>VDSLnvtshared</v>
      </c>
      <c r="BM62" s="282">
        <f>INDEX('inkoop ULL tbv Epacity'!$J:$J,MATCH(BL62,'inkoop ULL tbv Epacity'!$H:$H,0),0)</f>
        <v>35</v>
      </c>
      <c r="BN62" s="171">
        <f>BM62/INDEX(Parameters!$B:$B,MATCH("AfschrijftermijnVVE"&amp;12*$C62,Parameters!$A:$A,0))</f>
        <v>0.97222222222222221</v>
      </c>
      <c r="BO62" s="263">
        <f>INDEX('inkoop ULL tbv Epacity'!$I:$I,MATCH(BL62,'inkoop ULL tbv Epacity'!$H:$H,0),0)</f>
        <v>6.031783475119048</v>
      </c>
      <c r="BP62" s="263">
        <f t="shared" si="17"/>
        <v>7.0040056973412703</v>
      </c>
      <c r="BQ62" s="203"/>
      <c r="BR62" s="262">
        <f>Parameters!$B$12*AG62</f>
        <v>102.77777777777779</v>
      </c>
      <c r="BS62" s="262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SUM(Distributievergoedingen!$F$12,Distributievergoedingen!$I$12,Distributievergoedingen!$L$12,Distributievergoedingen!$O$12)*AF62+SUM(Distributievergoedingen!$O$12*AA62+Distributievergoedingen!$R$12+Distributievergoedingen!$U$12+Distributievergoedingen!$X$12)/(MAX(36,12*L62))</f>
        <v>112.77777777777777</v>
      </c>
      <c r="BT62" s="150"/>
      <c r="BU62" s="150">
        <f t="shared" si="18"/>
        <v>215.55555555555554</v>
      </c>
      <c r="BW62" s="151">
        <f t="shared" si="19"/>
        <v>222.5595612528968</v>
      </c>
      <c r="BY62" s="140">
        <f t="shared" si="20"/>
        <v>805.21821652488097</v>
      </c>
      <c r="BZ62" s="141">
        <f t="shared" si="21"/>
        <v>0.78345556202420852</v>
      </c>
      <c r="CA62" s="142" t="b">
        <f t="shared" si="22"/>
        <v>0</v>
      </c>
    </row>
    <row r="63" spans="1:79">
      <c r="A63" s="203" t="str">
        <f t="shared" si="67"/>
        <v>3ADSLPremiumbestaandshared</v>
      </c>
      <c r="B63" s="203" t="str">
        <f t="shared" si="5"/>
        <v>3ADSLPremiumbestaandshared</v>
      </c>
      <c r="C63" s="438">
        <v>3</v>
      </c>
      <c r="D63" s="438" t="s">
        <v>42</v>
      </c>
      <c r="E63" s="438" t="s">
        <v>70</v>
      </c>
      <c r="F63" s="438"/>
      <c r="G63" s="438"/>
      <c r="H63" s="438" t="s">
        <v>124</v>
      </c>
      <c r="I63" s="438" t="s">
        <v>127</v>
      </c>
      <c r="J63" s="439" t="str">
        <f t="shared" si="68"/>
        <v>ADSLbestaandshared</v>
      </c>
      <c r="L63" s="162">
        <f>INDEX(Mapping!$J:$J,MATCH(C$3&amp;C63,Mapping!$B:$B,0))</f>
        <v>1</v>
      </c>
      <c r="M63" s="153" t="str">
        <f>INDEX(Mapping!$H:$H,MATCH($E63,Mapping!$B:$B,0))</f>
        <v>WBA ZM Ethernet</v>
      </c>
      <c r="N63" s="179" t="str">
        <f>INDEX(Mapping!$I:$I,MATCH($D63&amp;$I63,Mapping!$B:$B,0))</f>
        <v>ADSL</v>
      </c>
      <c r="O63" s="179" t="str">
        <f>INDEX(Mapping!$I:$I,MATCH($D63,Mapping!$B:$B,0))</f>
        <v>ADSL</v>
      </c>
      <c r="P63" s="457"/>
      <c r="Q63" s="457" t="str">
        <f>INDEX(Mapping!$H:$H,MATCH($H63,Mapping!$B:$B,0))</f>
        <v>nvt</v>
      </c>
      <c r="R63" s="179" t="s">
        <v>115</v>
      </c>
      <c r="S63" s="153" t="str">
        <f>INDEX(Mapping!$J:$J,MATCH($D63&amp;$I63,Mapping!$B:$B,0))</f>
        <v>shared</v>
      </c>
      <c r="T63" s="153" t="str">
        <f t="shared" si="63"/>
        <v>WBA ZM EthernetADSLnvt</v>
      </c>
      <c r="U63" s="145" t="str">
        <f t="shared" si="64"/>
        <v>WBA ZM EthernetADSLshared</v>
      </c>
      <c r="W63" s="162">
        <f>MATCH($J63,'Tarieven ZM'!$B:$B,0)</f>
        <v>106</v>
      </c>
      <c r="X63" s="153">
        <f>INDEX('Tarieven ZM'!$H:$H,$W63)</f>
        <v>1000</v>
      </c>
      <c r="Y63" s="163">
        <f>-INDEX(Parameters!$B:$B,MATCH(Y$3,Parameters!$A:$A,0))*$X63</f>
        <v>0</v>
      </c>
      <c r="Z63" s="154">
        <f>-INDEX(Parameters!$B:$B,MATCH(Z$3,Parameters!$A:$A,0))*$X63</f>
        <v>0</v>
      </c>
      <c r="AA63" s="153">
        <f t="shared" si="69"/>
        <v>1000</v>
      </c>
      <c r="AB63" s="148">
        <f>AA63/INDEX(Parameters!$B:$B,MATCH("AfschrijftermijnVVE"&amp;12*$C63,Parameters!$A:$A,0))</f>
        <v>27.777777777777779</v>
      </c>
      <c r="AC63" s="153">
        <f>INDEX('Tarieven ZM'!$G:$G,$W63)</f>
        <v>1000</v>
      </c>
      <c r="AD63" s="163">
        <f>-INDEX(Parameters!$B:$B,MATCH(AD$3,Parameters!$A:$A,0))*$AC63</f>
        <v>0</v>
      </c>
      <c r="AE63" s="163">
        <f>-INDEX(Parameters!$B:$B,MATCH(AE$3,Parameters!$A:$A,0))*$AC63</f>
        <v>0</v>
      </c>
      <c r="AF63" s="153">
        <f t="shared" si="70"/>
        <v>1000</v>
      </c>
      <c r="AG63" s="156">
        <f t="shared" si="9"/>
        <v>1027.7777777777778</v>
      </c>
      <c r="AH63" s="209"/>
      <c r="AI63" s="152" t="str">
        <f>IF(Q63&lt;&gt;"nvt",MATCH($T63,'Tarieven W&amp;O'!$B:$B,0),"nvt")</f>
        <v>nvt</v>
      </c>
      <c r="AJ63" s="262">
        <f>IF(AI63&lt;&gt;"nvt",INDEX('Tarieven W&amp;O'!$H:$H,$AI63)+INDEX(Parameters!C:C,MATCH("NLSx "&amp;O63&amp;" "&amp;M63,Parameters!A:A,0)),0)</f>
        <v>0</v>
      </c>
      <c r="AK63" s="153">
        <f>IF(AI63&lt;&gt;"nvt",INDEX('Tarieven W&amp;O'!$I:$I,$AI63),0)</f>
        <v>0</v>
      </c>
      <c r="AL63" s="154">
        <f>IF(AI63&lt;&gt;"nvt",-INDEX(Parameters!$B:$B,MATCH(AL$3&amp;$M63,Parameters!$A:$A,0))*(AJ63+AK63),0)</f>
        <v>0</v>
      </c>
      <c r="AM63" s="154"/>
      <c r="AN63" s="153">
        <f t="shared" si="10"/>
        <v>0</v>
      </c>
      <c r="AO63" s="171">
        <f>AN63/INDEX(Parameters!$B:$B,MATCH("AfschrijftermijnVVE"&amp;12*$C63,Parameters!$A:$A,0))</f>
        <v>0</v>
      </c>
      <c r="AP63" s="153">
        <f>MATCH($U63,'Tarieven W&amp;O'!$B:$B,0)</f>
        <v>35</v>
      </c>
      <c r="AQ63" s="155">
        <f>IF(AP63&lt;&gt;"nvt",INDEX('Tarieven W&amp;O'!$G:$G,$AP63),0)</f>
        <v>2.88</v>
      </c>
      <c r="AR63" s="277">
        <f>-INDEX(Parameters!$B:$B,MATCH(AR$3&amp;$M63&amp;O63,Parameters!$A:$A,0))*(AQ63)</f>
        <v>0</v>
      </c>
      <c r="AS63" s="153"/>
      <c r="AT63" s="153"/>
      <c r="AU63" s="155">
        <f t="shared" si="11"/>
        <v>2.88</v>
      </c>
      <c r="AV63" s="155">
        <f t="shared" si="12"/>
        <v>2.88</v>
      </c>
      <c r="AW63" s="207"/>
      <c r="AX63" s="155">
        <f>Parameters!$B$6*AV63</f>
        <v>2.8799999999999999E-2</v>
      </c>
      <c r="AY63" s="202">
        <v>0</v>
      </c>
      <c r="AZ63" s="202"/>
      <c r="BA63" s="155">
        <f t="shared" si="13"/>
        <v>2.8799999999999999E-2</v>
      </c>
      <c r="BB63" s="207"/>
      <c r="BC63" s="156">
        <f t="shared" si="14"/>
        <v>2.9087999999999998</v>
      </c>
      <c r="BD63" s="209"/>
      <c r="BE63" s="143">
        <f t="shared" si="65"/>
        <v>1024.8689777777779</v>
      </c>
      <c r="BF63" s="144">
        <f t="shared" si="66"/>
        <v>0.99716981621621625</v>
      </c>
      <c r="BG63" s="145" t="b">
        <f t="shared" si="15"/>
        <v>0</v>
      </c>
      <c r="BI63" s="188" t="s">
        <v>538</v>
      </c>
      <c r="BJ63" s="190"/>
      <c r="BK63">
        <f>VLOOKUP(J63,'Tarieven ZM'!$B$7:$I$146,8,0)</f>
        <v>0</v>
      </c>
      <c r="BL63" s="203" t="str">
        <f t="shared" si="16"/>
        <v>ADSLnvtshared</v>
      </c>
      <c r="BM63" s="282">
        <f>INDEX('inkoop ULL tbv Epacity'!$J:$J,MATCH(BL63,'inkoop ULL tbv Epacity'!$H:$H,0),0)</f>
        <v>35</v>
      </c>
      <c r="BN63" s="171">
        <f>BM63/INDEX(Parameters!$B:$B,MATCH("AfschrijftermijnVVE"&amp;12*$C63,Parameters!$A:$A,0))</f>
        <v>0.97222222222222221</v>
      </c>
      <c r="BO63" s="263">
        <f>INDEX('inkoop ULL tbv Epacity'!$I:$I,MATCH(BL63,'inkoop ULL tbv Epacity'!$H:$H,0),0)</f>
        <v>6.031783475119048</v>
      </c>
      <c r="BP63" s="263">
        <f t="shared" si="17"/>
        <v>7.0040056973412703</v>
      </c>
      <c r="BQ63" s="203"/>
      <c r="BR63" s="262">
        <f>Parameters!$B$12*AG63</f>
        <v>102.77777777777779</v>
      </c>
      <c r="BS63" s="262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SUM(Distributievergoedingen!$F$12,Distributievergoedingen!$I$12,Distributievergoedingen!$L$12,Distributievergoedingen!$O$12)*AF63+SUM(Distributievergoedingen!$O$12*AA63+Distributievergoedingen!$R$12+Distributievergoedingen!$U$12+Distributievergoedingen!$X$12)/(MAX(36,12*L63))</f>
        <v>112.77777777777777</v>
      </c>
      <c r="BT63" s="150"/>
      <c r="BU63" s="150">
        <f t="shared" si="18"/>
        <v>215.55555555555554</v>
      </c>
      <c r="BW63" s="151">
        <f t="shared" si="19"/>
        <v>222.5595612528968</v>
      </c>
      <c r="BY63" s="140">
        <f t="shared" si="20"/>
        <v>805.21821652488097</v>
      </c>
      <c r="BZ63" s="141">
        <f t="shared" si="21"/>
        <v>0.78345556202420852</v>
      </c>
      <c r="CA63" s="142" t="b">
        <f t="shared" si="22"/>
        <v>0</v>
      </c>
    </row>
    <row r="64" spans="1:79">
      <c r="AJ64" s="203"/>
    </row>
    <row r="65" spans="36:36">
      <c r="AJ65" s="203"/>
    </row>
    <row r="66" spans="36:36">
      <c r="AJ66" s="203"/>
    </row>
    <row r="67" spans="36:36">
      <c r="AJ67" s="203"/>
    </row>
    <row r="68" spans="36:36">
      <c r="AJ68" s="203"/>
    </row>
  </sheetData>
  <autoFilter ref="A3:CA3"/>
  <mergeCells count="13">
    <mergeCell ref="C2:J2"/>
    <mergeCell ref="L2:U2"/>
    <mergeCell ref="W1:AG1"/>
    <mergeCell ref="AP2:AU2"/>
    <mergeCell ref="AC2:AF2"/>
    <mergeCell ref="W2:AB2"/>
    <mergeCell ref="AI2:AO2"/>
    <mergeCell ref="BR1:BU1"/>
    <mergeCell ref="BY1:CA1"/>
    <mergeCell ref="BM1:BP1"/>
    <mergeCell ref="BE1:BG1"/>
    <mergeCell ref="AI1:AV1"/>
    <mergeCell ref="AX1:BA1"/>
  </mergeCells>
  <conditionalFormatting sqref="BI4:BI5 BI7:BI15 BI17:BI25 BI27:BI35 BI37:BI45 BI47:BI55 BI57:BI63">
    <cfRule type="containsText" dxfId="43" priority="13" operator="containsText" text="nee">
      <formula>NOT(ISERROR(SEARCH("nee",BI4)))</formula>
    </cfRule>
    <cfRule type="containsText" dxfId="42" priority="14" operator="containsText" text="ja">
      <formula>NOT(ISERROR(SEARCH("ja",BI4)))</formula>
    </cfRule>
  </conditionalFormatting>
  <conditionalFormatting sqref="BI6">
    <cfRule type="containsText" dxfId="41" priority="11" operator="containsText" text="nee">
      <formula>NOT(ISERROR(SEARCH("nee",BI6)))</formula>
    </cfRule>
    <cfRule type="containsText" dxfId="40" priority="12" operator="containsText" text="ja">
      <formula>NOT(ISERROR(SEARCH("ja",BI6)))</formula>
    </cfRule>
  </conditionalFormatting>
  <conditionalFormatting sqref="BI16">
    <cfRule type="containsText" dxfId="39" priority="9" operator="containsText" text="nee">
      <formula>NOT(ISERROR(SEARCH("nee",BI16)))</formula>
    </cfRule>
    <cfRule type="containsText" dxfId="38" priority="10" operator="containsText" text="ja">
      <formula>NOT(ISERROR(SEARCH("ja",BI16)))</formula>
    </cfRule>
  </conditionalFormatting>
  <conditionalFormatting sqref="BI26">
    <cfRule type="containsText" dxfId="37" priority="7" operator="containsText" text="nee">
      <formula>NOT(ISERROR(SEARCH("nee",BI26)))</formula>
    </cfRule>
    <cfRule type="containsText" dxfId="36" priority="8" operator="containsText" text="ja">
      <formula>NOT(ISERROR(SEARCH("ja",BI26)))</formula>
    </cfRule>
  </conditionalFormatting>
  <conditionalFormatting sqref="BI36">
    <cfRule type="containsText" dxfId="35" priority="5" operator="containsText" text="nee">
      <formula>NOT(ISERROR(SEARCH("nee",BI36)))</formula>
    </cfRule>
    <cfRule type="containsText" dxfId="34" priority="6" operator="containsText" text="ja">
      <formula>NOT(ISERROR(SEARCH("ja",BI36)))</formula>
    </cfRule>
  </conditionalFormatting>
  <conditionalFormatting sqref="BI46">
    <cfRule type="containsText" dxfId="33" priority="3" operator="containsText" text="nee">
      <formula>NOT(ISERROR(SEARCH("nee",BI46)))</formula>
    </cfRule>
    <cfRule type="containsText" dxfId="32" priority="4" operator="containsText" text="ja">
      <formula>NOT(ISERROR(SEARCH("ja",BI46)))</formula>
    </cfRule>
  </conditionalFormatting>
  <conditionalFormatting sqref="BI56">
    <cfRule type="containsText" dxfId="31" priority="1" operator="containsText" text="nee">
      <formula>NOT(ISERROR(SEARCH("nee",BI56)))</formula>
    </cfRule>
    <cfRule type="containsText" dxfId="30" priority="2" operator="containsText" text="ja">
      <formula>NOT(ISERROR(SEARCH("ja",BI56)))</formula>
    </cfRule>
  </conditionalFormatting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>
    <tabColor theme="3" tint="0.59999389629810485"/>
  </sheetPr>
  <dimension ref="A1:CA162"/>
  <sheetViews>
    <sheetView topLeftCell="BR1" workbookViewId="0">
      <selection activeCell="CM3" sqref="CM3"/>
    </sheetView>
  </sheetViews>
  <sheetFormatPr defaultRowHeight="15"/>
  <cols>
    <col min="1" max="1" width="42.85546875" bestFit="1" customWidth="1"/>
    <col min="2" max="2" width="33.28515625" bestFit="1" customWidth="1"/>
    <col min="4" max="4" width="13.7109375" bestFit="1" customWidth="1"/>
    <col min="5" max="5" width="13.7109375" customWidth="1"/>
    <col min="7" max="7" width="11.85546875" customWidth="1"/>
    <col min="8" max="8" width="14.28515625" bestFit="1" customWidth="1"/>
    <col min="9" max="9" width="3.85546875" customWidth="1"/>
    <col min="10" max="10" width="24.5703125" customWidth="1"/>
    <col min="11" max="11" width="5.28515625" customWidth="1"/>
    <col min="13" max="13" width="19.7109375" customWidth="1"/>
    <col min="15" max="15" width="13.7109375" style="203" customWidth="1"/>
    <col min="18" max="18" width="26.7109375" bestFit="1" customWidth="1"/>
    <col min="19" max="19" width="10.42578125" customWidth="1"/>
    <col min="20" max="20" width="16.42578125" bestFit="1" customWidth="1"/>
    <col min="21" max="21" width="52.5703125" bestFit="1" customWidth="1"/>
    <col min="25" max="25" width="10.140625" customWidth="1"/>
    <col min="26" max="28" width="8.85546875" customWidth="1"/>
    <col min="33" max="33" width="10.5703125" bestFit="1" customWidth="1"/>
    <col min="39" max="39" width="2.7109375" customWidth="1"/>
    <col min="44" max="44" width="11.42578125" customWidth="1"/>
    <col min="45" max="45" width="8.5703125" customWidth="1"/>
    <col min="49" max="49" width="4.42578125" customWidth="1"/>
    <col min="50" max="50" width="8.28515625" customWidth="1"/>
    <col min="52" max="52" width="1.42578125" customWidth="1"/>
    <col min="53" max="53" width="11.42578125" customWidth="1"/>
    <col min="54" max="54" width="3.5703125" customWidth="1"/>
    <col min="55" max="55" width="9.85546875" customWidth="1"/>
    <col min="56" max="56" width="4.28515625" style="203" customWidth="1"/>
    <col min="60" max="60" width="4.5703125" customWidth="1"/>
    <col min="61" max="61" width="17" customWidth="1"/>
    <col min="62" max="62" width="31.140625" customWidth="1"/>
    <col min="64" max="64" width="19.42578125" bestFit="1" customWidth="1"/>
    <col min="65" max="65" width="8.5703125" customWidth="1"/>
    <col min="66" max="66" width="8" customWidth="1"/>
    <col min="67" max="67" width="9.5703125" customWidth="1"/>
    <col min="68" max="68" width="9.42578125" customWidth="1"/>
    <col min="69" max="69" width="4.7109375" customWidth="1"/>
    <col min="72" max="72" width="1.140625" customWidth="1"/>
    <col min="74" max="74" width="4.28515625" customWidth="1"/>
    <col min="76" max="76" width="2.85546875" customWidth="1"/>
  </cols>
  <sheetData>
    <row r="1" spans="1:79" s="106" customFormat="1">
      <c r="A1" s="125"/>
      <c r="B1" s="164"/>
      <c r="C1" s="126"/>
      <c r="D1" s="126"/>
      <c r="E1" s="126"/>
      <c r="F1" s="126"/>
      <c r="G1" s="126"/>
      <c r="H1" s="126"/>
      <c r="I1" s="126"/>
      <c r="J1" s="164"/>
      <c r="K1" s="126"/>
      <c r="L1" s="125"/>
      <c r="M1" s="126"/>
      <c r="N1" s="126"/>
      <c r="O1" s="441"/>
      <c r="P1" s="126"/>
      <c r="Q1" s="126"/>
      <c r="R1" s="126"/>
      <c r="S1" s="126"/>
      <c r="T1" s="126"/>
      <c r="U1" s="164"/>
      <c r="V1" s="126"/>
      <c r="W1" s="974" t="s">
        <v>362</v>
      </c>
      <c r="X1" s="975"/>
      <c r="Y1" s="975"/>
      <c r="Z1" s="975"/>
      <c r="AA1" s="975"/>
      <c r="AB1" s="975"/>
      <c r="AC1" s="975"/>
      <c r="AD1" s="975"/>
      <c r="AE1" s="975"/>
      <c r="AF1" s="975"/>
      <c r="AG1" s="976"/>
      <c r="AH1" s="218"/>
      <c r="AI1" s="969" t="s">
        <v>363</v>
      </c>
      <c r="AJ1" s="970"/>
      <c r="AK1" s="970"/>
      <c r="AL1" s="970"/>
      <c r="AM1" s="970"/>
      <c r="AN1" s="970"/>
      <c r="AO1" s="970"/>
      <c r="AP1" s="970"/>
      <c r="AQ1" s="970"/>
      <c r="AR1" s="970"/>
      <c r="AS1" s="970"/>
      <c r="AT1" s="970"/>
      <c r="AU1" s="970"/>
      <c r="AV1" s="970"/>
      <c r="AW1" s="210"/>
      <c r="AX1" s="964" t="s">
        <v>364</v>
      </c>
      <c r="AY1" s="964"/>
      <c r="AZ1" s="964"/>
      <c r="BA1" s="964"/>
      <c r="BB1" s="210"/>
      <c r="BC1" s="212"/>
      <c r="BD1" s="208"/>
      <c r="BE1" s="965" t="s">
        <v>365</v>
      </c>
      <c r="BF1" s="966"/>
      <c r="BG1" s="967"/>
      <c r="BH1" s="176"/>
      <c r="BI1" s="180" t="s">
        <v>366</v>
      </c>
      <c r="BJ1" s="181"/>
      <c r="BK1" s="172"/>
      <c r="BL1" s="172"/>
      <c r="BM1" s="968" t="s">
        <v>505</v>
      </c>
      <c r="BN1" s="968"/>
      <c r="BO1" s="968"/>
      <c r="BP1" s="968"/>
      <c r="BR1" s="964" t="s">
        <v>504</v>
      </c>
      <c r="BS1" s="964"/>
      <c r="BT1" s="964"/>
      <c r="BU1" s="964"/>
      <c r="BW1" s="204" t="s">
        <v>506</v>
      </c>
      <c r="BY1" s="965" t="s">
        <v>503</v>
      </c>
      <c r="BZ1" s="966"/>
      <c r="CA1" s="967"/>
    </row>
    <row r="2" spans="1:79" s="106" customFormat="1">
      <c r="A2" s="127"/>
      <c r="B2" s="200"/>
      <c r="C2" s="972" t="s">
        <v>367</v>
      </c>
      <c r="D2" s="972"/>
      <c r="E2" s="972"/>
      <c r="F2" s="972"/>
      <c r="G2" s="972"/>
      <c r="H2" s="972"/>
      <c r="I2" s="972"/>
      <c r="J2" s="973"/>
      <c r="K2" s="217"/>
      <c r="L2" s="971" t="s">
        <v>368</v>
      </c>
      <c r="M2" s="972"/>
      <c r="N2" s="972"/>
      <c r="O2" s="972"/>
      <c r="P2" s="972"/>
      <c r="Q2" s="972"/>
      <c r="R2" s="972"/>
      <c r="S2" s="972"/>
      <c r="T2" s="972"/>
      <c r="U2" s="973"/>
      <c r="V2" s="217"/>
      <c r="W2" s="978" t="s">
        <v>146</v>
      </c>
      <c r="X2" s="977"/>
      <c r="Y2" s="977"/>
      <c r="Z2" s="977"/>
      <c r="AA2" s="977"/>
      <c r="AB2" s="977"/>
      <c r="AC2" s="977" t="s">
        <v>145</v>
      </c>
      <c r="AD2" s="977"/>
      <c r="AE2" s="977"/>
      <c r="AF2" s="977"/>
      <c r="AG2" s="157" t="s">
        <v>369</v>
      </c>
      <c r="AH2" s="128"/>
      <c r="AI2" s="980" t="s">
        <v>146</v>
      </c>
      <c r="AJ2" s="968"/>
      <c r="AK2" s="968"/>
      <c r="AL2" s="968"/>
      <c r="AM2" s="968"/>
      <c r="AN2" s="968"/>
      <c r="AO2" s="968"/>
      <c r="AP2" s="968" t="s">
        <v>145</v>
      </c>
      <c r="AQ2" s="968"/>
      <c r="AR2" s="968"/>
      <c r="AS2" s="968"/>
      <c r="AT2" s="968"/>
      <c r="AU2" s="968"/>
      <c r="AV2" s="204" t="s">
        <v>369</v>
      </c>
      <c r="AW2" s="205"/>
      <c r="AX2" s="917"/>
      <c r="AY2" s="917"/>
      <c r="AZ2" s="917"/>
      <c r="BA2" s="917"/>
      <c r="BB2" s="205"/>
      <c r="BC2" s="213" t="s">
        <v>371</v>
      </c>
      <c r="BD2" s="177"/>
      <c r="BE2" s="138"/>
      <c r="BF2" s="130"/>
      <c r="BG2" s="131"/>
      <c r="BH2" s="177"/>
      <c r="BI2" s="174"/>
      <c r="BJ2" s="175"/>
      <c r="BK2" s="172"/>
      <c r="BL2" s="172"/>
      <c r="BM2" s="204"/>
      <c r="BN2" s="204"/>
      <c r="BO2" s="204"/>
      <c r="BP2" s="204"/>
      <c r="BQ2" s="205"/>
      <c r="BR2" s="917"/>
      <c r="BS2" s="917"/>
      <c r="BT2" s="917"/>
      <c r="BU2" s="917"/>
      <c r="BV2" s="205"/>
      <c r="BW2" s="213" t="s">
        <v>371</v>
      </c>
      <c r="BX2" s="177"/>
      <c r="BY2" s="138"/>
      <c r="BZ2" s="130"/>
      <c r="CA2" s="131"/>
    </row>
    <row r="3" spans="1:79" s="124" customFormat="1" ht="75">
      <c r="A3" s="132" t="s">
        <v>372</v>
      </c>
      <c r="B3" s="165" t="s">
        <v>373</v>
      </c>
      <c r="C3" s="133" t="s">
        <v>136</v>
      </c>
      <c r="D3" s="133" t="s">
        <v>374</v>
      </c>
      <c r="E3" s="133" t="s">
        <v>39</v>
      </c>
      <c r="F3" s="133" t="s">
        <v>402</v>
      </c>
      <c r="G3" s="133" t="s">
        <v>403</v>
      </c>
      <c r="H3" s="133" t="s">
        <v>404</v>
      </c>
      <c r="I3" s="133"/>
      <c r="J3" s="165" t="s">
        <v>36</v>
      </c>
      <c r="K3" s="133"/>
      <c r="L3" s="132" t="s">
        <v>137</v>
      </c>
      <c r="M3" s="133" t="s">
        <v>120</v>
      </c>
      <c r="N3" s="133" t="s">
        <v>405</v>
      </c>
      <c r="O3" s="133" t="s">
        <v>376</v>
      </c>
      <c r="P3" s="133" t="s">
        <v>406</v>
      </c>
      <c r="Q3" s="133" t="s">
        <v>407</v>
      </c>
      <c r="R3" s="133" t="s">
        <v>408</v>
      </c>
      <c r="S3" s="133" t="s">
        <v>409</v>
      </c>
      <c r="T3" s="133" t="s">
        <v>410</v>
      </c>
      <c r="U3" s="165" t="s">
        <v>379</v>
      </c>
      <c r="V3" s="133"/>
      <c r="W3" s="158" t="s">
        <v>380</v>
      </c>
      <c r="X3" s="134" t="s">
        <v>146</v>
      </c>
      <c r="Y3" s="134" t="s">
        <v>411</v>
      </c>
      <c r="Z3" s="134" t="s">
        <v>20</v>
      </c>
      <c r="AA3" s="134" t="s">
        <v>382</v>
      </c>
      <c r="AB3" s="134" t="s">
        <v>383</v>
      </c>
      <c r="AC3" s="134" t="s">
        <v>145</v>
      </c>
      <c r="AD3" s="134" t="s">
        <v>412</v>
      </c>
      <c r="AE3" s="134" t="s">
        <v>21</v>
      </c>
      <c r="AF3" s="134" t="s">
        <v>385</v>
      </c>
      <c r="AG3" s="159" t="s">
        <v>386</v>
      </c>
      <c r="AH3" s="134"/>
      <c r="AI3" s="146" t="s">
        <v>387</v>
      </c>
      <c r="AJ3" s="135" t="s">
        <v>163</v>
      </c>
      <c r="AK3" s="135" t="s">
        <v>164</v>
      </c>
      <c r="AL3" s="135" t="s">
        <v>388</v>
      </c>
      <c r="AM3" s="135"/>
      <c r="AN3" s="135" t="s">
        <v>382</v>
      </c>
      <c r="AO3" s="135" t="s">
        <v>383</v>
      </c>
      <c r="AP3" s="135" t="s">
        <v>390</v>
      </c>
      <c r="AQ3" s="135" t="s">
        <v>145</v>
      </c>
      <c r="AR3" s="135" t="s">
        <v>391</v>
      </c>
      <c r="AS3" s="135" t="s">
        <v>413</v>
      </c>
      <c r="AT3" s="135" t="s">
        <v>414</v>
      </c>
      <c r="AU3" s="135" t="s">
        <v>385</v>
      </c>
      <c r="AV3" s="135" t="s">
        <v>386</v>
      </c>
      <c r="AW3" s="206"/>
      <c r="AX3" s="211" t="s">
        <v>393</v>
      </c>
      <c r="AY3" s="211" t="s">
        <v>394</v>
      </c>
      <c r="AZ3" s="211"/>
      <c r="BA3" s="211" t="s">
        <v>395</v>
      </c>
      <c r="BB3" s="206"/>
      <c r="BC3" s="214" t="s">
        <v>396</v>
      </c>
      <c r="BD3" s="206"/>
      <c r="BE3" s="139" t="s">
        <v>397</v>
      </c>
      <c r="BF3" s="136" t="s">
        <v>398</v>
      </c>
      <c r="BG3" s="137" t="s">
        <v>399</v>
      </c>
      <c r="BH3" s="178"/>
      <c r="BI3" s="182" t="s">
        <v>400</v>
      </c>
      <c r="BJ3" s="183" t="s">
        <v>401</v>
      </c>
      <c r="BK3" s="173"/>
      <c r="BL3" s="124" t="s">
        <v>1341</v>
      </c>
      <c r="BM3" s="267" t="s">
        <v>382</v>
      </c>
      <c r="BN3" s="267" t="s">
        <v>383</v>
      </c>
      <c r="BO3" s="267" t="s">
        <v>385</v>
      </c>
      <c r="BP3" s="267" t="s">
        <v>507</v>
      </c>
      <c r="BQ3" s="206"/>
      <c r="BR3" s="211" t="s">
        <v>1647</v>
      </c>
      <c r="BS3" s="211" t="s">
        <v>394</v>
      </c>
      <c r="BT3" s="211"/>
      <c r="BU3" s="211" t="s">
        <v>395</v>
      </c>
      <c r="BV3" s="206"/>
      <c r="BW3" s="214" t="s">
        <v>500</v>
      </c>
      <c r="BX3" s="206"/>
      <c r="BY3" s="139" t="s">
        <v>397</v>
      </c>
      <c r="BZ3" s="136" t="s">
        <v>398</v>
      </c>
      <c r="CA3" s="137" t="s">
        <v>399</v>
      </c>
    </row>
    <row r="4" spans="1:79">
      <c r="A4" s="160" t="str">
        <f t="shared" ref="A4:A35" si="0">C4&amp;D4&amp;E4&amp;G4&amp;H4</f>
        <v>1ADSLBasicnationaal384/128</v>
      </c>
      <c r="B4" s="142" t="str">
        <f t="shared" ref="B4:B35" si="1">C4&amp;D4&amp;H4&amp;E4</f>
        <v>1ADSL384/128Basic</v>
      </c>
      <c r="C4" s="198">
        <v>1</v>
      </c>
      <c r="D4" s="198" t="s">
        <v>42</v>
      </c>
      <c r="E4" s="198" t="s">
        <v>44</v>
      </c>
      <c r="F4" s="198" t="s">
        <v>115</v>
      </c>
      <c r="G4" s="199" t="s">
        <v>113</v>
      </c>
      <c r="H4" s="198" t="s">
        <v>47</v>
      </c>
      <c r="J4" s="142" t="str">
        <f t="shared" ref="J4:J35" si="2">D4&amp;H4&amp;E4</f>
        <v>ADSL384/128Basic</v>
      </c>
      <c r="L4" s="160">
        <f>INDEX(Mapping!$J:$J,MATCH(C$3&amp;C4,Mapping!$B:$B,0))</f>
        <v>1</v>
      </c>
      <c r="M4" s="148" t="str">
        <f>INDEX(Mapping!$H:$H,MATCH($E4,Mapping!$B:$B,0))</f>
        <v>WBA CM Ethernet</v>
      </c>
      <c r="N4" s="148" t="str">
        <f>INDEX(Mapping!$I:$I,MATCH($E4&amp;$G4,Mapping!$B:$B,0))</f>
        <v>entry</v>
      </c>
      <c r="O4" s="148" t="str">
        <f>INDEX(Mapping!$I:$I,MATCH($D4,Mapping!$B:$B,0))</f>
        <v>ADSL</v>
      </c>
      <c r="P4" s="148" t="str">
        <f>INDEX(Mapping!$H:$H,MATCH($F4,Mapping!$B:$B,0))</f>
        <v>nvt</v>
      </c>
      <c r="Q4" s="148" t="str">
        <f>INDEX(Mapping!$J:$J,MATCH($E4&amp;$G4,Mapping!$B:$B,0))</f>
        <v>national</v>
      </c>
      <c r="R4" s="148" t="str">
        <f>INDEX(Mapping!$I:$I,MATCH($J4,Mapping!$B:$B,0))</f>
        <v>&lt;= 512 kbps/&lt;= 256 kbps</v>
      </c>
      <c r="T4" s="148" t="str">
        <f>INDEX(Mapping!$K:$K,MATCH($E4&amp;$G4,Mapping!$B:$B,0))</f>
        <v>nvt</v>
      </c>
      <c r="U4" s="142" t="str">
        <f t="shared" ref="U4:U35" si="3">M4&amp;R4&amp;N4&amp;Q4</f>
        <v>WBA CM Ethernet&lt;= 512 kbps/&lt;= 256 kbpsentrynational</v>
      </c>
      <c r="W4" s="160">
        <f>MATCH($J4,'Tarieven ZM'!$B:$B,0)</f>
        <v>8</v>
      </c>
      <c r="X4" s="148">
        <f>INDEX('Tarieven ZM'!$H:$H,$W4)</f>
        <v>1000</v>
      </c>
      <c r="Y4" s="161">
        <f>-INDEX(Parameters!$B:$B,MATCH(Y$3,Parameters!$A:$A,0))*$X4</f>
        <v>0</v>
      </c>
      <c r="Z4" s="149">
        <f>-INDEX(Parameters!$B:$B,MATCH(Z$3,Parameters!$A:$A,0))*$X4</f>
        <v>0</v>
      </c>
      <c r="AA4" s="148">
        <f t="shared" ref="AA4:AA35" si="4">SUM(X4:Z4)</f>
        <v>1000</v>
      </c>
      <c r="AB4" s="148">
        <f>AA4/INDEX(Parameters!$B:$B,MATCH("AfschrijftermijnVVE"&amp;12*$C4,Parameters!$A:$A,0))</f>
        <v>27.777777777777779</v>
      </c>
      <c r="AC4" s="148">
        <f>INDEX('Tarieven ZM'!$G:$G,$W4)</f>
        <v>1000</v>
      </c>
      <c r="AD4" s="161">
        <f>-INDEX(Parameters!$B:$B,MATCH(AD$3,Parameters!$A:$A,0))*$AC4</f>
        <v>0</v>
      </c>
      <c r="AE4" s="161">
        <f>-INDEX(Parameters!$B:$B,MATCH(AE$3,Parameters!$A:$A,0))*$AC4</f>
        <v>0</v>
      </c>
      <c r="AF4" s="148">
        <f t="shared" ref="AF4:AF35" si="5">SUM(AC4:AE4)</f>
        <v>1000</v>
      </c>
      <c r="AG4" s="151">
        <f t="shared" ref="AG4:AG35" si="6">SUM(AB4,AF4)</f>
        <v>1027.7777777777778</v>
      </c>
      <c r="AH4" s="123"/>
      <c r="AI4" s="147">
        <f>IF(R4&lt;&gt;"n.a.",MATCH($U4,'Tarieven W&amp;O'!$B:$B,0),"nvt")</f>
        <v>115</v>
      </c>
      <c r="AJ4" s="148">
        <f>IF(AI4&lt;&gt;"nvt",INDEX('Tarieven W&amp;O'!$H:$H,$AI4),0)</f>
        <v>0</v>
      </c>
      <c r="AK4" s="148">
        <f>IF(AI4&lt;&gt;"nvt",INDEX('Tarieven W&amp;O'!$I:$I,$AI4),0)</f>
        <v>5</v>
      </c>
      <c r="AL4" s="277">
        <f>IF(AI4&lt;&gt;"nvt",-INDEX(Parameters!$B:$B,MATCH(AL$3&amp;$M4,Parameters!$A:$A,0))*(AJ4+AK4),0)</f>
        <v>0</v>
      </c>
      <c r="AM4" s="442"/>
      <c r="AN4" s="262">
        <f t="shared" ref="AN4:AN35" si="7">SUM(AJ4:AM4)</f>
        <v>5</v>
      </c>
      <c r="AO4" s="262">
        <f>AN4/INDEX(Parameters!$B:$B,MATCH("AfschrijftermijnVVE"&amp;12*$C4,Parameters!$A:$A,0))</f>
        <v>0.1388888888888889</v>
      </c>
      <c r="AP4" s="179">
        <f t="shared" ref="AP4:AP35" si="8">AI4</f>
        <v>115</v>
      </c>
      <c r="AQ4" s="202">
        <f>IF(AP4&lt;&gt;"nvt",INDEX('Tarieven W&amp;O'!$G:$G,$AP4),0)</f>
        <v>3.02</v>
      </c>
      <c r="AR4" s="277">
        <f>-INDEX(Parameters!$B:$B,MATCH(AR$3&amp;$M4&amp;O4,Parameters!$A:$A,0))*(AQ4)</f>
        <v>-0.30200000000000005</v>
      </c>
      <c r="AS4" s="262">
        <f>Parameters!$D$54</f>
        <v>2</v>
      </c>
      <c r="AT4" s="442">
        <f>IF(M4="WBA CM Ethernet",0,'EDC Minus'!$H$27)</f>
        <v>0</v>
      </c>
      <c r="AU4" s="150">
        <f t="shared" ref="AU4:AU35" si="9">SUM(AQ4:AT4)</f>
        <v>4.718</v>
      </c>
      <c r="AV4" s="150">
        <f t="shared" ref="AV4:AV35" si="10">SUM(AO4,AU4)</f>
        <v>4.8568888888888893</v>
      </c>
      <c r="AW4" s="150"/>
      <c r="AX4" s="150">
        <f>Parameters!$B$6*AV4</f>
        <v>4.8568888888888891E-2</v>
      </c>
      <c r="AY4" s="202">
        <v>0</v>
      </c>
      <c r="AZ4" s="202"/>
      <c r="BA4" s="150">
        <f t="shared" ref="BA4:BA35" si="11">SUM(AX4:AZ4)</f>
        <v>4.8568888888888891E-2</v>
      </c>
      <c r="BB4" s="150"/>
      <c r="BC4" s="151">
        <f t="shared" ref="BC4:BC35" si="12">SUM(AV4,BA4)</f>
        <v>4.9054577777777784</v>
      </c>
      <c r="BD4" s="209"/>
      <c r="BE4" s="140">
        <f t="shared" ref="BE4:BE35" si="13">AG4-BC4</f>
        <v>1022.8723200000001</v>
      </c>
      <c r="BF4" s="141">
        <f t="shared" ref="BF4:BF35" si="14">IF(AG4=0,-999%,BE4/AG4)</f>
        <v>0.99522712216216214</v>
      </c>
      <c r="BG4" s="142" t="b">
        <f t="shared" ref="BG4:BG35" si="15">BF4&lt;0</f>
        <v>0</v>
      </c>
      <c r="BH4" s="179"/>
      <c r="BI4" s="188" t="s">
        <v>538</v>
      </c>
      <c r="BJ4" s="189"/>
      <c r="BK4">
        <f>VLOOKUP(J4,'Tarieven ZM'!$B$7:$I$146,8,0)</f>
        <v>0</v>
      </c>
      <c r="BL4" s="179" t="str">
        <f>INDEX(Mapping!$M:$M,MATCH($J4,Mapping!$B:$B,0))</f>
        <v>nvt</v>
      </c>
      <c r="BM4" s="282">
        <v>0</v>
      </c>
      <c r="BN4" s="262">
        <f>BM4/INDEX(Parameters!$B:$B,MATCH("AfschrijftermijnVVE"&amp;12*$C4,Parameters!$A:$A,0))</f>
        <v>0</v>
      </c>
      <c r="BO4" s="262">
        <f>Parameters!$D$59+INDEX('inkoop ULL tbv Epacity'!I:I,MATCH($BL4,'inkoop ULL tbv Epacity'!H:H,0))</f>
        <v>1</v>
      </c>
      <c r="BP4" s="263">
        <f t="shared" ref="BP4:BP50" si="16">BN4+BO4</f>
        <v>1</v>
      </c>
      <c r="BQ4" s="203"/>
      <c r="BR4" s="262">
        <f>Parameters!$B$12*AG4</f>
        <v>102.77777777777779</v>
      </c>
      <c r="BS4" s="262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SUM(Distributievergoedingen!$F$12,Distributievergoedingen!$I$12,Distributievergoedingen!$L$12,Distributievergoedingen!$O$12)*AF4+SUM(Distributievergoedingen!$O$12*AA4+Distributievergoedingen!$R$12+Distributievergoedingen!$U$12+Distributievergoedingen!$X$12)/(MAX(36,12*L4))</f>
        <v>112.77777777777777</v>
      </c>
      <c r="BT4" s="202"/>
      <c r="BU4" s="202">
        <f t="shared" ref="BU4:BU35" si="17">SUM(BR4:BT4)</f>
        <v>215.55555555555554</v>
      </c>
      <c r="BW4" s="151">
        <f t="shared" ref="BW4:BW35" si="18">SUM(BP4,BU4)</f>
        <v>216.55555555555554</v>
      </c>
      <c r="BY4" s="140">
        <f t="shared" ref="BY4:BY35" si="19">AG4-BW4</f>
        <v>811.22222222222229</v>
      </c>
      <c r="BZ4" s="141">
        <f t="shared" ref="BZ4:BZ35" si="20">IF(AG4=0,-999%,BY4/AG4)</f>
        <v>0.78929729729729736</v>
      </c>
      <c r="CA4" s="142" t="b">
        <f t="shared" ref="CA4:CA35" si="21">BZ4&lt;0</f>
        <v>0</v>
      </c>
    </row>
    <row r="5" spans="1:79">
      <c r="A5" s="160" t="str">
        <f t="shared" si="0"/>
        <v>1ADSLBasicnationaal512/256</v>
      </c>
      <c r="B5" s="142" t="str">
        <f t="shared" si="1"/>
        <v>1ADSL512/256Basic</v>
      </c>
      <c r="C5" s="198">
        <v>1</v>
      </c>
      <c r="D5" s="198" t="s">
        <v>42</v>
      </c>
      <c r="E5" s="198" t="s">
        <v>44</v>
      </c>
      <c r="F5" s="198" t="s">
        <v>115</v>
      </c>
      <c r="G5" s="199" t="s">
        <v>113</v>
      </c>
      <c r="H5" s="198" t="s">
        <v>49</v>
      </c>
      <c r="J5" s="142" t="str">
        <f t="shared" si="2"/>
        <v>ADSL512/256Basic</v>
      </c>
      <c r="L5" s="160">
        <f>INDEX(Mapping!$J:$J,MATCH(C$3&amp;C5,Mapping!$B:$B,0))</f>
        <v>1</v>
      </c>
      <c r="M5" s="148" t="str">
        <f>INDEX(Mapping!$H:$H,MATCH($E5,Mapping!$B:$B,0))</f>
        <v>WBA CM Ethernet</v>
      </c>
      <c r="N5" s="148" t="str">
        <f>INDEX(Mapping!$I:$I,MATCH($E5&amp;$G5,Mapping!$B:$B,0))</f>
        <v>entry</v>
      </c>
      <c r="O5" s="148" t="str">
        <f>INDEX(Mapping!$I:$I,MATCH($D5,Mapping!$B:$B,0))</f>
        <v>ADSL</v>
      </c>
      <c r="P5" s="148" t="str">
        <f>INDEX(Mapping!$H:$H,MATCH($F5,Mapping!$B:$B,0))</f>
        <v>nvt</v>
      </c>
      <c r="Q5" s="148" t="str">
        <f>INDEX(Mapping!$J:$J,MATCH($E5&amp;$G5,Mapping!$B:$B,0))</f>
        <v>national</v>
      </c>
      <c r="R5" s="148" t="str">
        <f>INDEX(Mapping!$I:$I,MATCH($J5,Mapping!$B:$B,0))</f>
        <v>&lt;= 512 kbps/&lt;= 256 kbps</v>
      </c>
      <c r="T5" s="148" t="str">
        <f>INDEX(Mapping!$K:$K,MATCH($E5&amp;$G5,Mapping!$B:$B,0))</f>
        <v>nvt</v>
      </c>
      <c r="U5" s="142" t="str">
        <f t="shared" si="3"/>
        <v>WBA CM Ethernet&lt;= 512 kbps/&lt;= 256 kbpsentrynational</v>
      </c>
      <c r="W5" s="160">
        <f>MATCH($J5,'Tarieven ZM'!$B:$B,0)</f>
        <v>9</v>
      </c>
      <c r="X5" s="148">
        <f>INDEX('Tarieven ZM'!$H:$H,$W5)</f>
        <v>1000</v>
      </c>
      <c r="Y5" s="161">
        <f>-INDEX(Parameters!$B:$B,MATCH(Y$3,Parameters!$A:$A,0))*$X5</f>
        <v>0</v>
      </c>
      <c r="Z5" s="149">
        <f>-INDEX(Parameters!$B:$B,MATCH(Z$3,Parameters!$A:$A,0))*$X5</f>
        <v>0</v>
      </c>
      <c r="AA5" s="148">
        <f t="shared" si="4"/>
        <v>1000</v>
      </c>
      <c r="AB5" s="148">
        <f>AA5/INDEX(Parameters!$B:$B,MATCH("AfschrijftermijnVVE"&amp;12*$C5,Parameters!$A:$A,0))</f>
        <v>27.777777777777779</v>
      </c>
      <c r="AC5" s="148">
        <f>INDEX('Tarieven ZM'!$G:$G,$W5)</f>
        <v>1000</v>
      </c>
      <c r="AD5" s="161">
        <f>-INDEX(Parameters!$B:$B,MATCH(AD$3,Parameters!$A:$A,0))*$AC5</f>
        <v>0</v>
      </c>
      <c r="AE5" s="161">
        <f>-INDEX(Parameters!$B:$B,MATCH(AE$3,Parameters!$A:$A,0))*$AC5</f>
        <v>0</v>
      </c>
      <c r="AF5" s="148">
        <f t="shared" si="5"/>
        <v>1000</v>
      </c>
      <c r="AG5" s="151">
        <f t="shared" si="6"/>
        <v>1027.7777777777778</v>
      </c>
      <c r="AH5" s="123"/>
      <c r="AI5" s="147">
        <f>IF(R5&lt;&gt;"n.a.",MATCH($U5,'Tarieven W&amp;O'!$B:$B,0),"nvt")</f>
        <v>115</v>
      </c>
      <c r="AJ5" s="148">
        <f>IF(AI5&lt;&gt;"nvt",INDEX('Tarieven W&amp;O'!$H:$H,$AI5),0)</f>
        <v>0</v>
      </c>
      <c r="AK5" s="148">
        <f>IF(AI5&lt;&gt;"nvt",INDEX('Tarieven W&amp;O'!$I:$I,$AI5),0)</f>
        <v>5</v>
      </c>
      <c r="AL5" s="277">
        <f>IF(AI5&lt;&gt;"nvt",-INDEX(Parameters!$B:$B,MATCH(AL$3&amp;$M5,Parameters!$A:$A,0))*(AJ5+AK5),0)</f>
        <v>0</v>
      </c>
      <c r="AM5" s="442"/>
      <c r="AN5" s="262">
        <f t="shared" si="7"/>
        <v>5</v>
      </c>
      <c r="AO5" s="262">
        <f>AN5/INDEX(Parameters!$B:$B,MATCH("AfschrijftermijnVVE"&amp;12*$C5,Parameters!$A:$A,0))</f>
        <v>0.1388888888888889</v>
      </c>
      <c r="AP5" s="179">
        <f t="shared" si="8"/>
        <v>115</v>
      </c>
      <c r="AQ5" s="202">
        <f>IF(AP5&lt;&gt;"nvt",INDEX('Tarieven W&amp;O'!$G:$G,$AP5),0)</f>
        <v>3.02</v>
      </c>
      <c r="AR5" s="277">
        <f>-INDEX(Parameters!$B:$B,MATCH(AR$3&amp;$M5&amp;O5,Parameters!$A:$A,0))*(AQ5)</f>
        <v>-0.30200000000000005</v>
      </c>
      <c r="AS5" s="262">
        <f>Parameters!$D$54</f>
        <v>2</v>
      </c>
      <c r="AT5" s="442">
        <f>IF(M5="WBA CM Ethernet",0,'EDC Minus'!$H$27)</f>
        <v>0</v>
      </c>
      <c r="AU5" s="150">
        <f t="shared" si="9"/>
        <v>4.718</v>
      </c>
      <c r="AV5" s="150">
        <f t="shared" si="10"/>
        <v>4.8568888888888893</v>
      </c>
      <c r="AW5" s="150"/>
      <c r="AX5" s="150">
        <f>Parameters!$B$6*AV5</f>
        <v>4.8568888888888891E-2</v>
      </c>
      <c r="AY5" s="202">
        <v>0</v>
      </c>
      <c r="AZ5" s="202"/>
      <c r="BA5" s="150">
        <f t="shared" si="11"/>
        <v>4.8568888888888891E-2</v>
      </c>
      <c r="BB5" s="150"/>
      <c r="BC5" s="151">
        <f t="shared" si="12"/>
        <v>4.9054577777777784</v>
      </c>
      <c r="BD5" s="209"/>
      <c r="BE5" s="140">
        <f t="shared" si="13"/>
        <v>1022.8723200000001</v>
      </c>
      <c r="BF5" s="141">
        <f t="shared" si="14"/>
        <v>0.99522712216216214</v>
      </c>
      <c r="BG5" s="142" t="b">
        <f t="shared" si="15"/>
        <v>0</v>
      </c>
      <c r="BH5" s="148"/>
      <c r="BI5" s="188" t="s">
        <v>538</v>
      </c>
      <c r="BJ5" s="189"/>
      <c r="BK5">
        <f>VLOOKUP(J5,'Tarieven ZM'!$B$7:$I$146,8,0)</f>
        <v>0</v>
      </c>
      <c r="BL5" s="179" t="str">
        <f>INDEX(Mapping!$M:$M,MATCH($J5,Mapping!$B:$B,0))</f>
        <v>nvt</v>
      </c>
      <c r="BM5" s="282">
        <v>0</v>
      </c>
      <c r="BN5" s="262">
        <f>BM5/INDEX(Parameters!$B:$B,MATCH("AfschrijftermijnVVE"&amp;12*$C5,Parameters!$A:$A,0))</f>
        <v>0</v>
      </c>
      <c r="BO5" s="262">
        <f>Parameters!$D$59+INDEX('inkoop ULL tbv Epacity'!I:I,MATCH($BL5,'inkoop ULL tbv Epacity'!H:H,0))</f>
        <v>1</v>
      </c>
      <c r="BP5" s="263">
        <f t="shared" si="16"/>
        <v>1</v>
      </c>
      <c r="BQ5" s="203"/>
      <c r="BR5" s="262">
        <f>Parameters!$B$12*AG5</f>
        <v>102.77777777777779</v>
      </c>
      <c r="BS5" s="262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SUM(Distributievergoedingen!$F$12,Distributievergoedingen!$I$12,Distributievergoedingen!$L$12,Distributievergoedingen!$O$12)*AF5+SUM(Distributievergoedingen!$O$12*AA5+Distributievergoedingen!$R$12+Distributievergoedingen!$U$12+Distributievergoedingen!$X$12)/(MAX(36,12*L5))</f>
        <v>112.77777777777777</v>
      </c>
      <c r="BT5" s="202"/>
      <c r="BU5" s="202">
        <f t="shared" si="17"/>
        <v>215.55555555555554</v>
      </c>
      <c r="BW5" s="151">
        <f t="shared" si="18"/>
        <v>216.55555555555554</v>
      </c>
      <c r="BY5" s="140">
        <f t="shared" si="19"/>
        <v>811.22222222222229</v>
      </c>
      <c r="BZ5" s="141">
        <f t="shared" si="20"/>
        <v>0.78929729729729736</v>
      </c>
      <c r="CA5" s="142" t="b">
        <f t="shared" si="21"/>
        <v>0</v>
      </c>
    </row>
    <row r="6" spans="1:79">
      <c r="A6" s="160" t="str">
        <f t="shared" si="0"/>
        <v>1ADSLBasicnationaal1024/512</v>
      </c>
      <c r="B6" s="142" t="str">
        <f t="shared" si="1"/>
        <v>1ADSL1024/512Basic</v>
      </c>
      <c r="C6" s="198">
        <v>1</v>
      </c>
      <c r="D6" s="198" t="s">
        <v>42</v>
      </c>
      <c r="E6" s="198" t="s">
        <v>44</v>
      </c>
      <c r="F6" s="198" t="s">
        <v>115</v>
      </c>
      <c r="G6" s="199" t="s">
        <v>113</v>
      </c>
      <c r="H6" s="198" t="s">
        <v>53</v>
      </c>
      <c r="J6" s="142" t="str">
        <f t="shared" si="2"/>
        <v>ADSL1024/512Basic</v>
      </c>
      <c r="L6" s="160">
        <f>INDEX(Mapping!$J:$J,MATCH(C$3&amp;C6,Mapping!$B:$B,0))</f>
        <v>1</v>
      </c>
      <c r="M6" s="148" t="str">
        <f>INDEX(Mapping!$H:$H,MATCH($E6,Mapping!$B:$B,0))</f>
        <v>WBA CM Ethernet</v>
      </c>
      <c r="N6" s="148" t="str">
        <f>INDEX(Mapping!$I:$I,MATCH($E6&amp;$G6,Mapping!$B:$B,0))</f>
        <v>entry</v>
      </c>
      <c r="O6" s="148" t="str">
        <f>INDEX(Mapping!$I:$I,MATCH($D6,Mapping!$B:$B,0))</f>
        <v>ADSL</v>
      </c>
      <c r="P6" s="148" t="str">
        <f>INDEX(Mapping!$H:$H,MATCH($F6,Mapping!$B:$B,0))</f>
        <v>nvt</v>
      </c>
      <c r="Q6" s="148" t="str">
        <f>INDEX(Mapping!$J:$J,MATCH($E6&amp;$G6,Mapping!$B:$B,0))</f>
        <v>national</v>
      </c>
      <c r="R6" s="148" t="str">
        <f>INDEX(Mapping!$I:$I,MATCH($J6,Mapping!$B:$B,0))</f>
        <v>&lt;= 2 Mbps/&lt;= 512 kbps</v>
      </c>
      <c r="T6" s="148" t="str">
        <f>INDEX(Mapping!$K:$K,MATCH($E6&amp;$G6,Mapping!$B:$B,0))</f>
        <v>nvt</v>
      </c>
      <c r="U6" s="142" t="str">
        <f t="shared" si="3"/>
        <v>WBA CM Ethernet&lt;= 2 Mbps/&lt;= 512 kbpsentrynational</v>
      </c>
      <c r="W6" s="160">
        <f>MATCH($J6,'Tarieven ZM'!$B:$B,0)</f>
        <v>10</v>
      </c>
      <c r="X6" s="148">
        <f>INDEX('Tarieven ZM'!$H:$H,$W6)</f>
        <v>1000</v>
      </c>
      <c r="Y6" s="161">
        <f>-INDEX(Parameters!$B:$B,MATCH(Y$3,Parameters!$A:$A,0))*$X6</f>
        <v>0</v>
      </c>
      <c r="Z6" s="149">
        <f>-INDEX(Parameters!$B:$B,MATCH(Z$3,Parameters!$A:$A,0))*$X6</f>
        <v>0</v>
      </c>
      <c r="AA6" s="148">
        <f t="shared" si="4"/>
        <v>1000</v>
      </c>
      <c r="AB6" s="148">
        <f>AA6/INDEX(Parameters!$B:$B,MATCH("AfschrijftermijnVVE"&amp;12*$C6,Parameters!$A:$A,0))</f>
        <v>27.777777777777779</v>
      </c>
      <c r="AC6" s="148">
        <f>INDEX('Tarieven ZM'!$G:$G,$W6)</f>
        <v>1000</v>
      </c>
      <c r="AD6" s="161">
        <f>-INDEX(Parameters!$B:$B,MATCH(AD$3,Parameters!$A:$A,0))*$AC6</f>
        <v>0</v>
      </c>
      <c r="AE6" s="161">
        <f>-INDEX(Parameters!$B:$B,MATCH(AE$3,Parameters!$A:$A,0))*$AC6</f>
        <v>0</v>
      </c>
      <c r="AF6" s="148">
        <f t="shared" si="5"/>
        <v>1000</v>
      </c>
      <c r="AG6" s="151">
        <f t="shared" si="6"/>
        <v>1027.7777777777778</v>
      </c>
      <c r="AH6" s="123"/>
      <c r="AI6" s="147">
        <f>IF(R6&lt;&gt;"n.a.",MATCH($U6,'Tarieven W&amp;O'!$B:$B,0),"nvt")</f>
        <v>116</v>
      </c>
      <c r="AJ6" s="148">
        <f>IF(AI6&lt;&gt;"nvt",INDEX('Tarieven W&amp;O'!$H:$H,$AI6),0)</f>
        <v>0</v>
      </c>
      <c r="AK6" s="148">
        <f>IF(AI6&lt;&gt;"nvt",INDEX('Tarieven W&amp;O'!$I:$I,$AI6),0)</f>
        <v>5</v>
      </c>
      <c r="AL6" s="277">
        <f>IF(AI6&lt;&gt;"nvt",-INDEX(Parameters!$B:$B,MATCH(AL$3&amp;$M6,Parameters!$A:$A,0))*(AJ6+AK6),0)</f>
        <v>0</v>
      </c>
      <c r="AM6" s="442"/>
      <c r="AN6" s="262">
        <f t="shared" si="7"/>
        <v>5</v>
      </c>
      <c r="AO6" s="262">
        <f>AN6/INDEX(Parameters!$B:$B,MATCH("AfschrijftermijnVVE"&amp;12*$C6,Parameters!$A:$A,0))</f>
        <v>0.1388888888888889</v>
      </c>
      <c r="AP6" s="179">
        <f t="shared" si="8"/>
        <v>116</v>
      </c>
      <c r="AQ6" s="202">
        <f>IF(AP6&lt;&gt;"nvt",INDEX('Tarieven W&amp;O'!$G:$G,$AP6),0)</f>
        <v>3.02</v>
      </c>
      <c r="AR6" s="277">
        <f>-INDEX(Parameters!$B:$B,MATCH(AR$3&amp;$M6&amp;O6,Parameters!$A:$A,0))*(AQ6)</f>
        <v>-0.30200000000000005</v>
      </c>
      <c r="AS6" s="262">
        <f>Parameters!$D$54</f>
        <v>2</v>
      </c>
      <c r="AT6" s="442">
        <f>IF(M6="WBA CM Ethernet",0,'EDC Minus'!$H$27)</f>
        <v>0</v>
      </c>
      <c r="AU6" s="150">
        <f t="shared" si="9"/>
        <v>4.718</v>
      </c>
      <c r="AV6" s="150">
        <f t="shared" si="10"/>
        <v>4.8568888888888893</v>
      </c>
      <c r="AW6" s="150"/>
      <c r="AX6" s="150">
        <f>Parameters!$B$6*AV6</f>
        <v>4.8568888888888891E-2</v>
      </c>
      <c r="AY6" s="202">
        <v>0</v>
      </c>
      <c r="AZ6" s="202"/>
      <c r="BA6" s="150">
        <f t="shared" si="11"/>
        <v>4.8568888888888891E-2</v>
      </c>
      <c r="BB6" s="150"/>
      <c r="BC6" s="151">
        <f t="shared" si="12"/>
        <v>4.9054577777777784</v>
      </c>
      <c r="BD6" s="209"/>
      <c r="BE6" s="140">
        <f t="shared" si="13"/>
        <v>1022.8723200000001</v>
      </c>
      <c r="BF6" s="141">
        <f t="shared" si="14"/>
        <v>0.99522712216216214</v>
      </c>
      <c r="BG6" s="142" t="b">
        <f t="shared" si="15"/>
        <v>0</v>
      </c>
      <c r="BH6" s="148"/>
      <c r="BI6" s="188" t="s">
        <v>538</v>
      </c>
      <c r="BJ6" s="189"/>
      <c r="BK6">
        <f>VLOOKUP(J6,'Tarieven ZM'!$B$7:$I$146,8,0)</f>
        <v>0</v>
      </c>
      <c r="BL6" s="179" t="str">
        <f>INDEX(Mapping!$M:$M,MATCH($J6,Mapping!$B:$B,0))</f>
        <v>nvt</v>
      </c>
      <c r="BM6" s="282">
        <v>0</v>
      </c>
      <c r="BN6" s="262">
        <f>BM6/INDEX(Parameters!$B:$B,MATCH("AfschrijftermijnVVE"&amp;12*$C6,Parameters!$A:$A,0))</f>
        <v>0</v>
      </c>
      <c r="BO6" s="262">
        <f>Parameters!$D$59+INDEX('inkoop ULL tbv Epacity'!I:I,MATCH($BL6,'inkoop ULL tbv Epacity'!H:H,0))</f>
        <v>1</v>
      </c>
      <c r="BP6" s="263">
        <f t="shared" si="16"/>
        <v>1</v>
      </c>
      <c r="BQ6" s="203"/>
      <c r="BR6" s="262">
        <f>Parameters!$B$12*AG6</f>
        <v>102.77777777777779</v>
      </c>
      <c r="BS6" s="262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SUM(Distributievergoedingen!$F$12,Distributievergoedingen!$I$12,Distributievergoedingen!$L$12,Distributievergoedingen!$O$12)*AF6+SUM(Distributievergoedingen!$O$12*AA6+Distributievergoedingen!$R$12+Distributievergoedingen!$U$12+Distributievergoedingen!$X$12)/(MAX(36,12*L6))</f>
        <v>112.77777777777777</v>
      </c>
      <c r="BT6" s="202"/>
      <c r="BU6" s="202">
        <f t="shared" si="17"/>
        <v>215.55555555555554</v>
      </c>
      <c r="BW6" s="151">
        <f t="shared" si="18"/>
        <v>216.55555555555554</v>
      </c>
      <c r="BY6" s="140">
        <f t="shared" si="19"/>
        <v>811.22222222222229</v>
      </c>
      <c r="BZ6" s="141">
        <f t="shared" si="20"/>
        <v>0.78929729729729736</v>
      </c>
      <c r="CA6" s="142" t="b">
        <f t="shared" si="21"/>
        <v>0</v>
      </c>
    </row>
    <row r="7" spans="1:79">
      <c r="A7" s="160" t="str">
        <f t="shared" si="0"/>
        <v>1ADSLBasicnationaal2048/512</v>
      </c>
      <c r="B7" s="142" t="str">
        <f t="shared" si="1"/>
        <v>1ADSL2048/512Basic</v>
      </c>
      <c r="C7" s="198">
        <v>1</v>
      </c>
      <c r="D7" s="198" t="s">
        <v>42</v>
      </c>
      <c r="E7" s="198" t="s">
        <v>44</v>
      </c>
      <c r="F7" s="198" t="s">
        <v>115</v>
      </c>
      <c r="G7" s="199" t="s">
        <v>113</v>
      </c>
      <c r="H7" s="198" t="s">
        <v>54</v>
      </c>
      <c r="J7" s="142" t="str">
        <f t="shared" si="2"/>
        <v>ADSL2048/512Basic</v>
      </c>
      <c r="L7" s="160">
        <f>INDEX(Mapping!$J:$J,MATCH(C$3&amp;C7,Mapping!$B:$B,0))</f>
        <v>1</v>
      </c>
      <c r="M7" s="148" t="str">
        <f>INDEX(Mapping!$H:$H,MATCH($E7,Mapping!$B:$B,0))</f>
        <v>WBA CM Ethernet</v>
      </c>
      <c r="N7" s="148" t="str">
        <f>INDEX(Mapping!$I:$I,MATCH($E7&amp;$G7,Mapping!$B:$B,0))</f>
        <v>entry</v>
      </c>
      <c r="O7" s="148" t="str">
        <f>INDEX(Mapping!$I:$I,MATCH($D7,Mapping!$B:$B,0))</f>
        <v>ADSL</v>
      </c>
      <c r="P7" s="148" t="str">
        <f>INDEX(Mapping!$H:$H,MATCH($F7,Mapping!$B:$B,0))</f>
        <v>nvt</v>
      </c>
      <c r="Q7" s="148" t="str">
        <f>INDEX(Mapping!$J:$J,MATCH($E7&amp;$G7,Mapping!$B:$B,0))</f>
        <v>national</v>
      </c>
      <c r="R7" s="148" t="str">
        <f>INDEX(Mapping!$I:$I,MATCH($J7,Mapping!$B:$B,0))</f>
        <v>&lt;= 2 Mbps/&lt;= 512 kbps</v>
      </c>
      <c r="T7" s="148" t="str">
        <f>INDEX(Mapping!$K:$K,MATCH($E7&amp;$G7,Mapping!$B:$B,0))</f>
        <v>nvt</v>
      </c>
      <c r="U7" s="142" t="str">
        <f t="shared" si="3"/>
        <v>WBA CM Ethernet&lt;= 2 Mbps/&lt;= 512 kbpsentrynational</v>
      </c>
      <c r="W7" s="160">
        <f>MATCH($J7,'Tarieven ZM'!$B:$B,0)</f>
        <v>11</v>
      </c>
      <c r="X7" s="148">
        <f>INDEX('Tarieven ZM'!$H:$H,$W7)</f>
        <v>1000</v>
      </c>
      <c r="Y7" s="161">
        <f>-INDEX(Parameters!$B:$B,MATCH(Y$3,Parameters!$A:$A,0))*$X7</f>
        <v>0</v>
      </c>
      <c r="Z7" s="149">
        <f>-INDEX(Parameters!$B:$B,MATCH(Z$3,Parameters!$A:$A,0))*$X7</f>
        <v>0</v>
      </c>
      <c r="AA7" s="148">
        <f t="shared" si="4"/>
        <v>1000</v>
      </c>
      <c r="AB7" s="148">
        <f>AA7/INDEX(Parameters!$B:$B,MATCH("AfschrijftermijnVVE"&amp;12*$C7,Parameters!$A:$A,0))</f>
        <v>27.777777777777779</v>
      </c>
      <c r="AC7" s="148">
        <f>INDEX('Tarieven ZM'!$G:$G,$W7)</f>
        <v>1000</v>
      </c>
      <c r="AD7" s="161">
        <f>-INDEX(Parameters!$B:$B,MATCH(AD$3,Parameters!$A:$A,0))*$AC7</f>
        <v>0</v>
      </c>
      <c r="AE7" s="161">
        <f>-INDEX(Parameters!$B:$B,MATCH(AE$3,Parameters!$A:$A,0))*$AC7</f>
        <v>0</v>
      </c>
      <c r="AF7" s="148">
        <f t="shared" si="5"/>
        <v>1000</v>
      </c>
      <c r="AG7" s="151">
        <f t="shared" si="6"/>
        <v>1027.7777777777778</v>
      </c>
      <c r="AH7" s="123"/>
      <c r="AI7" s="147">
        <f>IF(R7&lt;&gt;"n.a.",MATCH($U7,'Tarieven W&amp;O'!$B:$B,0),"nvt")</f>
        <v>116</v>
      </c>
      <c r="AJ7" s="148">
        <f>IF(AI7&lt;&gt;"nvt",INDEX('Tarieven W&amp;O'!$H:$H,$AI7),0)</f>
        <v>0</v>
      </c>
      <c r="AK7" s="148">
        <f>IF(AI7&lt;&gt;"nvt",INDEX('Tarieven W&amp;O'!$I:$I,$AI7),0)</f>
        <v>5</v>
      </c>
      <c r="AL7" s="277">
        <f>IF(AI7&lt;&gt;"nvt",-INDEX(Parameters!$B:$B,MATCH(AL$3&amp;$M7,Parameters!$A:$A,0))*(AJ7+AK7),0)</f>
        <v>0</v>
      </c>
      <c r="AM7" s="442"/>
      <c r="AN7" s="262">
        <f t="shared" si="7"/>
        <v>5</v>
      </c>
      <c r="AO7" s="262">
        <f>AN7/INDEX(Parameters!$B:$B,MATCH("AfschrijftermijnVVE"&amp;12*$C7,Parameters!$A:$A,0))</f>
        <v>0.1388888888888889</v>
      </c>
      <c r="AP7" s="179">
        <f t="shared" si="8"/>
        <v>116</v>
      </c>
      <c r="AQ7" s="202">
        <f>IF(AP7&lt;&gt;"nvt",INDEX('Tarieven W&amp;O'!$G:$G,$AP7),0)</f>
        <v>3.02</v>
      </c>
      <c r="AR7" s="277">
        <f>-INDEX(Parameters!$B:$B,MATCH(AR$3&amp;$M7&amp;O7,Parameters!$A:$A,0))*(AQ7)</f>
        <v>-0.30200000000000005</v>
      </c>
      <c r="AS7" s="262">
        <f>Parameters!$D$54</f>
        <v>2</v>
      </c>
      <c r="AT7" s="442">
        <f>IF(M7="WBA CM Ethernet",0,'EDC Minus'!$H$27)</f>
        <v>0</v>
      </c>
      <c r="AU7" s="150">
        <f t="shared" si="9"/>
        <v>4.718</v>
      </c>
      <c r="AV7" s="150">
        <f t="shared" si="10"/>
        <v>4.8568888888888893</v>
      </c>
      <c r="AW7" s="150"/>
      <c r="AX7" s="150">
        <f>Parameters!$B$6*AV7</f>
        <v>4.8568888888888891E-2</v>
      </c>
      <c r="AY7" s="202">
        <v>0</v>
      </c>
      <c r="AZ7" s="202"/>
      <c r="BA7" s="150">
        <f t="shared" si="11"/>
        <v>4.8568888888888891E-2</v>
      </c>
      <c r="BB7" s="150"/>
      <c r="BC7" s="151">
        <f t="shared" si="12"/>
        <v>4.9054577777777784</v>
      </c>
      <c r="BD7" s="209"/>
      <c r="BE7" s="140">
        <f t="shared" si="13"/>
        <v>1022.8723200000001</v>
      </c>
      <c r="BF7" s="141">
        <f t="shared" si="14"/>
        <v>0.99522712216216214</v>
      </c>
      <c r="BG7" s="142" t="b">
        <f t="shared" si="15"/>
        <v>0</v>
      </c>
      <c r="BH7" s="148"/>
      <c r="BI7" s="188" t="s">
        <v>538</v>
      </c>
      <c r="BJ7" s="189"/>
      <c r="BK7">
        <f>VLOOKUP(J7,'Tarieven ZM'!$B$7:$I$146,8,0)</f>
        <v>0</v>
      </c>
      <c r="BL7" s="179" t="str">
        <f>INDEX(Mapping!$M:$M,MATCH($J7,Mapping!$B:$B,0))</f>
        <v>nvt</v>
      </c>
      <c r="BM7" s="282">
        <v>0</v>
      </c>
      <c r="BN7" s="262">
        <f>BM7/INDEX(Parameters!$B:$B,MATCH("AfschrijftermijnVVE"&amp;12*$C7,Parameters!$A:$A,0))</f>
        <v>0</v>
      </c>
      <c r="BO7" s="262">
        <f>Parameters!$D$59+INDEX('inkoop ULL tbv Epacity'!I:I,MATCH($BL7,'inkoop ULL tbv Epacity'!H:H,0))</f>
        <v>1</v>
      </c>
      <c r="BP7" s="263">
        <f t="shared" si="16"/>
        <v>1</v>
      </c>
      <c r="BQ7" s="203"/>
      <c r="BR7" s="262">
        <f>Parameters!$B$12*AG7</f>
        <v>102.77777777777779</v>
      </c>
      <c r="BS7" s="262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SUM(Distributievergoedingen!$F$12,Distributievergoedingen!$I$12,Distributievergoedingen!$L$12,Distributievergoedingen!$O$12)*AF7+SUM(Distributievergoedingen!$O$12*AA7+Distributievergoedingen!$R$12+Distributievergoedingen!$U$12+Distributievergoedingen!$X$12)/(MAX(36,12*L7))</f>
        <v>112.77777777777777</v>
      </c>
      <c r="BT7" s="202"/>
      <c r="BU7" s="202">
        <f t="shared" si="17"/>
        <v>215.55555555555554</v>
      </c>
      <c r="BW7" s="151">
        <f t="shared" si="18"/>
        <v>216.55555555555554</v>
      </c>
      <c r="BY7" s="140">
        <f t="shared" si="19"/>
        <v>811.22222222222229</v>
      </c>
      <c r="BZ7" s="141">
        <f t="shared" si="20"/>
        <v>0.78929729729729736</v>
      </c>
      <c r="CA7" s="142" t="b">
        <f t="shared" si="21"/>
        <v>0</v>
      </c>
    </row>
    <row r="8" spans="1:79">
      <c r="A8" s="160" t="str">
        <f t="shared" si="0"/>
        <v>1ADSLBasicnationaal3072/512</v>
      </c>
      <c r="B8" s="142" t="str">
        <f t="shared" si="1"/>
        <v>1ADSL3072/512Basic</v>
      </c>
      <c r="C8" s="198">
        <v>1</v>
      </c>
      <c r="D8" s="198" t="s">
        <v>42</v>
      </c>
      <c r="E8" s="198" t="s">
        <v>44</v>
      </c>
      <c r="F8" s="198" t="s">
        <v>115</v>
      </c>
      <c r="G8" s="199" t="s">
        <v>113</v>
      </c>
      <c r="H8" s="198" t="s">
        <v>55</v>
      </c>
      <c r="J8" s="142" t="str">
        <f t="shared" si="2"/>
        <v>ADSL3072/512Basic</v>
      </c>
      <c r="L8" s="160">
        <f>INDEX(Mapping!$J:$J,MATCH(C$3&amp;C8,Mapping!$B:$B,0))</f>
        <v>1</v>
      </c>
      <c r="M8" s="148" t="str">
        <f>INDEX(Mapping!$H:$H,MATCH($E8,Mapping!$B:$B,0))</f>
        <v>WBA CM Ethernet</v>
      </c>
      <c r="N8" s="148" t="str">
        <f>INDEX(Mapping!$I:$I,MATCH($E8&amp;$G8,Mapping!$B:$B,0))</f>
        <v>entry</v>
      </c>
      <c r="O8" s="148" t="str">
        <f>INDEX(Mapping!$I:$I,MATCH($D8,Mapping!$B:$B,0))</f>
        <v>ADSL</v>
      </c>
      <c r="P8" s="148" t="str">
        <f>INDEX(Mapping!$H:$H,MATCH($F8,Mapping!$B:$B,0))</f>
        <v>nvt</v>
      </c>
      <c r="Q8" s="148" t="str">
        <f>INDEX(Mapping!$J:$J,MATCH($E8&amp;$G8,Mapping!$B:$B,0))</f>
        <v>national</v>
      </c>
      <c r="R8" s="148" t="str">
        <f>INDEX(Mapping!$I:$I,MATCH($J8,Mapping!$B:$B,0))</f>
        <v>&lt;= 4 Mbps/&lt;= 1 Mbps</v>
      </c>
      <c r="T8" s="148" t="str">
        <f>INDEX(Mapping!$K:$K,MATCH($E8&amp;$G8,Mapping!$B:$B,0))</f>
        <v>nvt</v>
      </c>
      <c r="U8" s="142" t="str">
        <f t="shared" si="3"/>
        <v>WBA CM Ethernet&lt;= 4 Mbps/&lt;= 1 Mbpsentrynational</v>
      </c>
      <c r="W8" s="160">
        <f>MATCH($J8,'Tarieven ZM'!$B:$B,0)</f>
        <v>12</v>
      </c>
      <c r="X8" s="148">
        <f>INDEX('Tarieven ZM'!$H:$H,$W8)</f>
        <v>1000</v>
      </c>
      <c r="Y8" s="161">
        <f>-INDEX(Parameters!$B:$B,MATCH(Y$3,Parameters!$A:$A,0))*$X8</f>
        <v>0</v>
      </c>
      <c r="Z8" s="149">
        <f>-INDEX(Parameters!$B:$B,MATCH(Z$3,Parameters!$A:$A,0))*$X8</f>
        <v>0</v>
      </c>
      <c r="AA8" s="148">
        <f t="shared" si="4"/>
        <v>1000</v>
      </c>
      <c r="AB8" s="148">
        <f>AA8/INDEX(Parameters!$B:$B,MATCH("AfschrijftermijnVVE"&amp;12*$C8,Parameters!$A:$A,0))</f>
        <v>27.777777777777779</v>
      </c>
      <c r="AC8" s="148">
        <f>INDEX('Tarieven ZM'!$G:$G,$W8)</f>
        <v>1000</v>
      </c>
      <c r="AD8" s="161">
        <f>-INDEX(Parameters!$B:$B,MATCH(AD$3,Parameters!$A:$A,0))*$AC8</f>
        <v>0</v>
      </c>
      <c r="AE8" s="161">
        <f>-INDEX(Parameters!$B:$B,MATCH(AE$3,Parameters!$A:$A,0))*$AC8</f>
        <v>0</v>
      </c>
      <c r="AF8" s="148">
        <f t="shared" si="5"/>
        <v>1000</v>
      </c>
      <c r="AG8" s="151">
        <f t="shared" si="6"/>
        <v>1027.7777777777778</v>
      </c>
      <c r="AH8" s="123"/>
      <c r="AI8" s="147">
        <f>IF(R8&lt;&gt;"n.a.",MATCH($U8,'Tarieven W&amp;O'!$B:$B,0),"nvt")</f>
        <v>117</v>
      </c>
      <c r="AJ8" s="148">
        <f>IF(AI8&lt;&gt;"nvt",INDEX('Tarieven W&amp;O'!$H:$H,$AI8),0)</f>
        <v>0</v>
      </c>
      <c r="AK8" s="148">
        <f>IF(AI8&lt;&gt;"nvt",INDEX('Tarieven W&amp;O'!$I:$I,$AI8),0)</f>
        <v>5</v>
      </c>
      <c r="AL8" s="277">
        <f>IF(AI8&lt;&gt;"nvt",-INDEX(Parameters!$B:$B,MATCH(AL$3&amp;$M8,Parameters!$A:$A,0))*(AJ8+AK8),0)</f>
        <v>0</v>
      </c>
      <c r="AM8" s="442"/>
      <c r="AN8" s="262">
        <f t="shared" si="7"/>
        <v>5</v>
      </c>
      <c r="AO8" s="262">
        <f>AN8/INDEX(Parameters!$B:$B,MATCH("AfschrijftermijnVVE"&amp;12*$C8,Parameters!$A:$A,0))</f>
        <v>0.1388888888888889</v>
      </c>
      <c r="AP8" s="179">
        <f t="shared" si="8"/>
        <v>117</v>
      </c>
      <c r="AQ8" s="202">
        <f>IF(AP8&lt;&gt;"nvt",INDEX('Tarieven W&amp;O'!$G:$G,$AP8),0)</f>
        <v>3.02</v>
      </c>
      <c r="AR8" s="277">
        <f>-INDEX(Parameters!$B:$B,MATCH(AR$3&amp;$M8&amp;O8,Parameters!$A:$A,0))*(AQ8)</f>
        <v>-0.30200000000000005</v>
      </c>
      <c r="AS8" s="262">
        <f>Parameters!$D$54</f>
        <v>2</v>
      </c>
      <c r="AT8" s="442">
        <f>IF(M8="WBA CM Ethernet",0,'EDC Minus'!$H$27)</f>
        <v>0</v>
      </c>
      <c r="AU8" s="150">
        <f t="shared" si="9"/>
        <v>4.718</v>
      </c>
      <c r="AV8" s="150">
        <f t="shared" si="10"/>
        <v>4.8568888888888893</v>
      </c>
      <c r="AW8" s="150"/>
      <c r="AX8" s="150">
        <f>Parameters!$B$6*AV8</f>
        <v>4.8568888888888891E-2</v>
      </c>
      <c r="AY8" s="202">
        <v>0</v>
      </c>
      <c r="AZ8" s="202"/>
      <c r="BA8" s="150">
        <f t="shared" si="11"/>
        <v>4.8568888888888891E-2</v>
      </c>
      <c r="BB8" s="150"/>
      <c r="BC8" s="151">
        <f t="shared" si="12"/>
        <v>4.9054577777777784</v>
      </c>
      <c r="BD8" s="209"/>
      <c r="BE8" s="140">
        <f t="shared" si="13"/>
        <v>1022.8723200000001</v>
      </c>
      <c r="BF8" s="141">
        <f t="shared" si="14"/>
        <v>0.99522712216216214</v>
      </c>
      <c r="BG8" s="142" t="b">
        <f t="shared" si="15"/>
        <v>0</v>
      </c>
      <c r="BH8" s="148"/>
      <c r="BI8" s="188" t="s">
        <v>538</v>
      </c>
      <c r="BJ8" s="189"/>
      <c r="BK8">
        <f>VLOOKUP(J8,'Tarieven ZM'!$B$7:$I$146,8,0)</f>
        <v>0</v>
      </c>
      <c r="BL8" s="179" t="str">
        <f>INDEX(Mapping!$M:$M,MATCH($J8,Mapping!$B:$B,0))</f>
        <v>nvt</v>
      </c>
      <c r="BM8" s="282">
        <v>0</v>
      </c>
      <c r="BN8" s="262">
        <f>BM8/INDEX(Parameters!$B:$B,MATCH("AfschrijftermijnVVE"&amp;12*$C8,Parameters!$A:$A,0))</f>
        <v>0</v>
      </c>
      <c r="BO8" s="262">
        <f>Parameters!$D$59+INDEX('inkoop ULL tbv Epacity'!I:I,MATCH($BL8,'inkoop ULL tbv Epacity'!H:H,0))</f>
        <v>1</v>
      </c>
      <c r="BP8" s="263">
        <f t="shared" si="16"/>
        <v>1</v>
      </c>
      <c r="BQ8" s="203"/>
      <c r="BR8" s="262">
        <f>Parameters!$B$12*AG8</f>
        <v>102.77777777777779</v>
      </c>
      <c r="BS8" s="262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SUM(Distributievergoedingen!$F$12,Distributievergoedingen!$I$12,Distributievergoedingen!$L$12,Distributievergoedingen!$O$12)*AF8+SUM(Distributievergoedingen!$O$12*AA8+Distributievergoedingen!$R$12+Distributievergoedingen!$U$12+Distributievergoedingen!$X$12)/(MAX(36,12*L8))</f>
        <v>112.77777777777777</v>
      </c>
      <c r="BT8" s="202"/>
      <c r="BU8" s="202">
        <f t="shared" si="17"/>
        <v>215.55555555555554</v>
      </c>
      <c r="BW8" s="151">
        <f t="shared" si="18"/>
        <v>216.55555555555554</v>
      </c>
      <c r="BY8" s="140">
        <f t="shared" si="19"/>
        <v>811.22222222222229</v>
      </c>
      <c r="BZ8" s="141">
        <f t="shared" si="20"/>
        <v>0.78929729729729736</v>
      </c>
      <c r="CA8" s="142" t="b">
        <f t="shared" si="21"/>
        <v>0</v>
      </c>
    </row>
    <row r="9" spans="1:79">
      <c r="A9" s="160" t="str">
        <f t="shared" si="0"/>
        <v>1ADSLBasicnationaal4096/1024</v>
      </c>
      <c r="B9" s="142" t="str">
        <f t="shared" si="1"/>
        <v>1ADSL4096/1024Basic</v>
      </c>
      <c r="C9" s="198">
        <v>1</v>
      </c>
      <c r="D9" s="198" t="s">
        <v>42</v>
      </c>
      <c r="E9" s="198" t="s">
        <v>44</v>
      </c>
      <c r="F9" s="198" t="s">
        <v>115</v>
      </c>
      <c r="G9" s="199" t="s">
        <v>113</v>
      </c>
      <c r="H9" s="198" t="s">
        <v>57</v>
      </c>
      <c r="J9" s="142" t="str">
        <f t="shared" si="2"/>
        <v>ADSL4096/1024Basic</v>
      </c>
      <c r="L9" s="160">
        <f>INDEX(Mapping!$J:$J,MATCH(C$3&amp;C9,Mapping!$B:$B,0))</f>
        <v>1</v>
      </c>
      <c r="M9" s="148" t="str">
        <f>INDEX(Mapping!$H:$H,MATCH($E9,Mapping!$B:$B,0))</f>
        <v>WBA CM Ethernet</v>
      </c>
      <c r="N9" s="148" t="str">
        <f>INDEX(Mapping!$I:$I,MATCH($E9&amp;$G9,Mapping!$B:$B,0))</f>
        <v>entry</v>
      </c>
      <c r="O9" s="148" t="str">
        <f>INDEX(Mapping!$I:$I,MATCH($D9,Mapping!$B:$B,0))</f>
        <v>ADSL</v>
      </c>
      <c r="P9" s="148" t="str">
        <f>INDEX(Mapping!$H:$H,MATCH($F9,Mapping!$B:$B,0))</f>
        <v>nvt</v>
      </c>
      <c r="Q9" s="148" t="str">
        <f>INDEX(Mapping!$J:$J,MATCH($E9&amp;$G9,Mapping!$B:$B,0))</f>
        <v>national</v>
      </c>
      <c r="R9" s="148" t="str">
        <f>INDEX(Mapping!$I:$I,MATCH($J9,Mapping!$B:$B,0))</f>
        <v>&lt;= 4 Mbps/&lt;= 1 Mbps</v>
      </c>
      <c r="T9" s="148" t="str">
        <f>INDEX(Mapping!$K:$K,MATCH($E9&amp;$G9,Mapping!$B:$B,0))</f>
        <v>nvt</v>
      </c>
      <c r="U9" s="142" t="str">
        <f t="shared" si="3"/>
        <v>WBA CM Ethernet&lt;= 4 Mbps/&lt;= 1 Mbpsentrynational</v>
      </c>
      <c r="W9" s="160">
        <f>MATCH($J9,'Tarieven ZM'!$B:$B,0)</f>
        <v>13</v>
      </c>
      <c r="X9" s="148">
        <f>INDEX('Tarieven ZM'!$H:$H,$W9)</f>
        <v>1000</v>
      </c>
      <c r="Y9" s="161">
        <f>-INDEX(Parameters!$B:$B,MATCH(Y$3,Parameters!$A:$A,0))*$X9</f>
        <v>0</v>
      </c>
      <c r="Z9" s="149">
        <f>-INDEX(Parameters!$B:$B,MATCH(Z$3,Parameters!$A:$A,0))*$X9</f>
        <v>0</v>
      </c>
      <c r="AA9" s="148">
        <f t="shared" si="4"/>
        <v>1000</v>
      </c>
      <c r="AB9" s="148">
        <f>AA9/INDEX(Parameters!$B:$B,MATCH("AfschrijftermijnVVE"&amp;12*$C9,Parameters!$A:$A,0))</f>
        <v>27.777777777777779</v>
      </c>
      <c r="AC9" s="148">
        <f>INDEX('Tarieven ZM'!$G:$G,$W9)</f>
        <v>1000</v>
      </c>
      <c r="AD9" s="161">
        <f>-INDEX(Parameters!$B:$B,MATCH(AD$3,Parameters!$A:$A,0))*$AC9</f>
        <v>0</v>
      </c>
      <c r="AE9" s="161">
        <f>-INDEX(Parameters!$B:$B,MATCH(AE$3,Parameters!$A:$A,0))*$AC9</f>
        <v>0</v>
      </c>
      <c r="AF9" s="148">
        <f t="shared" si="5"/>
        <v>1000</v>
      </c>
      <c r="AG9" s="151">
        <f t="shared" si="6"/>
        <v>1027.7777777777778</v>
      </c>
      <c r="AH9" s="123"/>
      <c r="AI9" s="147">
        <f>IF(R9&lt;&gt;"n.a.",MATCH($U9,'Tarieven W&amp;O'!$B:$B,0),"nvt")</f>
        <v>117</v>
      </c>
      <c r="AJ9" s="148">
        <f>IF(AI9&lt;&gt;"nvt",INDEX('Tarieven W&amp;O'!$H:$H,$AI9),0)</f>
        <v>0</v>
      </c>
      <c r="AK9" s="148">
        <f>IF(AI9&lt;&gt;"nvt",INDEX('Tarieven W&amp;O'!$I:$I,$AI9),0)</f>
        <v>5</v>
      </c>
      <c r="AL9" s="277">
        <f>IF(AI9&lt;&gt;"nvt",-INDEX(Parameters!$B:$B,MATCH(AL$3&amp;$M9,Parameters!$A:$A,0))*(AJ9+AK9),0)</f>
        <v>0</v>
      </c>
      <c r="AM9" s="442"/>
      <c r="AN9" s="262">
        <f t="shared" si="7"/>
        <v>5</v>
      </c>
      <c r="AO9" s="262">
        <f>AN9/INDEX(Parameters!$B:$B,MATCH("AfschrijftermijnVVE"&amp;12*$C9,Parameters!$A:$A,0))</f>
        <v>0.1388888888888889</v>
      </c>
      <c r="AP9" s="179">
        <f t="shared" si="8"/>
        <v>117</v>
      </c>
      <c r="AQ9" s="202">
        <f>IF(AP9&lt;&gt;"nvt",INDEX('Tarieven W&amp;O'!$G:$G,$AP9),0)</f>
        <v>3.02</v>
      </c>
      <c r="AR9" s="277">
        <f>-INDEX(Parameters!$B:$B,MATCH(AR$3&amp;$M9&amp;O9,Parameters!$A:$A,0))*(AQ9)</f>
        <v>-0.30200000000000005</v>
      </c>
      <c r="AS9" s="262">
        <f>Parameters!$D$54</f>
        <v>2</v>
      </c>
      <c r="AT9" s="442">
        <f>IF(M9="WBA CM Ethernet",0,'EDC Minus'!$H$27)</f>
        <v>0</v>
      </c>
      <c r="AU9" s="150">
        <f t="shared" si="9"/>
        <v>4.718</v>
      </c>
      <c r="AV9" s="150">
        <f t="shared" si="10"/>
        <v>4.8568888888888893</v>
      </c>
      <c r="AW9" s="150"/>
      <c r="AX9" s="150">
        <f>Parameters!$B$6*AV9</f>
        <v>4.8568888888888891E-2</v>
      </c>
      <c r="AY9" s="202">
        <v>0</v>
      </c>
      <c r="AZ9" s="202"/>
      <c r="BA9" s="150">
        <f t="shared" si="11"/>
        <v>4.8568888888888891E-2</v>
      </c>
      <c r="BB9" s="150"/>
      <c r="BC9" s="151">
        <f t="shared" si="12"/>
        <v>4.9054577777777784</v>
      </c>
      <c r="BD9" s="209"/>
      <c r="BE9" s="140">
        <f t="shared" si="13"/>
        <v>1022.8723200000001</v>
      </c>
      <c r="BF9" s="141">
        <f t="shared" si="14"/>
        <v>0.99522712216216214</v>
      </c>
      <c r="BG9" s="142" t="b">
        <f t="shared" si="15"/>
        <v>0</v>
      </c>
      <c r="BH9" s="148"/>
      <c r="BI9" s="188" t="s">
        <v>538</v>
      </c>
      <c r="BJ9" s="189"/>
      <c r="BK9">
        <f>VLOOKUP(J9,'Tarieven ZM'!$B$7:$I$146,8,0)</f>
        <v>0</v>
      </c>
      <c r="BL9" s="179" t="str">
        <f>INDEX(Mapping!$M:$M,MATCH($J9,Mapping!$B:$B,0))</f>
        <v>nvt</v>
      </c>
      <c r="BM9" s="282">
        <v>0</v>
      </c>
      <c r="BN9" s="262">
        <f>BM9/INDEX(Parameters!$B:$B,MATCH("AfschrijftermijnVVE"&amp;12*$C9,Parameters!$A:$A,0))</f>
        <v>0</v>
      </c>
      <c r="BO9" s="262">
        <f>Parameters!$D$59+INDEX('inkoop ULL tbv Epacity'!I:I,MATCH($BL9,'inkoop ULL tbv Epacity'!H:H,0))</f>
        <v>1</v>
      </c>
      <c r="BP9" s="263">
        <f t="shared" si="16"/>
        <v>1</v>
      </c>
      <c r="BQ9" s="203"/>
      <c r="BR9" s="262">
        <f>Parameters!$B$12*AG9</f>
        <v>102.77777777777779</v>
      </c>
      <c r="BS9" s="262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SUM(Distributievergoedingen!$F$12,Distributievergoedingen!$I$12,Distributievergoedingen!$L$12,Distributievergoedingen!$O$12)*AF9+SUM(Distributievergoedingen!$O$12*AA9+Distributievergoedingen!$R$12+Distributievergoedingen!$U$12+Distributievergoedingen!$X$12)/(MAX(36,12*L9))</f>
        <v>112.77777777777777</v>
      </c>
      <c r="BT9" s="202"/>
      <c r="BU9" s="202">
        <f t="shared" si="17"/>
        <v>215.55555555555554</v>
      </c>
      <c r="BW9" s="151">
        <f t="shared" si="18"/>
        <v>216.55555555555554</v>
      </c>
      <c r="BY9" s="140">
        <f t="shared" si="19"/>
        <v>811.22222222222229</v>
      </c>
      <c r="BZ9" s="141">
        <f t="shared" si="20"/>
        <v>0.78929729729729736</v>
      </c>
      <c r="CA9" s="142" t="b">
        <f t="shared" si="21"/>
        <v>0</v>
      </c>
    </row>
    <row r="10" spans="1:79">
      <c r="A10" s="160" t="str">
        <f t="shared" si="0"/>
        <v>1ADSLBasicnationaal6144/1024</v>
      </c>
      <c r="B10" s="142" t="str">
        <f t="shared" si="1"/>
        <v>1ADSL6144/1024Basic</v>
      </c>
      <c r="C10" s="198">
        <v>1</v>
      </c>
      <c r="D10" s="198" t="s">
        <v>42</v>
      </c>
      <c r="E10" s="198" t="s">
        <v>44</v>
      </c>
      <c r="F10" s="198" t="s">
        <v>115</v>
      </c>
      <c r="G10" s="199" t="s">
        <v>113</v>
      </c>
      <c r="H10" s="198" t="s">
        <v>58</v>
      </c>
      <c r="J10" s="142" t="str">
        <f t="shared" si="2"/>
        <v>ADSL6144/1024Basic</v>
      </c>
      <c r="L10" s="160">
        <f>INDEX(Mapping!$J:$J,MATCH(C$3&amp;C10,Mapping!$B:$B,0))</f>
        <v>1</v>
      </c>
      <c r="M10" s="148" t="str">
        <f>INDEX(Mapping!$H:$H,MATCH($E10,Mapping!$B:$B,0))</f>
        <v>WBA CM Ethernet</v>
      </c>
      <c r="N10" s="148" t="str">
        <f>INDEX(Mapping!$I:$I,MATCH($E10&amp;$G10,Mapping!$B:$B,0))</f>
        <v>entry</v>
      </c>
      <c r="O10" s="148" t="str">
        <f>INDEX(Mapping!$I:$I,MATCH($D10,Mapping!$B:$B,0))</f>
        <v>ADSL</v>
      </c>
      <c r="P10" s="148" t="str">
        <f>INDEX(Mapping!$H:$H,MATCH($F10,Mapping!$B:$B,0))</f>
        <v>nvt</v>
      </c>
      <c r="Q10" s="148" t="str">
        <f>INDEX(Mapping!$J:$J,MATCH($E10&amp;$G10,Mapping!$B:$B,0))</f>
        <v>national</v>
      </c>
      <c r="R10" s="148" t="str">
        <f>INDEX(Mapping!$I:$I,MATCH($J10,Mapping!$B:$B,0))</f>
        <v>&lt;= 8 Mbps/&lt;= 1 Mbps</v>
      </c>
      <c r="T10" s="148" t="str">
        <f>INDEX(Mapping!$K:$K,MATCH($E10&amp;$G10,Mapping!$B:$B,0))</f>
        <v>nvt</v>
      </c>
      <c r="U10" s="142" t="str">
        <f t="shared" si="3"/>
        <v>WBA CM Ethernet&lt;= 8 Mbps/&lt;= 1 Mbpsentrynational</v>
      </c>
      <c r="W10" s="160">
        <f>MATCH($J10,'Tarieven ZM'!$B:$B,0)</f>
        <v>14</v>
      </c>
      <c r="X10" s="148">
        <f>INDEX('Tarieven ZM'!$H:$H,$W10)</f>
        <v>1000</v>
      </c>
      <c r="Y10" s="161">
        <f>-INDEX(Parameters!$B:$B,MATCH(Y$3,Parameters!$A:$A,0))*$X10</f>
        <v>0</v>
      </c>
      <c r="Z10" s="149">
        <f>-INDEX(Parameters!$B:$B,MATCH(Z$3,Parameters!$A:$A,0))*$X10</f>
        <v>0</v>
      </c>
      <c r="AA10" s="148">
        <f t="shared" si="4"/>
        <v>1000</v>
      </c>
      <c r="AB10" s="148">
        <f>AA10/INDEX(Parameters!$B:$B,MATCH("AfschrijftermijnVVE"&amp;12*$C10,Parameters!$A:$A,0))</f>
        <v>27.777777777777779</v>
      </c>
      <c r="AC10" s="148">
        <f>INDEX('Tarieven ZM'!$G:$G,$W10)</f>
        <v>1000</v>
      </c>
      <c r="AD10" s="161">
        <f>-INDEX(Parameters!$B:$B,MATCH(AD$3,Parameters!$A:$A,0))*$AC10</f>
        <v>0</v>
      </c>
      <c r="AE10" s="161">
        <f>-INDEX(Parameters!$B:$B,MATCH(AE$3,Parameters!$A:$A,0))*$AC10</f>
        <v>0</v>
      </c>
      <c r="AF10" s="148">
        <f t="shared" si="5"/>
        <v>1000</v>
      </c>
      <c r="AG10" s="151">
        <f t="shared" si="6"/>
        <v>1027.7777777777778</v>
      </c>
      <c r="AH10" s="123"/>
      <c r="AI10" s="147">
        <f>IF(R10&lt;&gt;"n.a.",MATCH($U10,'Tarieven W&amp;O'!$B:$B,0),"nvt")</f>
        <v>118</v>
      </c>
      <c r="AJ10" s="148">
        <f>IF(AI10&lt;&gt;"nvt",INDEX('Tarieven W&amp;O'!$H:$H,$AI10),0)</f>
        <v>0</v>
      </c>
      <c r="AK10" s="148">
        <f>IF(AI10&lt;&gt;"nvt",INDEX('Tarieven W&amp;O'!$I:$I,$AI10),0)</f>
        <v>5</v>
      </c>
      <c r="AL10" s="277">
        <f>IF(AI10&lt;&gt;"nvt",-INDEX(Parameters!$B:$B,MATCH(AL$3&amp;$M10,Parameters!$A:$A,0))*(AJ10+AK10),0)</f>
        <v>0</v>
      </c>
      <c r="AM10" s="442"/>
      <c r="AN10" s="262">
        <f t="shared" si="7"/>
        <v>5</v>
      </c>
      <c r="AO10" s="262">
        <f>AN10/INDEX(Parameters!$B:$B,MATCH("AfschrijftermijnVVE"&amp;12*$C10,Parameters!$A:$A,0))</f>
        <v>0.1388888888888889</v>
      </c>
      <c r="AP10" s="179">
        <f t="shared" si="8"/>
        <v>118</v>
      </c>
      <c r="AQ10" s="202">
        <f>IF(AP10&lt;&gt;"nvt",INDEX('Tarieven W&amp;O'!$G:$G,$AP10),0)</f>
        <v>3.02</v>
      </c>
      <c r="AR10" s="277">
        <f>-INDEX(Parameters!$B:$B,MATCH(AR$3&amp;$M10&amp;O10,Parameters!$A:$A,0))*(AQ10)</f>
        <v>-0.30200000000000005</v>
      </c>
      <c r="AS10" s="262">
        <f>Parameters!$D$54</f>
        <v>2</v>
      </c>
      <c r="AT10" s="442">
        <f>IF(M10="WBA CM Ethernet",0,'EDC Minus'!$H$27)</f>
        <v>0</v>
      </c>
      <c r="AU10" s="150">
        <f t="shared" si="9"/>
        <v>4.718</v>
      </c>
      <c r="AV10" s="150">
        <f t="shared" si="10"/>
        <v>4.8568888888888893</v>
      </c>
      <c r="AW10" s="150"/>
      <c r="AX10" s="150">
        <f>Parameters!$B$6*AV10</f>
        <v>4.8568888888888891E-2</v>
      </c>
      <c r="AY10" s="202">
        <v>0</v>
      </c>
      <c r="AZ10" s="202"/>
      <c r="BA10" s="150">
        <f t="shared" si="11"/>
        <v>4.8568888888888891E-2</v>
      </c>
      <c r="BB10" s="150"/>
      <c r="BC10" s="151">
        <f t="shared" si="12"/>
        <v>4.9054577777777784</v>
      </c>
      <c r="BD10" s="209"/>
      <c r="BE10" s="140">
        <f t="shared" si="13"/>
        <v>1022.8723200000001</v>
      </c>
      <c r="BF10" s="141">
        <f t="shared" si="14"/>
        <v>0.99522712216216214</v>
      </c>
      <c r="BG10" s="142" t="b">
        <f t="shared" si="15"/>
        <v>0</v>
      </c>
      <c r="BH10" s="148"/>
      <c r="BI10" s="188" t="s">
        <v>538</v>
      </c>
      <c r="BJ10" s="189"/>
      <c r="BK10">
        <f>VLOOKUP(J10,'Tarieven ZM'!$B$7:$I$146,8,0)</f>
        <v>0</v>
      </c>
      <c r="BL10" s="179" t="str">
        <f>INDEX(Mapping!$M:$M,MATCH($J10,Mapping!$B:$B,0))</f>
        <v>nvt</v>
      </c>
      <c r="BM10" s="282">
        <v>0</v>
      </c>
      <c r="BN10" s="262">
        <f>BM10/INDEX(Parameters!$B:$B,MATCH("AfschrijftermijnVVE"&amp;12*$C10,Parameters!$A:$A,0))</f>
        <v>0</v>
      </c>
      <c r="BO10" s="262">
        <f>Parameters!$D$59+INDEX('inkoop ULL tbv Epacity'!I:I,MATCH($BL10,'inkoop ULL tbv Epacity'!H:H,0))</f>
        <v>1</v>
      </c>
      <c r="BP10" s="263">
        <f t="shared" si="16"/>
        <v>1</v>
      </c>
      <c r="BQ10" s="203"/>
      <c r="BR10" s="262">
        <f>Parameters!$B$12*AG10</f>
        <v>102.77777777777779</v>
      </c>
      <c r="BS10" s="262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SUM(Distributievergoedingen!$F$12,Distributievergoedingen!$I$12,Distributievergoedingen!$L$12,Distributievergoedingen!$O$12)*AF10+SUM(Distributievergoedingen!$O$12*AA10+Distributievergoedingen!$R$12+Distributievergoedingen!$U$12+Distributievergoedingen!$X$12)/(MAX(36,12*L10))</f>
        <v>112.77777777777777</v>
      </c>
      <c r="BT10" s="202"/>
      <c r="BU10" s="202">
        <f t="shared" si="17"/>
        <v>215.55555555555554</v>
      </c>
      <c r="BW10" s="151">
        <f t="shared" si="18"/>
        <v>216.55555555555554</v>
      </c>
      <c r="BY10" s="140">
        <f t="shared" si="19"/>
        <v>811.22222222222229</v>
      </c>
      <c r="BZ10" s="141">
        <f t="shared" si="20"/>
        <v>0.78929729729729736</v>
      </c>
      <c r="CA10" s="142" t="b">
        <f t="shared" si="21"/>
        <v>0</v>
      </c>
    </row>
    <row r="11" spans="1:79">
      <c r="A11" s="160" t="str">
        <f t="shared" si="0"/>
        <v>1ADSLBasicnationaal8000/1024</v>
      </c>
      <c r="B11" s="142" t="str">
        <f t="shared" si="1"/>
        <v>1ADSL8000/1024Basic</v>
      </c>
      <c r="C11" s="198">
        <v>1</v>
      </c>
      <c r="D11" s="198" t="s">
        <v>42</v>
      </c>
      <c r="E11" s="198" t="s">
        <v>44</v>
      </c>
      <c r="F11" s="198" t="s">
        <v>115</v>
      </c>
      <c r="G11" s="199" t="s">
        <v>113</v>
      </c>
      <c r="H11" s="198" t="s">
        <v>60</v>
      </c>
      <c r="J11" s="142" t="str">
        <f t="shared" si="2"/>
        <v>ADSL8000/1024Basic</v>
      </c>
      <c r="L11" s="160">
        <f>INDEX(Mapping!$J:$J,MATCH(C$3&amp;C11,Mapping!$B:$B,0))</f>
        <v>1</v>
      </c>
      <c r="M11" s="148" t="str">
        <f>INDEX(Mapping!$H:$H,MATCH($E11,Mapping!$B:$B,0))</f>
        <v>WBA CM Ethernet</v>
      </c>
      <c r="N11" s="148" t="str">
        <f>INDEX(Mapping!$I:$I,MATCH($E11&amp;$G11,Mapping!$B:$B,0))</f>
        <v>entry</v>
      </c>
      <c r="O11" s="148" t="str">
        <f>INDEX(Mapping!$I:$I,MATCH($D11,Mapping!$B:$B,0))</f>
        <v>ADSL</v>
      </c>
      <c r="P11" s="148" t="str">
        <f>INDEX(Mapping!$H:$H,MATCH($F11,Mapping!$B:$B,0))</f>
        <v>nvt</v>
      </c>
      <c r="Q11" s="148" t="str">
        <f>INDEX(Mapping!$J:$J,MATCH($E11&amp;$G11,Mapping!$B:$B,0))</f>
        <v>national</v>
      </c>
      <c r="R11" s="148" t="str">
        <f>INDEX(Mapping!$I:$I,MATCH($J11,Mapping!$B:$B,0))</f>
        <v>&lt;= 8 Mbps/&lt;= 1 Mbps</v>
      </c>
      <c r="T11" s="148" t="str">
        <f>INDEX(Mapping!$K:$K,MATCH($E11&amp;$G11,Mapping!$B:$B,0))</f>
        <v>nvt</v>
      </c>
      <c r="U11" s="142" t="str">
        <f t="shared" si="3"/>
        <v>WBA CM Ethernet&lt;= 8 Mbps/&lt;= 1 Mbpsentrynational</v>
      </c>
      <c r="W11" s="160">
        <f>MATCH($J11,'Tarieven ZM'!$B:$B,0)</f>
        <v>15</v>
      </c>
      <c r="X11" s="148">
        <f>INDEX('Tarieven ZM'!$H:$H,$W11)</f>
        <v>1000</v>
      </c>
      <c r="Y11" s="161">
        <f>-INDEX(Parameters!$B:$B,MATCH(Y$3,Parameters!$A:$A,0))*$X11</f>
        <v>0</v>
      </c>
      <c r="Z11" s="149">
        <f>-INDEX(Parameters!$B:$B,MATCH(Z$3,Parameters!$A:$A,0))*$X11</f>
        <v>0</v>
      </c>
      <c r="AA11" s="148">
        <f t="shared" si="4"/>
        <v>1000</v>
      </c>
      <c r="AB11" s="148">
        <f>AA11/INDEX(Parameters!$B:$B,MATCH("AfschrijftermijnVVE"&amp;12*$C11,Parameters!$A:$A,0))</f>
        <v>27.777777777777779</v>
      </c>
      <c r="AC11" s="148">
        <f>INDEX('Tarieven ZM'!$G:$G,$W11)</f>
        <v>1000</v>
      </c>
      <c r="AD11" s="161">
        <f>-INDEX(Parameters!$B:$B,MATCH(AD$3,Parameters!$A:$A,0))*$AC11</f>
        <v>0</v>
      </c>
      <c r="AE11" s="161">
        <f>-INDEX(Parameters!$B:$B,MATCH(AE$3,Parameters!$A:$A,0))*$AC11</f>
        <v>0</v>
      </c>
      <c r="AF11" s="148">
        <f t="shared" si="5"/>
        <v>1000</v>
      </c>
      <c r="AG11" s="151">
        <f t="shared" si="6"/>
        <v>1027.7777777777778</v>
      </c>
      <c r="AH11" s="123"/>
      <c r="AI11" s="147">
        <f>IF(R11&lt;&gt;"n.a.",MATCH($U11,'Tarieven W&amp;O'!$B:$B,0),"nvt")</f>
        <v>118</v>
      </c>
      <c r="AJ11" s="148">
        <f>IF(AI11&lt;&gt;"nvt",INDEX('Tarieven W&amp;O'!$H:$H,$AI11),0)</f>
        <v>0</v>
      </c>
      <c r="AK11" s="148">
        <f>IF(AI11&lt;&gt;"nvt",INDEX('Tarieven W&amp;O'!$I:$I,$AI11),0)</f>
        <v>5</v>
      </c>
      <c r="AL11" s="277">
        <f>IF(AI11&lt;&gt;"nvt",-INDEX(Parameters!$B:$B,MATCH(AL$3&amp;$M11,Parameters!$A:$A,0))*(AJ11+AK11),0)</f>
        <v>0</v>
      </c>
      <c r="AM11" s="442"/>
      <c r="AN11" s="262">
        <f t="shared" si="7"/>
        <v>5</v>
      </c>
      <c r="AO11" s="262">
        <f>AN11/INDEX(Parameters!$B:$B,MATCH("AfschrijftermijnVVE"&amp;12*$C11,Parameters!$A:$A,0))</f>
        <v>0.1388888888888889</v>
      </c>
      <c r="AP11" s="179">
        <f t="shared" si="8"/>
        <v>118</v>
      </c>
      <c r="AQ11" s="202">
        <f>IF(AP11&lt;&gt;"nvt",INDEX('Tarieven W&amp;O'!$G:$G,$AP11),0)</f>
        <v>3.02</v>
      </c>
      <c r="AR11" s="277">
        <f>-INDEX(Parameters!$B:$B,MATCH(AR$3&amp;$M11&amp;O11,Parameters!$A:$A,0))*(AQ11)</f>
        <v>-0.30200000000000005</v>
      </c>
      <c r="AS11" s="262">
        <f>Parameters!$D$54</f>
        <v>2</v>
      </c>
      <c r="AT11" s="442">
        <f>IF(M11="WBA CM Ethernet",0,'EDC Minus'!$H$27)</f>
        <v>0</v>
      </c>
      <c r="AU11" s="150">
        <f t="shared" si="9"/>
        <v>4.718</v>
      </c>
      <c r="AV11" s="150">
        <f t="shared" si="10"/>
        <v>4.8568888888888893</v>
      </c>
      <c r="AW11" s="150"/>
      <c r="AX11" s="150">
        <f>Parameters!$B$6*AV11</f>
        <v>4.8568888888888891E-2</v>
      </c>
      <c r="AY11" s="202">
        <v>0</v>
      </c>
      <c r="AZ11" s="202"/>
      <c r="BA11" s="150">
        <f t="shared" si="11"/>
        <v>4.8568888888888891E-2</v>
      </c>
      <c r="BB11" s="150"/>
      <c r="BC11" s="151">
        <f t="shared" si="12"/>
        <v>4.9054577777777784</v>
      </c>
      <c r="BD11" s="209"/>
      <c r="BE11" s="140">
        <f t="shared" si="13"/>
        <v>1022.8723200000001</v>
      </c>
      <c r="BF11" s="141">
        <f t="shared" si="14"/>
        <v>0.99522712216216214</v>
      </c>
      <c r="BG11" s="142" t="b">
        <f t="shared" si="15"/>
        <v>0</v>
      </c>
      <c r="BH11" s="148"/>
      <c r="BI11" s="188" t="s">
        <v>538</v>
      </c>
      <c r="BJ11" s="189"/>
      <c r="BK11">
        <f>VLOOKUP(J11,'Tarieven ZM'!$B$7:$I$146,8,0)</f>
        <v>0</v>
      </c>
      <c r="BL11" s="179" t="str">
        <f>INDEX(Mapping!$M:$M,MATCH($J11,Mapping!$B:$B,0))</f>
        <v>nvt</v>
      </c>
      <c r="BM11" s="282">
        <v>0</v>
      </c>
      <c r="BN11" s="262">
        <f>BM11/INDEX(Parameters!$B:$B,MATCH("AfschrijftermijnVVE"&amp;12*$C11,Parameters!$A:$A,0))</f>
        <v>0</v>
      </c>
      <c r="BO11" s="262">
        <f>Parameters!$D$59+INDEX('inkoop ULL tbv Epacity'!I:I,MATCH($BL11,'inkoop ULL tbv Epacity'!H:H,0))</f>
        <v>1</v>
      </c>
      <c r="BP11" s="263">
        <f t="shared" si="16"/>
        <v>1</v>
      </c>
      <c r="BQ11" s="203"/>
      <c r="BR11" s="262">
        <f>Parameters!$B$12*AG11</f>
        <v>102.77777777777779</v>
      </c>
      <c r="BS11" s="262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SUM(Distributievergoedingen!$F$12,Distributievergoedingen!$I$12,Distributievergoedingen!$L$12,Distributievergoedingen!$O$12)*AF11+SUM(Distributievergoedingen!$O$12*AA11+Distributievergoedingen!$R$12+Distributievergoedingen!$U$12+Distributievergoedingen!$X$12)/(MAX(36,12*L11))</f>
        <v>112.77777777777777</v>
      </c>
      <c r="BT11" s="202"/>
      <c r="BU11" s="202">
        <f t="shared" si="17"/>
        <v>215.55555555555554</v>
      </c>
      <c r="BW11" s="151">
        <f t="shared" si="18"/>
        <v>216.55555555555554</v>
      </c>
      <c r="BY11" s="140">
        <f t="shared" si="19"/>
        <v>811.22222222222229</v>
      </c>
      <c r="BZ11" s="141">
        <f t="shared" si="20"/>
        <v>0.78929729729729736</v>
      </c>
      <c r="CA11" s="142" t="b">
        <f t="shared" si="21"/>
        <v>0</v>
      </c>
    </row>
    <row r="12" spans="1:79">
      <c r="A12" s="160" t="str">
        <f t="shared" si="0"/>
        <v>1ADSLBasicnationaal12000/1024</v>
      </c>
      <c r="B12" s="142" t="str">
        <f t="shared" si="1"/>
        <v>1ADSL12000/1024Basic</v>
      </c>
      <c r="C12" s="198">
        <v>1</v>
      </c>
      <c r="D12" s="198" t="s">
        <v>42</v>
      </c>
      <c r="E12" s="198" t="s">
        <v>44</v>
      </c>
      <c r="F12" s="198" t="s">
        <v>115</v>
      </c>
      <c r="G12" s="199" t="s">
        <v>113</v>
      </c>
      <c r="H12" s="198" t="s">
        <v>61</v>
      </c>
      <c r="J12" s="142" t="str">
        <f t="shared" si="2"/>
        <v>ADSL12000/1024Basic</v>
      </c>
      <c r="L12" s="160">
        <f>INDEX(Mapping!$J:$J,MATCH(C$3&amp;C12,Mapping!$B:$B,0))</f>
        <v>1</v>
      </c>
      <c r="M12" s="148" t="str">
        <f>INDEX(Mapping!$H:$H,MATCH($E12,Mapping!$B:$B,0))</f>
        <v>WBA CM Ethernet</v>
      </c>
      <c r="N12" s="148" t="str">
        <f>INDEX(Mapping!$I:$I,MATCH($E12&amp;$G12,Mapping!$B:$B,0))</f>
        <v>entry</v>
      </c>
      <c r="O12" s="148" t="str">
        <f>INDEX(Mapping!$I:$I,MATCH($D12,Mapping!$B:$B,0))</f>
        <v>ADSL</v>
      </c>
      <c r="P12" s="148" t="str">
        <f>INDEX(Mapping!$H:$H,MATCH($F12,Mapping!$B:$B,0))</f>
        <v>nvt</v>
      </c>
      <c r="Q12" s="148" t="str">
        <f>INDEX(Mapping!$J:$J,MATCH($E12&amp;$G12,Mapping!$B:$B,0))</f>
        <v>national</v>
      </c>
      <c r="R12" s="148" t="str">
        <f>INDEX(Mapping!$I:$I,MATCH($J12,Mapping!$B:$B,0))</f>
        <v>&lt;= 20 Mbps/&lt;= 1 Mbps</v>
      </c>
      <c r="T12" s="148" t="str">
        <f>INDEX(Mapping!$K:$K,MATCH($E12&amp;$G12,Mapping!$B:$B,0))</f>
        <v>nvt</v>
      </c>
      <c r="U12" s="142" t="str">
        <f t="shared" si="3"/>
        <v>WBA CM Ethernet&lt;= 20 Mbps/&lt;= 1 Mbpsentrynational</v>
      </c>
      <c r="W12" s="160">
        <f>MATCH($J12,'Tarieven ZM'!$B:$B,0)</f>
        <v>16</v>
      </c>
      <c r="X12" s="148">
        <f>INDEX('Tarieven ZM'!$H:$H,$W12)</f>
        <v>1000</v>
      </c>
      <c r="Y12" s="161">
        <f>-INDEX(Parameters!$B:$B,MATCH(Y$3,Parameters!$A:$A,0))*$X12</f>
        <v>0</v>
      </c>
      <c r="Z12" s="149">
        <f>-INDEX(Parameters!$B:$B,MATCH(Z$3,Parameters!$A:$A,0))*$X12</f>
        <v>0</v>
      </c>
      <c r="AA12" s="148">
        <f t="shared" si="4"/>
        <v>1000</v>
      </c>
      <c r="AB12" s="148">
        <f>AA12/INDEX(Parameters!$B:$B,MATCH("AfschrijftermijnVVE"&amp;12*$C12,Parameters!$A:$A,0))</f>
        <v>27.777777777777779</v>
      </c>
      <c r="AC12" s="148">
        <f>INDEX('Tarieven ZM'!$G:$G,$W12)</f>
        <v>1000</v>
      </c>
      <c r="AD12" s="161">
        <f>-INDEX(Parameters!$B:$B,MATCH(AD$3,Parameters!$A:$A,0))*$AC12</f>
        <v>0</v>
      </c>
      <c r="AE12" s="161">
        <f>-INDEX(Parameters!$B:$B,MATCH(AE$3,Parameters!$A:$A,0))*$AC12</f>
        <v>0</v>
      </c>
      <c r="AF12" s="148">
        <f t="shared" si="5"/>
        <v>1000</v>
      </c>
      <c r="AG12" s="151">
        <f t="shared" si="6"/>
        <v>1027.7777777777778</v>
      </c>
      <c r="AH12" s="123"/>
      <c r="AI12" s="147">
        <f>IF(R12&lt;&gt;"n.a.",MATCH($U12,'Tarieven W&amp;O'!$B:$B,0),"nvt")</f>
        <v>119</v>
      </c>
      <c r="AJ12" s="148">
        <f>IF(AI12&lt;&gt;"nvt",INDEX('Tarieven W&amp;O'!$H:$H,$AI12),0)</f>
        <v>0</v>
      </c>
      <c r="AK12" s="148">
        <f>IF(AI12&lt;&gt;"nvt",INDEX('Tarieven W&amp;O'!$I:$I,$AI12),0)</f>
        <v>5</v>
      </c>
      <c r="AL12" s="277">
        <f>IF(AI12&lt;&gt;"nvt",-INDEX(Parameters!$B:$B,MATCH(AL$3&amp;$M12,Parameters!$A:$A,0))*(AJ12+AK12),0)</f>
        <v>0</v>
      </c>
      <c r="AM12" s="442"/>
      <c r="AN12" s="262">
        <f t="shared" si="7"/>
        <v>5</v>
      </c>
      <c r="AO12" s="262">
        <f>AN12/INDEX(Parameters!$B:$B,MATCH("AfschrijftermijnVVE"&amp;12*$C12,Parameters!$A:$A,0))</f>
        <v>0.1388888888888889</v>
      </c>
      <c r="AP12" s="179">
        <f t="shared" si="8"/>
        <v>119</v>
      </c>
      <c r="AQ12" s="202">
        <f>IF(AP12&lt;&gt;"nvt",INDEX('Tarieven W&amp;O'!$G:$G,$AP12),0)</f>
        <v>3.02</v>
      </c>
      <c r="AR12" s="277">
        <f>-INDEX(Parameters!$B:$B,MATCH(AR$3&amp;$M12&amp;O12,Parameters!$A:$A,0))*(AQ12)</f>
        <v>-0.30200000000000005</v>
      </c>
      <c r="AS12" s="262">
        <f>Parameters!$D$54</f>
        <v>2</v>
      </c>
      <c r="AT12" s="442">
        <f>IF(M12="WBA CM Ethernet",0,'EDC Minus'!$H$27)</f>
        <v>0</v>
      </c>
      <c r="AU12" s="150">
        <f t="shared" si="9"/>
        <v>4.718</v>
      </c>
      <c r="AV12" s="150">
        <f t="shared" si="10"/>
        <v>4.8568888888888893</v>
      </c>
      <c r="AW12" s="150"/>
      <c r="AX12" s="150">
        <f>Parameters!$B$6*AV12</f>
        <v>4.8568888888888891E-2</v>
      </c>
      <c r="AY12" s="202">
        <v>0</v>
      </c>
      <c r="AZ12" s="202"/>
      <c r="BA12" s="150">
        <f t="shared" si="11"/>
        <v>4.8568888888888891E-2</v>
      </c>
      <c r="BB12" s="150"/>
      <c r="BC12" s="151">
        <f t="shared" si="12"/>
        <v>4.9054577777777784</v>
      </c>
      <c r="BD12" s="209"/>
      <c r="BE12" s="140">
        <f t="shared" si="13"/>
        <v>1022.8723200000001</v>
      </c>
      <c r="BF12" s="141">
        <f t="shared" si="14"/>
        <v>0.99522712216216214</v>
      </c>
      <c r="BG12" s="142" t="b">
        <f t="shared" si="15"/>
        <v>0</v>
      </c>
      <c r="BH12" s="148"/>
      <c r="BI12" s="188" t="s">
        <v>538</v>
      </c>
      <c r="BJ12" s="189"/>
      <c r="BK12">
        <f>VLOOKUP(J12,'Tarieven ZM'!$B$7:$I$146,8,0)</f>
        <v>0</v>
      </c>
      <c r="BL12" s="179" t="str">
        <f>INDEX(Mapping!$M:$M,MATCH($J12,Mapping!$B:$B,0))</f>
        <v>nvt</v>
      </c>
      <c r="BM12" s="282">
        <v>0</v>
      </c>
      <c r="BN12" s="262">
        <f>BM12/INDEX(Parameters!$B:$B,MATCH("AfschrijftermijnVVE"&amp;12*$C12,Parameters!$A:$A,0))</f>
        <v>0</v>
      </c>
      <c r="BO12" s="262">
        <f>Parameters!$D$59+INDEX('inkoop ULL tbv Epacity'!I:I,MATCH($BL12,'inkoop ULL tbv Epacity'!H:H,0))</f>
        <v>1</v>
      </c>
      <c r="BP12" s="263">
        <f t="shared" si="16"/>
        <v>1</v>
      </c>
      <c r="BQ12" s="203"/>
      <c r="BR12" s="262">
        <f>Parameters!$B$12*AG12</f>
        <v>102.77777777777779</v>
      </c>
      <c r="BS12" s="262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SUM(Distributievergoedingen!$F$12,Distributievergoedingen!$I$12,Distributievergoedingen!$L$12,Distributievergoedingen!$O$12)*AF12+SUM(Distributievergoedingen!$O$12*AA12+Distributievergoedingen!$R$12+Distributievergoedingen!$U$12+Distributievergoedingen!$X$12)/(MAX(36,12*L12))</f>
        <v>112.77777777777777</v>
      </c>
      <c r="BT12" s="202"/>
      <c r="BU12" s="202">
        <f t="shared" si="17"/>
        <v>215.55555555555554</v>
      </c>
      <c r="BW12" s="151">
        <f t="shared" si="18"/>
        <v>216.55555555555554</v>
      </c>
      <c r="BY12" s="140">
        <f t="shared" si="19"/>
        <v>811.22222222222229</v>
      </c>
      <c r="BZ12" s="141">
        <f t="shared" si="20"/>
        <v>0.78929729729729736</v>
      </c>
      <c r="CA12" s="142" t="b">
        <f t="shared" si="21"/>
        <v>0</v>
      </c>
    </row>
    <row r="13" spans="1:79">
      <c r="A13" s="160" t="str">
        <f t="shared" si="0"/>
        <v>1ADSLBasicnationaal20000/1024</v>
      </c>
      <c r="B13" s="142" t="str">
        <f t="shared" si="1"/>
        <v>1ADSL20000/1024Basic</v>
      </c>
      <c r="C13" s="198">
        <v>1</v>
      </c>
      <c r="D13" s="198" t="s">
        <v>42</v>
      </c>
      <c r="E13" s="198" t="s">
        <v>44</v>
      </c>
      <c r="F13" s="198" t="s">
        <v>115</v>
      </c>
      <c r="G13" s="199" t="s">
        <v>113</v>
      </c>
      <c r="H13" s="198" t="s">
        <v>63</v>
      </c>
      <c r="J13" s="142" t="str">
        <f t="shared" si="2"/>
        <v>ADSL20000/1024Basic</v>
      </c>
      <c r="L13" s="160">
        <f>INDEX(Mapping!$J:$J,MATCH(C$3&amp;C13,Mapping!$B:$B,0))</f>
        <v>1</v>
      </c>
      <c r="M13" s="148" t="str">
        <f>INDEX(Mapping!$H:$H,MATCH($E13,Mapping!$B:$B,0))</f>
        <v>WBA CM Ethernet</v>
      </c>
      <c r="N13" s="148" t="str">
        <f>INDEX(Mapping!$I:$I,MATCH($E13&amp;$G13,Mapping!$B:$B,0))</f>
        <v>entry</v>
      </c>
      <c r="O13" s="148" t="str">
        <f>INDEX(Mapping!$I:$I,MATCH($D13,Mapping!$B:$B,0))</f>
        <v>ADSL</v>
      </c>
      <c r="P13" s="148" t="str">
        <f>INDEX(Mapping!$H:$H,MATCH($F13,Mapping!$B:$B,0))</f>
        <v>nvt</v>
      </c>
      <c r="Q13" s="148" t="str">
        <f>INDEX(Mapping!$J:$J,MATCH($E13&amp;$G13,Mapping!$B:$B,0))</f>
        <v>national</v>
      </c>
      <c r="R13" s="148" t="str">
        <f>INDEX(Mapping!$I:$I,MATCH($J13,Mapping!$B:$B,0))</f>
        <v>&lt;= 20 Mbps/&lt;= 1 Mbps</v>
      </c>
      <c r="T13" s="148" t="str">
        <f>INDEX(Mapping!$K:$K,MATCH($E13&amp;$G13,Mapping!$B:$B,0))</f>
        <v>nvt</v>
      </c>
      <c r="U13" s="142" t="str">
        <f t="shared" si="3"/>
        <v>WBA CM Ethernet&lt;= 20 Mbps/&lt;= 1 Mbpsentrynational</v>
      </c>
      <c r="W13" s="160">
        <f>MATCH($J13,'Tarieven ZM'!$B:$B,0)</f>
        <v>17</v>
      </c>
      <c r="X13" s="148">
        <f>INDEX('Tarieven ZM'!$H:$H,$W13)</f>
        <v>1000</v>
      </c>
      <c r="Y13" s="161">
        <f>-INDEX(Parameters!$B:$B,MATCH(Y$3,Parameters!$A:$A,0))*$X13</f>
        <v>0</v>
      </c>
      <c r="Z13" s="149">
        <f>-INDEX(Parameters!$B:$B,MATCH(Z$3,Parameters!$A:$A,0))*$X13</f>
        <v>0</v>
      </c>
      <c r="AA13" s="148">
        <f t="shared" si="4"/>
        <v>1000</v>
      </c>
      <c r="AB13" s="148">
        <f>AA13/INDEX(Parameters!$B:$B,MATCH("AfschrijftermijnVVE"&amp;12*$C13,Parameters!$A:$A,0))</f>
        <v>27.777777777777779</v>
      </c>
      <c r="AC13" s="148">
        <f>INDEX('Tarieven ZM'!$G:$G,$W13)</f>
        <v>1000</v>
      </c>
      <c r="AD13" s="161">
        <f>-INDEX(Parameters!$B:$B,MATCH(AD$3,Parameters!$A:$A,0))*$AC13</f>
        <v>0</v>
      </c>
      <c r="AE13" s="161">
        <f>-INDEX(Parameters!$B:$B,MATCH(AE$3,Parameters!$A:$A,0))*$AC13</f>
        <v>0</v>
      </c>
      <c r="AF13" s="148">
        <f t="shared" si="5"/>
        <v>1000</v>
      </c>
      <c r="AG13" s="151">
        <f t="shared" si="6"/>
        <v>1027.7777777777778</v>
      </c>
      <c r="AH13" s="123"/>
      <c r="AI13" s="147">
        <f>IF(R13&lt;&gt;"n.a.",MATCH($U13,'Tarieven W&amp;O'!$B:$B,0),"nvt")</f>
        <v>119</v>
      </c>
      <c r="AJ13" s="148">
        <f>IF(AI13&lt;&gt;"nvt",INDEX('Tarieven W&amp;O'!$H:$H,$AI13),0)</f>
        <v>0</v>
      </c>
      <c r="AK13" s="148">
        <f>IF(AI13&lt;&gt;"nvt",INDEX('Tarieven W&amp;O'!$I:$I,$AI13),0)</f>
        <v>5</v>
      </c>
      <c r="AL13" s="277">
        <f>IF(AI13&lt;&gt;"nvt",-INDEX(Parameters!$B:$B,MATCH(AL$3&amp;$M13,Parameters!$A:$A,0))*(AJ13+AK13),0)</f>
        <v>0</v>
      </c>
      <c r="AM13" s="442"/>
      <c r="AN13" s="262">
        <f t="shared" si="7"/>
        <v>5</v>
      </c>
      <c r="AO13" s="262">
        <f>AN13/INDEX(Parameters!$B:$B,MATCH("AfschrijftermijnVVE"&amp;12*$C13,Parameters!$A:$A,0))</f>
        <v>0.1388888888888889</v>
      </c>
      <c r="AP13" s="179">
        <f t="shared" si="8"/>
        <v>119</v>
      </c>
      <c r="AQ13" s="202">
        <f>IF(AP13&lt;&gt;"nvt",INDEX('Tarieven W&amp;O'!$G:$G,$AP13),0)</f>
        <v>3.02</v>
      </c>
      <c r="AR13" s="277">
        <f>-INDEX(Parameters!$B:$B,MATCH(AR$3&amp;$M13&amp;O13,Parameters!$A:$A,0))*(AQ13)</f>
        <v>-0.30200000000000005</v>
      </c>
      <c r="AS13" s="262">
        <f>Parameters!$D$54</f>
        <v>2</v>
      </c>
      <c r="AT13" s="442">
        <f>IF(M13="WBA CM Ethernet",0,'EDC Minus'!$H$27)</f>
        <v>0</v>
      </c>
      <c r="AU13" s="150">
        <f t="shared" si="9"/>
        <v>4.718</v>
      </c>
      <c r="AV13" s="150">
        <f t="shared" si="10"/>
        <v>4.8568888888888893</v>
      </c>
      <c r="AW13" s="150"/>
      <c r="AX13" s="150">
        <f>Parameters!$B$6*AV13</f>
        <v>4.8568888888888891E-2</v>
      </c>
      <c r="AY13" s="202">
        <v>0</v>
      </c>
      <c r="AZ13" s="202"/>
      <c r="BA13" s="150">
        <f t="shared" si="11"/>
        <v>4.8568888888888891E-2</v>
      </c>
      <c r="BB13" s="150"/>
      <c r="BC13" s="151">
        <f t="shared" si="12"/>
        <v>4.9054577777777784</v>
      </c>
      <c r="BD13" s="209"/>
      <c r="BE13" s="140">
        <f t="shared" si="13"/>
        <v>1022.8723200000001</v>
      </c>
      <c r="BF13" s="141">
        <f t="shared" si="14"/>
        <v>0.99522712216216214</v>
      </c>
      <c r="BG13" s="142" t="b">
        <f t="shared" si="15"/>
        <v>0</v>
      </c>
      <c r="BH13" s="148"/>
      <c r="BI13" s="188" t="s">
        <v>538</v>
      </c>
      <c r="BJ13" s="189"/>
      <c r="BK13">
        <f>VLOOKUP(J13,'Tarieven ZM'!$B$7:$I$146,8,0)</f>
        <v>0</v>
      </c>
      <c r="BL13" s="179" t="str">
        <f>INDEX(Mapping!$M:$M,MATCH($J13,Mapping!$B:$B,0))</f>
        <v>nvt</v>
      </c>
      <c r="BM13" s="282">
        <v>0</v>
      </c>
      <c r="BN13" s="262">
        <f>BM13/INDEX(Parameters!$B:$B,MATCH("AfschrijftermijnVVE"&amp;12*$C13,Parameters!$A:$A,0))</f>
        <v>0</v>
      </c>
      <c r="BO13" s="262">
        <f>Parameters!$D$59+INDEX('inkoop ULL tbv Epacity'!I:I,MATCH($BL13,'inkoop ULL tbv Epacity'!H:H,0))</f>
        <v>1</v>
      </c>
      <c r="BP13" s="263">
        <f t="shared" si="16"/>
        <v>1</v>
      </c>
      <c r="BQ13" s="203"/>
      <c r="BR13" s="262">
        <f>Parameters!$B$12*AG13</f>
        <v>102.77777777777779</v>
      </c>
      <c r="BS13" s="262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SUM(Distributievergoedingen!$F$12,Distributievergoedingen!$I$12,Distributievergoedingen!$L$12,Distributievergoedingen!$O$12)*AF13+SUM(Distributievergoedingen!$O$12*AA13+Distributievergoedingen!$R$12+Distributievergoedingen!$U$12+Distributievergoedingen!$X$12)/(MAX(36,12*L13))</f>
        <v>112.77777777777777</v>
      </c>
      <c r="BT13" s="202"/>
      <c r="BU13" s="202">
        <f t="shared" si="17"/>
        <v>215.55555555555554</v>
      </c>
      <c r="BW13" s="151">
        <f t="shared" si="18"/>
        <v>216.55555555555554</v>
      </c>
      <c r="BY13" s="140">
        <f t="shared" si="19"/>
        <v>811.22222222222229</v>
      </c>
      <c r="BZ13" s="141">
        <f t="shared" si="20"/>
        <v>0.78929729729729736</v>
      </c>
      <c r="CA13" s="142" t="b">
        <f t="shared" si="21"/>
        <v>0</v>
      </c>
    </row>
    <row r="14" spans="1:79">
      <c r="A14" s="160" t="str">
        <f t="shared" si="0"/>
        <v>1ADSLPremiumnationaal128/128</v>
      </c>
      <c r="B14" s="142" t="str">
        <f t="shared" si="1"/>
        <v>1ADSL128/128Premium</v>
      </c>
      <c r="C14" s="198">
        <v>1</v>
      </c>
      <c r="D14" s="198" t="s">
        <v>42</v>
      </c>
      <c r="E14" s="198" t="s">
        <v>70</v>
      </c>
      <c r="F14" s="198" t="s">
        <v>115</v>
      </c>
      <c r="G14" s="199" t="s">
        <v>113</v>
      </c>
      <c r="H14" s="198" t="s">
        <v>43</v>
      </c>
      <c r="J14" s="142" t="str">
        <f t="shared" si="2"/>
        <v>ADSL128/128Premium</v>
      </c>
      <c r="L14" s="160">
        <f>INDEX(Mapping!$J:$J,MATCH(C$3&amp;C14,Mapping!$B:$B,0))</f>
        <v>1</v>
      </c>
      <c r="M14" s="148" t="str">
        <f>INDEX(Mapping!$H:$H,MATCH($E14,Mapping!$B:$B,0))</f>
        <v>WBA ZM Ethernet</v>
      </c>
      <c r="N14" s="148" t="str">
        <f>INDEX(Mapping!$I:$I,MATCH($E14&amp;$G14,Mapping!$B:$B,0))</f>
        <v>premium</v>
      </c>
      <c r="O14" s="148" t="str">
        <f>INDEX(Mapping!$I:$I,MATCH($D14,Mapping!$B:$B,0))</f>
        <v>ADSL</v>
      </c>
      <c r="P14" s="148" t="str">
        <f>INDEX(Mapping!$H:$H,MATCH($F14,Mapping!$B:$B,0))</f>
        <v>nvt</v>
      </c>
      <c r="Q14" s="148" t="str">
        <f>INDEX(Mapping!$J:$J,MATCH($E14&amp;$G14,Mapping!$B:$B,0))</f>
        <v>metro</v>
      </c>
      <c r="R14" s="148" t="str">
        <f>INDEX(Mapping!$I:$I,MATCH($J14,Mapping!$B:$B,0))</f>
        <v>&lt;=256 kbps/&lt;=256 kbps</v>
      </c>
      <c r="T14" s="148" t="str">
        <f>INDEX(Mapping!$K:$K,MATCH($E14&amp;$G14,Mapping!$B:$B,0))</f>
        <v>metro-nationaal</v>
      </c>
      <c r="U14" s="142" t="str">
        <f t="shared" si="3"/>
        <v>WBA ZM Ethernet&lt;=256 kbps/&lt;=256 kbpspremiummetro</v>
      </c>
      <c r="W14" s="160">
        <f>MATCH($J14,'Tarieven ZM'!$B:$B,0)</f>
        <v>18</v>
      </c>
      <c r="X14" s="148">
        <f>INDEX('Tarieven ZM'!$H:$H,$W14)</f>
        <v>1000</v>
      </c>
      <c r="Y14" s="161">
        <f>-INDEX(Parameters!$B:$B,MATCH(Y$3,Parameters!$A:$A,0))*$X14</f>
        <v>0</v>
      </c>
      <c r="Z14" s="149">
        <f>-INDEX(Parameters!$B:$B,MATCH(Z$3,Parameters!$A:$A,0))*$X14</f>
        <v>0</v>
      </c>
      <c r="AA14" s="148">
        <f t="shared" si="4"/>
        <v>1000</v>
      </c>
      <c r="AB14" s="148">
        <f>AA14/INDEX(Parameters!$B:$B,MATCH("AfschrijftermijnVVE"&amp;12*$C14,Parameters!$A:$A,0))</f>
        <v>27.777777777777779</v>
      </c>
      <c r="AC14" s="148">
        <f>INDEX('Tarieven ZM'!$G:$G,$W14)</f>
        <v>1000</v>
      </c>
      <c r="AD14" s="161">
        <f>-INDEX(Parameters!$B:$B,MATCH(AD$3,Parameters!$A:$A,0))*$AC14</f>
        <v>0</v>
      </c>
      <c r="AE14" s="161">
        <f>-INDEX(Parameters!$B:$B,MATCH(AE$3,Parameters!$A:$A,0))*$AC14</f>
        <v>0</v>
      </c>
      <c r="AF14" s="148">
        <f t="shared" si="5"/>
        <v>1000</v>
      </c>
      <c r="AG14" s="151">
        <f t="shared" si="6"/>
        <v>1027.7777777777778</v>
      </c>
      <c r="AH14" s="123"/>
      <c r="AI14" s="147">
        <f>IF(R14&lt;&gt;"n.a.",MATCH($U14,'Tarieven W&amp;O'!$B:$B,0),"nvt")</f>
        <v>137</v>
      </c>
      <c r="AJ14" s="148">
        <f>IF(AI14&lt;&gt;"nvt",INDEX('Tarieven W&amp;O'!$H:$H,$AI14),0)</f>
        <v>0</v>
      </c>
      <c r="AK14" s="148">
        <f>IF(AI14&lt;&gt;"nvt",INDEX('Tarieven W&amp;O'!$I:$I,$AI14),0)</f>
        <v>5</v>
      </c>
      <c r="AL14" s="277">
        <f>IF(AI14&lt;&gt;"nvt",-INDEX(Parameters!$B:$B,MATCH(AL$3&amp;$M14,Parameters!$A:$A,0))*(AJ14+AK14),0)</f>
        <v>0</v>
      </c>
      <c r="AM14" s="442"/>
      <c r="AN14" s="262">
        <f t="shared" si="7"/>
        <v>5</v>
      </c>
      <c r="AO14" s="262">
        <f>AN14/INDEX(Parameters!$B:$B,MATCH("AfschrijftermijnVVE"&amp;12*$C14,Parameters!$A:$A,0))</f>
        <v>0.1388888888888889</v>
      </c>
      <c r="AP14" s="179">
        <f t="shared" si="8"/>
        <v>137</v>
      </c>
      <c r="AQ14" s="202">
        <f>IF(AP14&lt;&gt;"nvt",INDEX('Tarieven W&amp;O'!$G:$G,$AP14),0)</f>
        <v>7.41</v>
      </c>
      <c r="AR14" s="277">
        <f>-INDEX(Parameters!$B:$B,MATCH(AR$3&amp;$M14&amp;O14,Parameters!$A:$A,0))*(AQ14)</f>
        <v>0</v>
      </c>
      <c r="AS14" s="262">
        <f>Parameters!$D$54</f>
        <v>2</v>
      </c>
      <c r="AT14" s="442">
        <f>IF(M14="WBA CM Ethernet",0,'EDC Minus'!$H$27)</f>
        <v>1</v>
      </c>
      <c r="AU14" s="150">
        <f t="shared" si="9"/>
        <v>10.41</v>
      </c>
      <c r="AV14" s="150">
        <f t="shared" si="10"/>
        <v>10.548888888888889</v>
      </c>
      <c r="AW14" s="150"/>
      <c r="AX14" s="150">
        <f>Parameters!$B$6*AV14</f>
        <v>0.1054888888888889</v>
      </c>
      <c r="AY14" s="202">
        <v>0</v>
      </c>
      <c r="AZ14" s="202"/>
      <c r="BA14" s="150">
        <f t="shared" si="11"/>
        <v>0.1054888888888889</v>
      </c>
      <c r="BB14" s="150"/>
      <c r="BC14" s="151">
        <f t="shared" si="12"/>
        <v>10.654377777777778</v>
      </c>
      <c r="BD14" s="209"/>
      <c r="BE14" s="140">
        <f t="shared" si="13"/>
        <v>1017.1234000000001</v>
      </c>
      <c r="BF14" s="141">
        <f t="shared" si="14"/>
        <v>0.9896335783783784</v>
      </c>
      <c r="BG14" s="142" t="b">
        <f t="shared" si="15"/>
        <v>0</v>
      </c>
      <c r="BH14" s="148"/>
      <c r="BI14" s="188" t="s">
        <v>538</v>
      </c>
      <c r="BJ14" s="189"/>
      <c r="BK14">
        <f>VLOOKUP(J14,'Tarieven ZM'!$B$7:$I$146,8,0)</f>
        <v>0</v>
      </c>
      <c r="BL14" s="179" t="str">
        <f>INDEX(Mapping!$M:$M,MATCH($J14,Mapping!$B:$B,0))</f>
        <v>nvt</v>
      </c>
      <c r="BM14" s="282">
        <v>0</v>
      </c>
      <c r="BN14" s="262">
        <f>BM14/INDEX(Parameters!$B:$B,MATCH("AfschrijftermijnVVE"&amp;12*$C14,Parameters!$A:$A,0))</f>
        <v>0</v>
      </c>
      <c r="BO14" s="262">
        <f>Parameters!$D$59+INDEX('inkoop ULL tbv Epacity'!I:I,MATCH($BL14,'inkoop ULL tbv Epacity'!H:H,0))</f>
        <v>1</v>
      </c>
      <c r="BP14" s="263">
        <f t="shared" si="16"/>
        <v>1</v>
      </c>
      <c r="BQ14" s="203"/>
      <c r="BR14" s="262">
        <f>Parameters!$B$12*AG14</f>
        <v>102.77777777777779</v>
      </c>
      <c r="BS14" s="262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SUM(Distributievergoedingen!$F$12,Distributievergoedingen!$I$12,Distributievergoedingen!$L$12,Distributievergoedingen!$O$12)*AF14+SUM(Distributievergoedingen!$O$12*AA14+Distributievergoedingen!$R$12+Distributievergoedingen!$U$12+Distributievergoedingen!$X$12)/(MAX(36,12*L14))</f>
        <v>112.77777777777777</v>
      </c>
      <c r="BT14" s="202"/>
      <c r="BU14" s="202">
        <f t="shared" si="17"/>
        <v>215.55555555555554</v>
      </c>
      <c r="BW14" s="151">
        <f t="shared" si="18"/>
        <v>216.55555555555554</v>
      </c>
      <c r="BY14" s="140">
        <f t="shared" si="19"/>
        <v>811.22222222222229</v>
      </c>
      <c r="BZ14" s="141">
        <f t="shared" si="20"/>
        <v>0.78929729729729736</v>
      </c>
      <c r="CA14" s="142" t="b">
        <f t="shared" si="21"/>
        <v>0</v>
      </c>
    </row>
    <row r="15" spans="1:79">
      <c r="A15" s="160" t="str">
        <f t="shared" si="0"/>
        <v>1ADSLPremiumnationaal256/256</v>
      </c>
      <c r="B15" s="142" t="str">
        <f t="shared" si="1"/>
        <v>1ADSL256/256Premium</v>
      </c>
      <c r="C15" s="198">
        <v>1</v>
      </c>
      <c r="D15" s="198" t="s">
        <v>42</v>
      </c>
      <c r="E15" s="198" t="s">
        <v>70</v>
      </c>
      <c r="F15" s="198" t="s">
        <v>115</v>
      </c>
      <c r="G15" s="199" t="s">
        <v>113</v>
      </c>
      <c r="H15" s="198" t="s">
        <v>48</v>
      </c>
      <c r="J15" s="142" t="str">
        <f t="shared" si="2"/>
        <v>ADSL256/256Premium</v>
      </c>
      <c r="L15" s="160">
        <f>INDEX(Mapping!$J:$J,MATCH(C$3&amp;C15,Mapping!$B:$B,0))</f>
        <v>1</v>
      </c>
      <c r="M15" s="148" t="str">
        <f>INDEX(Mapping!$H:$H,MATCH($E15,Mapping!$B:$B,0))</f>
        <v>WBA ZM Ethernet</v>
      </c>
      <c r="N15" s="148" t="str">
        <f>INDEX(Mapping!$I:$I,MATCH($E15&amp;$G15,Mapping!$B:$B,0))</f>
        <v>premium</v>
      </c>
      <c r="O15" s="148" t="str">
        <f>INDEX(Mapping!$I:$I,MATCH($D15,Mapping!$B:$B,0))</f>
        <v>ADSL</v>
      </c>
      <c r="P15" s="148" t="str">
        <f>INDEX(Mapping!$H:$H,MATCH($F15,Mapping!$B:$B,0))</f>
        <v>nvt</v>
      </c>
      <c r="Q15" s="148" t="str">
        <f>INDEX(Mapping!$J:$J,MATCH($E15&amp;$G15,Mapping!$B:$B,0))</f>
        <v>metro</v>
      </c>
      <c r="R15" s="148" t="str">
        <f>INDEX(Mapping!$I:$I,MATCH($J15,Mapping!$B:$B,0))</f>
        <v>1 Mbps/1 Mbps</v>
      </c>
      <c r="T15" s="148" t="str">
        <f>INDEX(Mapping!$K:$K,MATCH($E15&amp;$G15,Mapping!$B:$B,0))</f>
        <v>metro-nationaal</v>
      </c>
      <c r="U15" s="142" t="str">
        <f t="shared" si="3"/>
        <v>WBA ZM Ethernet1 Mbps/1 Mbpspremiummetro</v>
      </c>
      <c r="W15" s="160">
        <f>MATCH($J15,'Tarieven ZM'!$B:$B,0)</f>
        <v>19</v>
      </c>
      <c r="X15" s="148">
        <f>INDEX('Tarieven ZM'!$H:$H,$W15)</f>
        <v>1000</v>
      </c>
      <c r="Y15" s="161">
        <f>-INDEX(Parameters!$B:$B,MATCH(Y$3,Parameters!$A:$A,0))*$X15</f>
        <v>0</v>
      </c>
      <c r="Z15" s="149">
        <f>-INDEX(Parameters!$B:$B,MATCH(Z$3,Parameters!$A:$A,0))*$X15</f>
        <v>0</v>
      </c>
      <c r="AA15" s="148">
        <f t="shared" si="4"/>
        <v>1000</v>
      </c>
      <c r="AB15" s="148">
        <f>AA15/INDEX(Parameters!$B:$B,MATCH("AfschrijftermijnVVE"&amp;12*$C15,Parameters!$A:$A,0))</f>
        <v>27.777777777777779</v>
      </c>
      <c r="AC15" s="148">
        <f>INDEX('Tarieven ZM'!$G:$G,$W15)</f>
        <v>1000</v>
      </c>
      <c r="AD15" s="161">
        <f>-INDEX(Parameters!$B:$B,MATCH(AD$3,Parameters!$A:$A,0))*$AC15</f>
        <v>0</v>
      </c>
      <c r="AE15" s="161">
        <f>-INDEX(Parameters!$B:$B,MATCH(AE$3,Parameters!$A:$A,0))*$AC15</f>
        <v>0</v>
      </c>
      <c r="AF15" s="148">
        <f t="shared" si="5"/>
        <v>1000</v>
      </c>
      <c r="AG15" s="151">
        <f t="shared" si="6"/>
        <v>1027.7777777777778</v>
      </c>
      <c r="AH15" s="123"/>
      <c r="AI15" s="147">
        <f>IF(R15&lt;&gt;"n.a.",MATCH($U15,'Tarieven W&amp;O'!$B:$B,0),"nvt")</f>
        <v>138</v>
      </c>
      <c r="AJ15" s="148">
        <f>IF(AI15&lt;&gt;"nvt",INDEX('Tarieven W&amp;O'!$H:$H,$AI15),0)</f>
        <v>0</v>
      </c>
      <c r="AK15" s="148">
        <f>IF(AI15&lt;&gt;"nvt",INDEX('Tarieven W&amp;O'!$I:$I,$AI15),0)</f>
        <v>5</v>
      </c>
      <c r="AL15" s="277">
        <f>IF(AI15&lt;&gt;"nvt",-INDEX(Parameters!$B:$B,MATCH(AL$3&amp;$M15,Parameters!$A:$A,0))*(AJ15+AK15),0)</f>
        <v>0</v>
      </c>
      <c r="AM15" s="442"/>
      <c r="AN15" s="262">
        <f t="shared" si="7"/>
        <v>5</v>
      </c>
      <c r="AO15" s="262">
        <f>AN15/INDEX(Parameters!$B:$B,MATCH("AfschrijftermijnVVE"&amp;12*$C15,Parameters!$A:$A,0))</f>
        <v>0.1388888888888889</v>
      </c>
      <c r="AP15" s="179">
        <f t="shared" si="8"/>
        <v>138</v>
      </c>
      <c r="AQ15" s="202">
        <f>IF(AP15&lt;&gt;"nvt",INDEX('Tarieven W&amp;O'!$G:$G,$AP15),0)</f>
        <v>7.41</v>
      </c>
      <c r="AR15" s="277">
        <f>-INDEX(Parameters!$B:$B,MATCH(AR$3&amp;$M15&amp;O15,Parameters!$A:$A,0))*(AQ15)</f>
        <v>0</v>
      </c>
      <c r="AS15" s="262">
        <f>Parameters!$D$54</f>
        <v>2</v>
      </c>
      <c r="AT15" s="442">
        <f>IF(M15="WBA CM Ethernet",0,'EDC Minus'!$H$27)</f>
        <v>1</v>
      </c>
      <c r="AU15" s="150">
        <f t="shared" si="9"/>
        <v>10.41</v>
      </c>
      <c r="AV15" s="150">
        <f t="shared" si="10"/>
        <v>10.548888888888889</v>
      </c>
      <c r="AW15" s="150"/>
      <c r="AX15" s="150">
        <f>Parameters!$B$6*AV15</f>
        <v>0.1054888888888889</v>
      </c>
      <c r="AY15" s="202">
        <v>0</v>
      </c>
      <c r="AZ15" s="202"/>
      <c r="BA15" s="150">
        <f t="shared" si="11"/>
        <v>0.1054888888888889</v>
      </c>
      <c r="BB15" s="150"/>
      <c r="BC15" s="151">
        <f t="shared" si="12"/>
        <v>10.654377777777778</v>
      </c>
      <c r="BD15" s="209"/>
      <c r="BE15" s="140">
        <f t="shared" si="13"/>
        <v>1017.1234000000001</v>
      </c>
      <c r="BF15" s="141">
        <f t="shared" si="14"/>
        <v>0.9896335783783784</v>
      </c>
      <c r="BG15" s="142" t="b">
        <f t="shared" si="15"/>
        <v>0</v>
      </c>
      <c r="BH15" s="148"/>
      <c r="BI15" s="188" t="s">
        <v>538</v>
      </c>
      <c r="BJ15" s="189"/>
      <c r="BK15">
        <f>VLOOKUP(J15,'Tarieven ZM'!$B$7:$I$146,8,0)</f>
        <v>0</v>
      </c>
      <c r="BL15" s="179" t="str">
        <f>INDEX(Mapping!$M:$M,MATCH($J15,Mapping!$B:$B,0))</f>
        <v>nvt</v>
      </c>
      <c r="BM15" s="282">
        <v>0</v>
      </c>
      <c r="BN15" s="262">
        <f>BM15/INDEX(Parameters!$B:$B,MATCH("AfschrijftermijnVVE"&amp;12*$C15,Parameters!$A:$A,0))</f>
        <v>0</v>
      </c>
      <c r="BO15" s="262">
        <f>Parameters!$D$59+INDEX('inkoop ULL tbv Epacity'!I:I,MATCH($BL15,'inkoop ULL tbv Epacity'!H:H,0))</f>
        <v>1</v>
      </c>
      <c r="BP15" s="263">
        <f t="shared" si="16"/>
        <v>1</v>
      </c>
      <c r="BQ15" s="203"/>
      <c r="BR15" s="262">
        <f>Parameters!$B$12*AG15</f>
        <v>102.77777777777779</v>
      </c>
      <c r="BS15" s="262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SUM(Distributievergoedingen!$F$12,Distributievergoedingen!$I$12,Distributievergoedingen!$L$12,Distributievergoedingen!$O$12)*AF15+SUM(Distributievergoedingen!$O$12*AA15+Distributievergoedingen!$R$12+Distributievergoedingen!$U$12+Distributievergoedingen!$X$12)/(MAX(36,12*L15))</f>
        <v>112.77777777777777</v>
      </c>
      <c r="BT15" s="202"/>
      <c r="BU15" s="202">
        <f t="shared" si="17"/>
        <v>215.55555555555554</v>
      </c>
      <c r="BW15" s="151">
        <f t="shared" si="18"/>
        <v>216.55555555555554</v>
      </c>
      <c r="BY15" s="140">
        <f t="shared" si="19"/>
        <v>811.22222222222229</v>
      </c>
      <c r="BZ15" s="141">
        <f t="shared" si="20"/>
        <v>0.78929729729729736</v>
      </c>
      <c r="CA15" s="142" t="b">
        <f t="shared" si="21"/>
        <v>0</v>
      </c>
    </row>
    <row r="16" spans="1:79">
      <c r="A16" s="160" t="str">
        <f t="shared" si="0"/>
        <v>1ADSLPremiumnationaal512/256</v>
      </c>
      <c r="B16" s="142" t="str">
        <f t="shared" si="1"/>
        <v>1ADSL512/256Premium</v>
      </c>
      <c r="C16" s="198">
        <v>1</v>
      </c>
      <c r="D16" s="198" t="s">
        <v>42</v>
      </c>
      <c r="E16" s="198" t="s">
        <v>70</v>
      </c>
      <c r="F16" s="198" t="s">
        <v>115</v>
      </c>
      <c r="G16" s="199" t="s">
        <v>113</v>
      </c>
      <c r="H16" s="198" t="s">
        <v>49</v>
      </c>
      <c r="J16" s="142" t="str">
        <f t="shared" si="2"/>
        <v>ADSL512/256Premium</v>
      </c>
      <c r="L16" s="160">
        <f>INDEX(Mapping!$J:$J,MATCH(C$3&amp;C16,Mapping!$B:$B,0))</f>
        <v>1</v>
      </c>
      <c r="M16" s="148" t="str">
        <f>INDEX(Mapping!$H:$H,MATCH($E16,Mapping!$B:$B,0))</f>
        <v>WBA ZM Ethernet</v>
      </c>
      <c r="N16" s="148" t="str">
        <f>INDEX(Mapping!$I:$I,MATCH($E16&amp;$G16,Mapping!$B:$B,0))</f>
        <v>premium</v>
      </c>
      <c r="O16" s="148" t="str">
        <f>INDEX(Mapping!$I:$I,MATCH($D16,Mapping!$B:$B,0))</f>
        <v>ADSL</v>
      </c>
      <c r="P16" s="148" t="str">
        <f>INDEX(Mapping!$H:$H,MATCH($F16,Mapping!$B:$B,0))</f>
        <v>nvt</v>
      </c>
      <c r="Q16" s="148" t="str">
        <f>INDEX(Mapping!$J:$J,MATCH($E16&amp;$G16,Mapping!$B:$B,0))</f>
        <v>metro</v>
      </c>
      <c r="R16" s="148" t="str">
        <f>INDEX(Mapping!$I:$I,MATCH($J16,Mapping!$B:$B,0))</f>
        <v>1 Mbps/1 Mbps</v>
      </c>
      <c r="T16" s="148" t="str">
        <f>INDEX(Mapping!$K:$K,MATCH($E16&amp;$G16,Mapping!$B:$B,0))</f>
        <v>metro-nationaal</v>
      </c>
      <c r="U16" s="142" t="str">
        <f t="shared" si="3"/>
        <v>WBA ZM Ethernet1 Mbps/1 Mbpspremiummetro</v>
      </c>
      <c r="W16" s="160">
        <f>MATCH($J16,'Tarieven ZM'!$B:$B,0)</f>
        <v>20</v>
      </c>
      <c r="X16" s="148">
        <f>INDEX('Tarieven ZM'!$H:$H,$W16)</f>
        <v>1000</v>
      </c>
      <c r="Y16" s="161">
        <f>-INDEX(Parameters!$B:$B,MATCH(Y$3,Parameters!$A:$A,0))*$X16</f>
        <v>0</v>
      </c>
      <c r="Z16" s="149">
        <f>-INDEX(Parameters!$B:$B,MATCH(Z$3,Parameters!$A:$A,0))*$X16</f>
        <v>0</v>
      </c>
      <c r="AA16" s="148">
        <f t="shared" si="4"/>
        <v>1000</v>
      </c>
      <c r="AB16" s="148">
        <f>AA16/INDEX(Parameters!$B:$B,MATCH("AfschrijftermijnVVE"&amp;12*$C16,Parameters!$A:$A,0))</f>
        <v>27.777777777777779</v>
      </c>
      <c r="AC16" s="148">
        <f>INDEX('Tarieven ZM'!$G:$G,$W16)</f>
        <v>1000</v>
      </c>
      <c r="AD16" s="161">
        <f>-INDEX(Parameters!$B:$B,MATCH(AD$3,Parameters!$A:$A,0))*$AC16</f>
        <v>0</v>
      </c>
      <c r="AE16" s="161">
        <f>-INDEX(Parameters!$B:$B,MATCH(AE$3,Parameters!$A:$A,0))*$AC16</f>
        <v>0</v>
      </c>
      <c r="AF16" s="148">
        <f t="shared" si="5"/>
        <v>1000</v>
      </c>
      <c r="AG16" s="151">
        <f t="shared" si="6"/>
        <v>1027.7777777777778</v>
      </c>
      <c r="AH16" s="123"/>
      <c r="AI16" s="147">
        <f>IF(R16&lt;&gt;"n.a.",MATCH($U16,'Tarieven W&amp;O'!$B:$B,0),"nvt")</f>
        <v>138</v>
      </c>
      <c r="AJ16" s="148">
        <f>IF(AI16&lt;&gt;"nvt",INDEX('Tarieven W&amp;O'!$H:$H,$AI16),0)</f>
        <v>0</v>
      </c>
      <c r="AK16" s="148">
        <f>IF(AI16&lt;&gt;"nvt",INDEX('Tarieven W&amp;O'!$I:$I,$AI16),0)</f>
        <v>5</v>
      </c>
      <c r="AL16" s="277">
        <f>IF(AI16&lt;&gt;"nvt",-INDEX(Parameters!$B:$B,MATCH(AL$3&amp;$M16,Parameters!$A:$A,0))*(AJ16+AK16),0)</f>
        <v>0</v>
      </c>
      <c r="AM16" s="442"/>
      <c r="AN16" s="262">
        <f t="shared" si="7"/>
        <v>5</v>
      </c>
      <c r="AO16" s="262">
        <f>AN16/INDEX(Parameters!$B:$B,MATCH("AfschrijftermijnVVE"&amp;12*$C16,Parameters!$A:$A,0))</f>
        <v>0.1388888888888889</v>
      </c>
      <c r="AP16" s="179">
        <f t="shared" si="8"/>
        <v>138</v>
      </c>
      <c r="AQ16" s="202">
        <f>IF(AP16&lt;&gt;"nvt",INDEX('Tarieven W&amp;O'!$G:$G,$AP16),0)</f>
        <v>7.41</v>
      </c>
      <c r="AR16" s="277">
        <f>-INDEX(Parameters!$B:$B,MATCH(AR$3&amp;$M16&amp;O16,Parameters!$A:$A,0))*(AQ16)</f>
        <v>0</v>
      </c>
      <c r="AS16" s="262">
        <f>Parameters!$D$54</f>
        <v>2</v>
      </c>
      <c r="AT16" s="442">
        <f>IF(M16="WBA CM Ethernet",0,'EDC Minus'!$H$27)</f>
        <v>1</v>
      </c>
      <c r="AU16" s="150">
        <f t="shared" si="9"/>
        <v>10.41</v>
      </c>
      <c r="AV16" s="150">
        <f t="shared" si="10"/>
        <v>10.548888888888889</v>
      </c>
      <c r="AW16" s="150"/>
      <c r="AX16" s="150">
        <f>Parameters!$B$6*AV16</f>
        <v>0.1054888888888889</v>
      </c>
      <c r="AY16" s="202">
        <v>0</v>
      </c>
      <c r="AZ16" s="202"/>
      <c r="BA16" s="150">
        <f t="shared" si="11"/>
        <v>0.1054888888888889</v>
      </c>
      <c r="BB16" s="150"/>
      <c r="BC16" s="151">
        <f t="shared" si="12"/>
        <v>10.654377777777778</v>
      </c>
      <c r="BD16" s="209"/>
      <c r="BE16" s="140">
        <f t="shared" si="13"/>
        <v>1017.1234000000001</v>
      </c>
      <c r="BF16" s="141">
        <f t="shared" si="14"/>
        <v>0.9896335783783784</v>
      </c>
      <c r="BG16" s="142" t="b">
        <f t="shared" si="15"/>
        <v>0</v>
      </c>
      <c r="BH16" s="148"/>
      <c r="BI16" s="188" t="s">
        <v>538</v>
      </c>
      <c r="BJ16" s="189"/>
      <c r="BK16">
        <f>VLOOKUP(J16,'Tarieven ZM'!$B$7:$I$146,8,0)</f>
        <v>0</v>
      </c>
      <c r="BL16" s="179" t="str">
        <f>INDEX(Mapping!$M:$M,MATCH($J16,Mapping!$B:$B,0))</f>
        <v>nvt</v>
      </c>
      <c r="BM16" s="282">
        <v>0</v>
      </c>
      <c r="BN16" s="262">
        <f>BM16/INDEX(Parameters!$B:$B,MATCH("AfschrijftermijnVVE"&amp;12*$C16,Parameters!$A:$A,0))</f>
        <v>0</v>
      </c>
      <c r="BO16" s="262">
        <f>Parameters!$D$59+INDEX('inkoop ULL tbv Epacity'!I:I,MATCH($BL16,'inkoop ULL tbv Epacity'!H:H,0))</f>
        <v>1</v>
      </c>
      <c r="BP16" s="263">
        <f t="shared" si="16"/>
        <v>1</v>
      </c>
      <c r="BQ16" s="203"/>
      <c r="BR16" s="262">
        <f>Parameters!$B$12*AG16</f>
        <v>102.77777777777779</v>
      </c>
      <c r="BS16" s="262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SUM(Distributievergoedingen!$F$12,Distributievergoedingen!$I$12,Distributievergoedingen!$L$12,Distributievergoedingen!$O$12)*AF16+SUM(Distributievergoedingen!$O$12*AA16+Distributievergoedingen!$R$12+Distributievergoedingen!$U$12+Distributievergoedingen!$X$12)/(MAX(36,12*L16))</f>
        <v>112.77777777777777</v>
      </c>
      <c r="BT16" s="202"/>
      <c r="BU16" s="202">
        <f t="shared" si="17"/>
        <v>215.55555555555554</v>
      </c>
      <c r="BW16" s="151">
        <f t="shared" si="18"/>
        <v>216.55555555555554</v>
      </c>
      <c r="BY16" s="140">
        <f t="shared" si="19"/>
        <v>811.22222222222229</v>
      </c>
      <c r="BZ16" s="141">
        <f t="shared" si="20"/>
        <v>0.78929729729729736</v>
      </c>
      <c r="CA16" s="142" t="b">
        <f t="shared" si="21"/>
        <v>0</v>
      </c>
    </row>
    <row r="17" spans="1:79">
      <c r="A17" s="160" t="str">
        <f t="shared" si="0"/>
        <v>1ADSLPremiumnationaal512/512</v>
      </c>
      <c r="B17" s="142" t="str">
        <f t="shared" si="1"/>
        <v>1ADSL512/512Premium</v>
      </c>
      <c r="C17" s="198">
        <v>1</v>
      </c>
      <c r="D17" s="198" t="s">
        <v>42</v>
      </c>
      <c r="E17" s="198" t="s">
        <v>70</v>
      </c>
      <c r="F17" s="198" t="s">
        <v>115</v>
      </c>
      <c r="G17" s="199" t="s">
        <v>113</v>
      </c>
      <c r="H17" s="198" t="s">
        <v>50</v>
      </c>
      <c r="J17" s="142" t="str">
        <f t="shared" si="2"/>
        <v>ADSL512/512Premium</v>
      </c>
      <c r="L17" s="160">
        <f>INDEX(Mapping!$J:$J,MATCH(C$3&amp;C17,Mapping!$B:$B,0))</f>
        <v>1</v>
      </c>
      <c r="M17" s="148" t="str">
        <f>INDEX(Mapping!$H:$H,MATCH($E17,Mapping!$B:$B,0))</f>
        <v>WBA ZM Ethernet</v>
      </c>
      <c r="N17" s="148" t="str">
        <f>INDEX(Mapping!$I:$I,MATCH($E17&amp;$G17,Mapping!$B:$B,0))</f>
        <v>premium</v>
      </c>
      <c r="O17" s="148" t="str">
        <f>INDEX(Mapping!$I:$I,MATCH($D17,Mapping!$B:$B,0))</f>
        <v>ADSL</v>
      </c>
      <c r="P17" s="148" t="str">
        <f>INDEX(Mapping!$H:$H,MATCH($F17,Mapping!$B:$B,0))</f>
        <v>nvt</v>
      </c>
      <c r="Q17" s="148" t="str">
        <f>INDEX(Mapping!$J:$J,MATCH($E17&amp;$G17,Mapping!$B:$B,0))</f>
        <v>metro</v>
      </c>
      <c r="R17" s="148" t="str">
        <f>INDEX(Mapping!$I:$I,MATCH($J17,Mapping!$B:$B,0))</f>
        <v>1 Mbps/1 Mbps</v>
      </c>
      <c r="T17" s="148" t="str">
        <f>INDEX(Mapping!$K:$K,MATCH($E17&amp;$G17,Mapping!$B:$B,0))</f>
        <v>metro-nationaal</v>
      </c>
      <c r="U17" s="142" t="str">
        <f t="shared" si="3"/>
        <v>WBA ZM Ethernet1 Mbps/1 Mbpspremiummetro</v>
      </c>
      <c r="W17" s="160">
        <f>MATCH($J17,'Tarieven ZM'!$B:$B,0)</f>
        <v>21</v>
      </c>
      <c r="X17" s="148">
        <f>INDEX('Tarieven ZM'!$H:$H,$W17)</f>
        <v>1000</v>
      </c>
      <c r="Y17" s="161">
        <f>-INDEX(Parameters!$B:$B,MATCH(Y$3,Parameters!$A:$A,0))*$X17</f>
        <v>0</v>
      </c>
      <c r="Z17" s="149">
        <f>-INDEX(Parameters!$B:$B,MATCH(Z$3,Parameters!$A:$A,0))*$X17</f>
        <v>0</v>
      </c>
      <c r="AA17" s="148">
        <f t="shared" si="4"/>
        <v>1000</v>
      </c>
      <c r="AB17" s="148">
        <f>AA17/INDEX(Parameters!$B:$B,MATCH("AfschrijftermijnVVE"&amp;12*$C17,Parameters!$A:$A,0))</f>
        <v>27.777777777777779</v>
      </c>
      <c r="AC17" s="148">
        <f>INDEX('Tarieven ZM'!$G:$G,$W17)</f>
        <v>1000</v>
      </c>
      <c r="AD17" s="161">
        <f>-INDEX(Parameters!$B:$B,MATCH(AD$3,Parameters!$A:$A,0))*$AC17</f>
        <v>0</v>
      </c>
      <c r="AE17" s="161">
        <f>-INDEX(Parameters!$B:$B,MATCH(AE$3,Parameters!$A:$A,0))*$AC17</f>
        <v>0</v>
      </c>
      <c r="AF17" s="148">
        <f t="shared" si="5"/>
        <v>1000</v>
      </c>
      <c r="AG17" s="151">
        <f t="shared" si="6"/>
        <v>1027.7777777777778</v>
      </c>
      <c r="AH17" s="123"/>
      <c r="AI17" s="147">
        <f>IF(R17&lt;&gt;"n.a.",MATCH($U17,'Tarieven W&amp;O'!$B:$B,0),"nvt")</f>
        <v>138</v>
      </c>
      <c r="AJ17" s="148">
        <f>IF(AI17&lt;&gt;"nvt",INDEX('Tarieven W&amp;O'!$H:$H,$AI17),0)</f>
        <v>0</v>
      </c>
      <c r="AK17" s="148">
        <f>IF(AI17&lt;&gt;"nvt",INDEX('Tarieven W&amp;O'!$I:$I,$AI17),0)</f>
        <v>5</v>
      </c>
      <c r="AL17" s="277">
        <f>IF(AI17&lt;&gt;"nvt",-INDEX(Parameters!$B:$B,MATCH(AL$3&amp;$M17,Parameters!$A:$A,0))*(AJ17+AK17),0)</f>
        <v>0</v>
      </c>
      <c r="AM17" s="442"/>
      <c r="AN17" s="262">
        <f t="shared" si="7"/>
        <v>5</v>
      </c>
      <c r="AO17" s="262">
        <f>AN17/INDEX(Parameters!$B:$B,MATCH("AfschrijftermijnVVE"&amp;12*$C17,Parameters!$A:$A,0))</f>
        <v>0.1388888888888889</v>
      </c>
      <c r="AP17" s="179">
        <f t="shared" si="8"/>
        <v>138</v>
      </c>
      <c r="AQ17" s="202">
        <f>IF(AP17&lt;&gt;"nvt",INDEX('Tarieven W&amp;O'!$G:$G,$AP17),0)</f>
        <v>7.41</v>
      </c>
      <c r="AR17" s="277">
        <f>-INDEX(Parameters!$B:$B,MATCH(AR$3&amp;$M17&amp;O17,Parameters!$A:$A,0))*(AQ17)</f>
        <v>0</v>
      </c>
      <c r="AS17" s="262">
        <f>Parameters!$D$54</f>
        <v>2</v>
      </c>
      <c r="AT17" s="442">
        <f>IF(M17="WBA CM Ethernet",0,'EDC Minus'!$H$27)</f>
        <v>1</v>
      </c>
      <c r="AU17" s="150">
        <f t="shared" si="9"/>
        <v>10.41</v>
      </c>
      <c r="AV17" s="150">
        <f t="shared" si="10"/>
        <v>10.548888888888889</v>
      </c>
      <c r="AW17" s="150"/>
      <c r="AX17" s="150">
        <f>Parameters!$B$6*AV17</f>
        <v>0.1054888888888889</v>
      </c>
      <c r="AY17" s="202">
        <v>0</v>
      </c>
      <c r="AZ17" s="202"/>
      <c r="BA17" s="150">
        <f t="shared" si="11"/>
        <v>0.1054888888888889</v>
      </c>
      <c r="BB17" s="150"/>
      <c r="BC17" s="151">
        <f t="shared" si="12"/>
        <v>10.654377777777778</v>
      </c>
      <c r="BD17" s="209"/>
      <c r="BE17" s="140">
        <f t="shared" si="13"/>
        <v>1017.1234000000001</v>
      </c>
      <c r="BF17" s="141">
        <f t="shared" si="14"/>
        <v>0.9896335783783784</v>
      </c>
      <c r="BG17" s="142" t="b">
        <f t="shared" si="15"/>
        <v>0</v>
      </c>
      <c r="BH17" s="148"/>
      <c r="BI17" s="188" t="s">
        <v>538</v>
      </c>
      <c r="BJ17" s="189"/>
      <c r="BK17">
        <f>VLOOKUP(J17,'Tarieven ZM'!$B$7:$I$146,8,0)</f>
        <v>0</v>
      </c>
      <c r="BL17" s="179" t="str">
        <f>INDEX(Mapping!$M:$M,MATCH($J17,Mapping!$B:$B,0))</f>
        <v>nvt</v>
      </c>
      <c r="BM17" s="282">
        <v>0</v>
      </c>
      <c r="BN17" s="262">
        <f>BM17/INDEX(Parameters!$B:$B,MATCH("AfschrijftermijnVVE"&amp;12*$C17,Parameters!$A:$A,0))</f>
        <v>0</v>
      </c>
      <c r="BO17" s="262">
        <f>Parameters!$D$59+INDEX('inkoop ULL tbv Epacity'!I:I,MATCH($BL17,'inkoop ULL tbv Epacity'!H:H,0))</f>
        <v>1</v>
      </c>
      <c r="BP17" s="263">
        <f t="shared" si="16"/>
        <v>1</v>
      </c>
      <c r="BQ17" s="203"/>
      <c r="BR17" s="262">
        <f>Parameters!$B$12*AG17</f>
        <v>102.77777777777779</v>
      </c>
      <c r="BS17" s="262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SUM(Distributievergoedingen!$F$12,Distributievergoedingen!$I$12,Distributievergoedingen!$L$12,Distributievergoedingen!$O$12)*AF17+SUM(Distributievergoedingen!$O$12*AA17+Distributievergoedingen!$R$12+Distributievergoedingen!$U$12+Distributievergoedingen!$X$12)/(MAX(36,12*L17))</f>
        <v>112.77777777777777</v>
      </c>
      <c r="BT17" s="202"/>
      <c r="BU17" s="202">
        <f t="shared" si="17"/>
        <v>215.55555555555554</v>
      </c>
      <c r="BW17" s="151">
        <f t="shared" si="18"/>
        <v>216.55555555555554</v>
      </c>
      <c r="BY17" s="140">
        <f t="shared" si="19"/>
        <v>811.22222222222229</v>
      </c>
      <c r="BZ17" s="141">
        <f t="shared" si="20"/>
        <v>0.78929729729729736</v>
      </c>
      <c r="CA17" s="142" t="b">
        <f t="shared" si="21"/>
        <v>0</v>
      </c>
    </row>
    <row r="18" spans="1:79">
      <c r="A18" s="160" t="str">
        <f t="shared" si="0"/>
        <v>1ADSLPremiumnationaal1024/256</v>
      </c>
      <c r="B18" s="142" t="str">
        <f t="shared" si="1"/>
        <v>1ADSL1024/256Premium</v>
      </c>
      <c r="C18" s="198">
        <v>1</v>
      </c>
      <c r="D18" s="198" t="s">
        <v>42</v>
      </c>
      <c r="E18" s="198" t="s">
        <v>70</v>
      </c>
      <c r="F18" s="198" t="s">
        <v>115</v>
      </c>
      <c r="G18" s="199" t="s">
        <v>113</v>
      </c>
      <c r="H18" s="198" t="s">
        <v>52</v>
      </c>
      <c r="J18" s="142" t="str">
        <f t="shared" si="2"/>
        <v>ADSL1024/256Premium</v>
      </c>
      <c r="L18" s="160">
        <f>INDEX(Mapping!$J:$J,MATCH(C$3&amp;C18,Mapping!$B:$B,0))</f>
        <v>1</v>
      </c>
      <c r="M18" s="148" t="str">
        <f>INDEX(Mapping!$H:$H,MATCH($E18,Mapping!$B:$B,0))</f>
        <v>WBA ZM Ethernet</v>
      </c>
      <c r="N18" s="148" t="str">
        <f>INDEX(Mapping!$I:$I,MATCH($E18&amp;$G18,Mapping!$B:$B,0))</f>
        <v>premium</v>
      </c>
      <c r="O18" s="148" t="str">
        <f>INDEX(Mapping!$I:$I,MATCH($D18,Mapping!$B:$B,0))</f>
        <v>ADSL</v>
      </c>
      <c r="P18" s="148" t="str">
        <f>INDEX(Mapping!$H:$H,MATCH($F18,Mapping!$B:$B,0))</f>
        <v>nvt</v>
      </c>
      <c r="Q18" s="148" t="str">
        <f>INDEX(Mapping!$J:$J,MATCH($E18&amp;$G18,Mapping!$B:$B,0))</f>
        <v>metro</v>
      </c>
      <c r="R18" s="148" t="str">
        <f>INDEX(Mapping!$I:$I,MATCH($J18,Mapping!$B:$B,0))</f>
        <v>1 Mbps/1 Mbps</v>
      </c>
      <c r="T18" s="148" t="str">
        <f>INDEX(Mapping!$K:$K,MATCH($E18&amp;$G18,Mapping!$B:$B,0))</f>
        <v>metro-nationaal</v>
      </c>
      <c r="U18" s="142" t="str">
        <f t="shared" si="3"/>
        <v>WBA ZM Ethernet1 Mbps/1 Mbpspremiummetro</v>
      </c>
      <c r="W18" s="160">
        <f>MATCH($J18,'Tarieven ZM'!$B:$B,0)</f>
        <v>22</v>
      </c>
      <c r="X18" s="148">
        <f>INDEX('Tarieven ZM'!$H:$H,$W18)</f>
        <v>1000</v>
      </c>
      <c r="Y18" s="161">
        <f>-INDEX(Parameters!$B:$B,MATCH(Y$3,Parameters!$A:$A,0))*$X18</f>
        <v>0</v>
      </c>
      <c r="Z18" s="149">
        <f>-INDEX(Parameters!$B:$B,MATCH(Z$3,Parameters!$A:$A,0))*$X18</f>
        <v>0</v>
      </c>
      <c r="AA18" s="148">
        <f t="shared" si="4"/>
        <v>1000</v>
      </c>
      <c r="AB18" s="148">
        <f>AA18/INDEX(Parameters!$B:$B,MATCH("AfschrijftermijnVVE"&amp;12*$C18,Parameters!$A:$A,0))</f>
        <v>27.777777777777779</v>
      </c>
      <c r="AC18" s="148">
        <f>INDEX('Tarieven ZM'!$G:$G,$W18)</f>
        <v>1000</v>
      </c>
      <c r="AD18" s="161">
        <f>-INDEX(Parameters!$B:$B,MATCH(AD$3,Parameters!$A:$A,0))*$AC18</f>
        <v>0</v>
      </c>
      <c r="AE18" s="161">
        <f>-INDEX(Parameters!$B:$B,MATCH(AE$3,Parameters!$A:$A,0))*$AC18</f>
        <v>0</v>
      </c>
      <c r="AF18" s="148">
        <f t="shared" si="5"/>
        <v>1000</v>
      </c>
      <c r="AG18" s="151">
        <f t="shared" si="6"/>
        <v>1027.7777777777778</v>
      </c>
      <c r="AH18" s="123"/>
      <c r="AI18" s="147">
        <f>IF(R18&lt;&gt;"n.a.",MATCH($U18,'Tarieven W&amp;O'!$B:$B,0),"nvt")</f>
        <v>138</v>
      </c>
      <c r="AJ18" s="148">
        <f>IF(AI18&lt;&gt;"nvt",INDEX('Tarieven W&amp;O'!$H:$H,$AI18),0)</f>
        <v>0</v>
      </c>
      <c r="AK18" s="148">
        <f>IF(AI18&lt;&gt;"nvt",INDEX('Tarieven W&amp;O'!$I:$I,$AI18),0)</f>
        <v>5</v>
      </c>
      <c r="AL18" s="277">
        <f>IF(AI18&lt;&gt;"nvt",-INDEX(Parameters!$B:$B,MATCH(AL$3&amp;$M18,Parameters!$A:$A,0))*(AJ18+AK18),0)</f>
        <v>0</v>
      </c>
      <c r="AM18" s="442"/>
      <c r="AN18" s="262">
        <f t="shared" si="7"/>
        <v>5</v>
      </c>
      <c r="AO18" s="262">
        <f>AN18/INDEX(Parameters!$B:$B,MATCH("AfschrijftermijnVVE"&amp;12*$C18,Parameters!$A:$A,0))</f>
        <v>0.1388888888888889</v>
      </c>
      <c r="AP18" s="179">
        <f t="shared" si="8"/>
        <v>138</v>
      </c>
      <c r="AQ18" s="202">
        <f>IF(AP18&lt;&gt;"nvt",INDEX('Tarieven W&amp;O'!$G:$G,$AP18),0)</f>
        <v>7.41</v>
      </c>
      <c r="AR18" s="277">
        <f>-INDEX(Parameters!$B:$B,MATCH(AR$3&amp;$M18&amp;O18,Parameters!$A:$A,0))*(AQ18)</f>
        <v>0</v>
      </c>
      <c r="AS18" s="262">
        <f>Parameters!$D$54</f>
        <v>2</v>
      </c>
      <c r="AT18" s="442">
        <f>IF(M18="WBA CM Ethernet",0,'EDC Minus'!$H$27)</f>
        <v>1</v>
      </c>
      <c r="AU18" s="150">
        <f t="shared" si="9"/>
        <v>10.41</v>
      </c>
      <c r="AV18" s="150">
        <f t="shared" si="10"/>
        <v>10.548888888888889</v>
      </c>
      <c r="AW18" s="150"/>
      <c r="AX18" s="150">
        <f>Parameters!$B$6*AV18</f>
        <v>0.1054888888888889</v>
      </c>
      <c r="AY18" s="202">
        <v>0</v>
      </c>
      <c r="AZ18" s="202"/>
      <c r="BA18" s="150">
        <f t="shared" si="11"/>
        <v>0.1054888888888889</v>
      </c>
      <c r="BB18" s="150"/>
      <c r="BC18" s="151">
        <f t="shared" si="12"/>
        <v>10.654377777777778</v>
      </c>
      <c r="BD18" s="209"/>
      <c r="BE18" s="140">
        <f t="shared" si="13"/>
        <v>1017.1234000000001</v>
      </c>
      <c r="BF18" s="141">
        <f t="shared" si="14"/>
        <v>0.9896335783783784</v>
      </c>
      <c r="BG18" s="142" t="b">
        <f t="shared" si="15"/>
        <v>0</v>
      </c>
      <c r="BH18" s="148"/>
      <c r="BI18" s="188" t="s">
        <v>538</v>
      </c>
      <c r="BJ18" s="189"/>
      <c r="BK18">
        <f>VLOOKUP(J18,'Tarieven ZM'!$B$7:$I$146,8,0)</f>
        <v>0</v>
      </c>
      <c r="BL18" s="179" t="str">
        <f>INDEX(Mapping!$M:$M,MATCH($J18,Mapping!$B:$B,0))</f>
        <v>nvt</v>
      </c>
      <c r="BM18" s="282">
        <v>0</v>
      </c>
      <c r="BN18" s="262">
        <f>BM18/INDEX(Parameters!$B:$B,MATCH("AfschrijftermijnVVE"&amp;12*$C18,Parameters!$A:$A,0))</f>
        <v>0</v>
      </c>
      <c r="BO18" s="262">
        <f>Parameters!$D$59+INDEX('inkoop ULL tbv Epacity'!I:I,MATCH($BL18,'inkoop ULL tbv Epacity'!H:H,0))</f>
        <v>1</v>
      </c>
      <c r="BP18" s="263">
        <f t="shared" si="16"/>
        <v>1</v>
      </c>
      <c r="BQ18" s="203"/>
      <c r="BR18" s="262">
        <f>Parameters!$B$12*AG18</f>
        <v>102.77777777777779</v>
      </c>
      <c r="BS18" s="262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SUM(Distributievergoedingen!$F$12,Distributievergoedingen!$I$12,Distributievergoedingen!$L$12,Distributievergoedingen!$O$12)*AF18+SUM(Distributievergoedingen!$O$12*AA18+Distributievergoedingen!$R$12+Distributievergoedingen!$U$12+Distributievergoedingen!$X$12)/(MAX(36,12*L18))</f>
        <v>112.77777777777777</v>
      </c>
      <c r="BT18" s="202"/>
      <c r="BU18" s="202">
        <f t="shared" si="17"/>
        <v>215.55555555555554</v>
      </c>
      <c r="BW18" s="151">
        <f t="shared" si="18"/>
        <v>216.55555555555554</v>
      </c>
      <c r="BY18" s="140">
        <f t="shared" si="19"/>
        <v>811.22222222222229</v>
      </c>
      <c r="BZ18" s="141">
        <f t="shared" si="20"/>
        <v>0.78929729729729736</v>
      </c>
      <c r="CA18" s="142" t="b">
        <f t="shared" si="21"/>
        <v>0</v>
      </c>
    </row>
    <row r="19" spans="1:79">
      <c r="A19" s="160" t="str">
        <f t="shared" si="0"/>
        <v>1ADSLPremiumnationaal1024/512</v>
      </c>
      <c r="B19" s="142" t="str">
        <f t="shared" si="1"/>
        <v>1ADSL1024/512Premium</v>
      </c>
      <c r="C19" s="198">
        <v>1</v>
      </c>
      <c r="D19" s="198" t="s">
        <v>42</v>
      </c>
      <c r="E19" s="198" t="s">
        <v>70</v>
      </c>
      <c r="F19" s="198" t="s">
        <v>115</v>
      </c>
      <c r="G19" s="199" t="s">
        <v>113</v>
      </c>
      <c r="H19" s="198" t="s">
        <v>53</v>
      </c>
      <c r="J19" s="142" t="str">
        <f t="shared" si="2"/>
        <v>ADSL1024/512Premium</v>
      </c>
      <c r="L19" s="160">
        <f>INDEX(Mapping!$J:$J,MATCH(C$3&amp;C19,Mapping!$B:$B,0))</f>
        <v>1</v>
      </c>
      <c r="M19" s="148" t="str">
        <f>INDEX(Mapping!$H:$H,MATCH($E19,Mapping!$B:$B,0))</f>
        <v>WBA ZM Ethernet</v>
      </c>
      <c r="N19" s="148" t="str">
        <f>INDEX(Mapping!$I:$I,MATCH($E19&amp;$G19,Mapping!$B:$B,0))</f>
        <v>premium</v>
      </c>
      <c r="O19" s="148" t="str">
        <f>INDEX(Mapping!$I:$I,MATCH($D19,Mapping!$B:$B,0))</f>
        <v>ADSL</v>
      </c>
      <c r="P19" s="148" t="str">
        <f>INDEX(Mapping!$H:$H,MATCH($F19,Mapping!$B:$B,0))</f>
        <v>nvt</v>
      </c>
      <c r="Q19" s="148" t="str">
        <f>INDEX(Mapping!$J:$J,MATCH($E19&amp;$G19,Mapping!$B:$B,0))</f>
        <v>metro</v>
      </c>
      <c r="R19" s="148" t="str">
        <f>INDEX(Mapping!$I:$I,MATCH($J19,Mapping!$B:$B,0))</f>
        <v>1 Mbps/1 Mbps</v>
      </c>
      <c r="T19" s="148" t="str">
        <f>INDEX(Mapping!$K:$K,MATCH($E19&amp;$G19,Mapping!$B:$B,0))</f>
        <v>metro-nationaal</v>
      </c>
      <c r="U19" s="142" t="str">
        <f t="shared" si="3"/>
        <v>WBA ZM Ethernet1 Mbps/1 Mbpspremiummetro</v>
      </c>
      <c r="W19" s="160">
        <f>MATCH($J19,'Tarieven ZM'!$B:$B,0)</f>
        <v>23</v>
      </c>
      <c r="X19" s="148">
        <f>INDEX('Tarieven ZM'!$H:$H,$W19)</f>
        <v>1000</v>
      </c>
      <c r="Y19" s="161">
        <f>-INDEX(Parameters!$B:$B,MATCH(Y$3,Parameters!$A:$A,0))*$X19</f>
        <v>0</v>
      </c>
      <c r="Z19" s="149">
        <f>-INDEX(Parameters!$B:$B,MATCH(Z$3,Parameters!$A:$A,0))*$X19</f>
        <v>0</v>
      </c>
      <c r="AA19" s="148">
        <f t="shared" si="4"/>
        <v>1000</v>
      </c>
      <c r="AB19" s="148">
        <f>AA19/INDEX(Parameters!$B:$B,MATCH("AfschrijftermijnVVE"&amp;12*$C19,Parameters!$A:$A,0))</f>
        <v>27.777777777777779</v>
      </c>
      <c r="AC19" s="148">
        <f>INDEX('Tarieven ZM'!$G:$G,$W19)</f>
        <v>1000</v>
      </c>
      <c r="AD19" s="161">
        <f>-INDEX(Parameters!$B:$B,MATCH(AD$3,Parameters!$A:$A,0))*$AC19</f>
        <v>0</v>
      </c>
      <c r="AE19" s="161">
        <f>-INDEX(Parameters!$B:$B,MATCH(AE$3,Parameters!$A:$A,0))*$AC19</f>
        <v>0</v>
      </c>
      <c r="AF19" s="148">
        <f t="shared" si="5"/>
        <v>1000</v>
      </c>
      <c r="AG19" s="151">
        <f t="shared" si="6"/>
        <v>1027.7777777777778</v>
      </c>
      <c r="AH19" s="123"/>
      <c r="AI19" s="147">
        <f>IF(R19&lt;&gt;"n.a.",MATCH($U19,'Tarieven W&amp;O'!$B:$B,0),"nvt")</f>
        <v>138</v>
      </c>
      <c r="AJ19" s="148">
        <f>IF(AI19&lt;&gt;"nvt",INDEX('Tarieven W&amp;O'!$H:$H,$AI19),0)</f>
        <v>0</v>
      </c>
      <c r="AK19" s="148">
        <f>IF(AI19&lt;&gt;"nvt",INDEX('Tarieven W&amp;O'!$I:$I,$AI19),0)</f>
        <v>5</v>
      </c>
      <c r="AL19" s="277">
        <f>IF(AI19&lt;&gt;"nvt",-INDEX(Parameters!$B:$B,MATCH(AL$3&amp;$M19,Parameters!$A:$A,0))*(AJ19+AK19),0)</f>
        <v>0</v>
      </c>
      <c r="AM19" s="442"/>
      <c r="AN19" s="262">
        <f t="shared" si="7"/>
        <v>5</v>
      </c>
      <c r="AO19" s="262">
        <f>AN19/INDEX(Parameters!$B:$B,MATCH("AfschrijftermijnVVE"&amp;12*$C19,Parameters!$A:$A,0))</f>
        <v>0.1388888888888889</v>
      </c>
      <c r="AP19" s="179">
        <f t="shared" si="8"/>
        <v>138</v>
      </c>
      <c r="AQ19" s="202">
        <f>IF(AP19&lt;&gt;"nvt",INDEX('Tarieven W&amp;O'!$G:$G,$AP19),0)</f>
        <v>7.41</v>
      </c>
      <c r="AR19" s="277">
        <f>-INDEX(Parameters!$B:$B,MATCH(AR$3&amp;$M19&amp;O19,Parameters!$A:$A,0))*(AQ19)</f>
        <v>0</v>
      </c>
      <c r="AS19" s="262">
        <f>Parameters!$D$54</f>
        <v>2</v>
      </c>
      <c r="AT19" s="442">
        <f>IF(M19="WBA CM Ethernet",0,'EDC Minus'!$H$27)</f>
        <v>1</v>
      </c>
      <c r="AU19" s="150">
        <f t="shared" si="9"/>
        <v>10.41</v>
      </c>
      <c r="AV19" s="150">
        <f t="shared" si="10"/>
        <v>10.548888888888889</v>
      </c>
      <c r="AW19" s="150"/>
      <c r="AX19" s="150">
        <f>Parameters!$B$6*AV19</f>
        <v>0.1054888888888889</v>
      </c>
      <c r="AY19" s="202">
        <v>0</v>
      </c>
      <c r="AZ19" s="202"/>
      <c r="BA19" s="150">
        <f t="shared" si="11"/>
        <v>0.1054888888888889</v>
      </c>
      <c r="BB19" s="150"/>
      <c r="BC19" s="151">
        <f t="shared" si="12"/>
        <v>10.654377777777778</v>
      </c>
      <c r="BD19" s="209"/>
      <c r="BE19" s="140">
        <f t="shared" si="13"/>
        <v>1017.1234000000001</v>
      </c>
      <c r="BF19" s="141">
        <f t="shared" si="14"/>
        <v>0.9896335783783784</v>
      </c>
      <c r="BG19" s="142" t="b">
        <f t="shared" si="15"/>
        <v>0</v>
      </c>
      <c r="BH19" s="148"/>
      <c r="BI19" s="188" t="s">
        <v>538</v>
      </c>
      <c r="BJ19" s="189"/>
      <c r="BK19">
        <f>VLOOKUP(J19,'Tarieven ZM'!$B$7:$I$146,8,0)</f>
        <v>0</v>
      </c>
      <c r="BL19" s="179" t="str">
        <f>INDEX(Mapping!$M:$M,MATCH($J19,Mapping!$B:$B,0))</f>
        <v>nvt</v>
      </c>
      <c r="BM19" s="282">
        <v>0</v>
      </c>
      <c r="BN19" s="262">
        <f>BM19/INDEX(Parameters!$B:$B,MATCH("AfschrijftermijnVVE"&amp;12*$C19,Parameters!$A:$A,0))</f>
        <v>0</v>
      </c>
      <c r="BO19" s="262">
        <f>Parameters!$D$59+INDEX('inkoop ULL tbv Epacity'!I:I,MATCH($BL19,'inkoop ULL tbv Epacity'!H:H,0))</f>
        <v>1</v>
      </c>
      <c r="BP19" s="263">
        <f t="shared" si="16"/>
        <v>1</v>
      </c>
      <c r="BQ19" s="203"/>
      <c r="BR19" s="262">
        <f>Parameters!$B$12*AG19</f>
        <v>102.77777777777779</v>
      </c>
      <c r="BS19" s="262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SUM(Distributievergoedingen!$F$12,Distributievergoedingen!$I$12,Distributievergoedingen!$L$12,Distributievergoedingen!$O$12)*AF19+SUM(Distributievergoedingen!$O$12*AA19+Distributievergoedingen!$R$12+Distributievergoedingen!$U$12+Distributievergoedingen!$X$12)/(MAX(36,12*L19))</f>
        <v>112.77777777777777</v>
      </c>
      <c r="BT19" s="202"/>
      <c r="BU19" s="202">
        <f t="shared" si="17"/>
        <v>215.55555555555554</v>
      </c>
      <c r="BW19" s="151">
        <f t="shared" si="18"/>
        <v>216.55555555555554</v>
      </c>
      <c r="BY19" s="140">
        <f t="shared" si="19"/>
        <v>811.22222222222229</v>
      </c>
      <c r="BZ19" s="141">
        <f t="shared" si="20"/>
        <v>0.78929729729729736</v>
      </c>
      <c r="CA19" s="142" t="b">
        <f t="shared" si="21"/>
        <v>0</v>
      </c>
    </row>
    <row r="20" spans="1:79">
      <c r="A20" s="160" t="str">
        <f t="shared" si="0"/>
        <v>1ADSLPremiumnationaal2048/512</v>
      </c>
      <c r="B20" s="142" t="str">
        <f t="shared" si="1"/>
        <v>1ADSL2048/512Premium</v>
      </c>
      <c r="C20" s="198">
        <v>1</v>
      </c>
      <c r="D20" s="198" t="s">
        <v>42</v>
      </c>
      <c r="E20" s="198" t="s">
        <v>70</v>
      </c>
      <c r="F20" s="198" t="s">
        <v>115</v>
      </c>
      <c r="G20" s="199" t="s">
        <v>113</v>
      </c>
      <c r="H20" s="198" t="s">
        <v>54</v>
      </c>
      <c r="J20" s="142" t="str">
        <f t="shared" si="2"/>
        <v>ADSL2048/512Premium</v>
      </c>
      <c r="L20" s="160">
        <f>INDEX(Mapping!$J:$J,MATCH(C$3&amp;C20,Mapping!$B:$B,0))</f>
        <v>1</v>
      </c>
      <c r="M20" s="148" t="str">
        <f>INDEX(Mapping!$H:$H,MATCH($E20,Mapping!$B:$B,0))</f>
        <v>WBA ZM Ethernet</v>
      </c>
      <c r="N20" s="148" t="str">
        <f>INDEX(Mapping!$I:$I,MATCH($E20&amp;$G20,Mapping!$B:$B,0))</f>
        <v>premium</v>
      </c>
      <c r="O20" s="148" t="str">
        <f>INDEX(Mapping!$I:$I,MATCH($D20,Mapping!$B:$B,0))</f>
        <v>ADSL</v>
      </c>
      <c r="P20" s="148" t="str">
        <f>INDEX(Mapping!$H:$H,MATCH($F20,Mapping!$B:$B,0))</f>
        <v>nvt</v>
      </c>
      <c r="Q20" s="148" t="str">
        <f>INDEX(Mapping!$J:$J,MATCH($E20&amp;$G20,Mapping!$B:$B,0))</f>
        <v>metro</v>
      </c>
      <c r="R20" s="148" t="str">
        <f>INDEX(Mapping!$I:$I,MATCH($J20,Mapping!$B:$B,0))</f>
        <v>2 Mbps/1 Mbps</v>
      </c>
      <c r="T20" s="148" t="str">
        <f>INDEX(Mapping!$K:$K,MATCH($E20&amp;$G20,Mapping!$B:$B,0))</f>
        <v>metro-nationaal</v>
      </c>
      <c r="U20" s="142" t="str">
        <f t="shared" si="3"/>
        <v>WBA ZM Ethernet2 Mbps/1 Mbpspremiummetro</v>
      </c>
      <c r="W20" s="160">
        <f>MATCH($J20,'Tarieven ZM'!$B:$B,0)</f>
        <v>24</v>
      </c>
      <c r="X20" s="148">
        <f>INDEX('Tarieven ZM'!$H:$H,$W20)</f>
        <v>1000</v>
      </c>
      <c r="Y20" s="161">
        <f>-INDEX(Parameters!$B:$B,MATCH(Y$3,Parameters!$A:$A,0))*$X20</f>
        <v>0</v>
      </c>
      <c r="Z20" s="149">
        <f>-INDEX(Parameters!$B:$B,MATCH(Z$3,Parameters!$A:$A,0))*$X20</f>
        <v>0</v>
      </c>
      <c r="AA20" s="148">
        <f t="shared" si="4"/>
        <v>1000</v>
      </c>
      <c r="AB20" s="148">
        <f>AA20/INDEX(Parameters!$B:$B,MATCH("AfschrijftermijnVVE"&amp;12*$C20,Parameters!$A:$A,0))</f>
        <v>27.777777777777779</v>
      </c>
      <c r="AC20" s="148">
        <f>INDEX('Tarieven ZM'!$G:$G,$W20)</f>
        <v>1000</v>
      </c>
      <c r="AD20" s="161">
        <f>-INDEX(Parameters!$B:$B,MATCH(AD$3,Parameters!$A:$A,0))*$AC20</f>
        <v>0</v>
      </c>
      <c r="AE20" s="161">
        <f>-INDEX(Parameters!$B:$B,MATCH(AE$3,Parameters!$A:$A,0))*$AC20</f>
        <v>0</v>
      </c>
      <c r="AF20" s="148">
        <f t="shared" si="5"/>
        <v>1000</v>
      </c>
      <c r="AG20" s="151">
        <f t="shared" si="6"/>
        <v>1027.7777777777778</v>
      </c>
      <c r="AH20" s="123"/>
      <c r="AI20" s="147">
        <f>IF(R20&lt;&gt;"n.a.",MATCH($U20,'Tarieven W&amp;O'!$B:$B,0),"nvt")</f>
        <v>143</v>
      </c>
      <c r="AJ20" s="148">
        <f>IF(AI20&lt;&gt;"nvt",INDEX('Tarieven W&amp;O'!$H:$H,$AI20),0)</f>
        <v>0</v>
      </c>
      <c r="AK20" s="148">
        <f>IF(AI20&lt;&gt;"nvt",INDEX('Tarieven W&amp;O'!$I:$I,$AI20),0)</f>
        <v>5</v>
      </c>
      <c r="AL20" s="277">
        <f>IF(AI20&lt;&gt;"nvt",-INDEX(Parameters!$B:$B,MATCH(AL$3&amp;$M20,Parameters!$A:$A,0))*(AJ20+AK20),0)</f>
        <v>0</v>
      </c>
      <c r="AM20" s="442"/>
      <c r="AN20" s="262">
        <f t="shared" si="7"/>
        <v>5</v>
      </c>
      <c r="AO20" s="262">
        <f>AN20/INDEX(Parameters!$B:$B,MATCH("AfschrijftermijnVVE"&amp;12*$C20,Parameters!$A:$A,0))</f>
        <v>0.1388888888888889</v>
      </c>
      <c r="AP20" s="179">
        <f t="shared" si="8"/>
        <v>143</v>
      </c>
      <c r="AQ20" s="202">
        <f>IF(AP20&lt;&gt;"nvt",INDEX('Tarieven W&amp;O'!$G:$G,$AP20),0)</f>
        <v>12.35</v>
      </c>
      <c r="AR20" s="277">
        <f>-INDEX(Parameters!$B:$B,MATCH(AR$3&amp;$M20&amp;O20,Parameters!$A:$A,0))*(AQ20)</f>
        <v>0</v>
      </c>
      <c r="AS20" s="262">
        <f>Parameters!$D$54</f>
        <v>2</v>
      </c>
      <c r="AT20" s="442">
        <f>IF(M20="WBA CM Ethernet",0,'EDC Minus'!$H$27)</f>
        <v>1</v>
      </c>
      <c r="AU20" s="150">
        <f t="shared" si="9"/>
        <v>15.35</v>
      </c>
      <c r="AV20" s="150">
        <f t="shared" si="10"/>
        <v>15.488888888888889</v>
      </c>
      <c r="AW20" s="150"/>
      <c r="AX20" s="150">
        <f>Parameters!$B$6*AV20</f>
        <v>0.15488888888888888</v>
      </c>
      <c r="AY20" s="202">
        <v>0</v>
      </c>
      <c r="AZ20" s="202"/>
      <c r="BA20" s="150">
        <f t="shared" si="11"/>
        <v>0.15488888888888888</v>
      </c>
      <c r="BB20" s="150"/>
      <c r="BC20" s="151">
        <f t="shared" si="12"/>
        <v>15.643777777777778</v>
      </c>
      <c r="BD20" s="209"/>
      <c r="BE20" s="140">
        <f t="shared" si="13"/>
        <v>1012.134</v>
      </c>
      <c r="BF20" s="141">
        <f t="shared" si="14"/>
        <v>0.98477902702702702</v>
      </c>
      <c r="BG20" s="142" t="b">
        <f t="shared" si="15"/>
        <v>0</v>
      </c>
      <c r="BH20" s="148"/>
      <c r="BI20" s="188" t="s">
        <v>538</v>
      </c>
      <c r="BJ20" s="189"/>
      <c r="BK20">
        <f>VLOOKUP(J20,'Tarieven ZM'!$B$7:$I$146,8,0)</f>
        <v>0</v>
      </c>
      <c r="BL20" s="179" t="str">
        <f>INDEX(Mapping!$M:$M,MATCH($J20,Mapping!$B:$B,0))</f>
        <v>nvt</v>
      </c>
      <c r="BM20" s="282">
        <v>0</v>
      </c>
      <c r="BN20" s="262">
        <f>BM20/INDEX(Parameters!$B:$B,MATCH("AfschrijftermijnVVE"&amp;12*$C20,Parameters!$A:$A,0))</f>
        <v>0</v>
      </c>
      <c r="BO20" s="262">
        <f>Parameters!$D$59+INDEX('inkoop ULL tbv Epacity'!I:I,MATCH($BL20,'inkoop ULL tbv Epacity'!H:H,0))</f>
        <v>1</v>
      </c>
      <c r="BP20" s="263">
        <f t="shared" si="16"/>
        <v>1</v>
      </c>
      <c r="BQ20" s="203"/>
      <c r="BR20" s="262">
        <f>Parameters!$B$12*AG20</f>
        <v>102.77777777777779</v>
      </c>
      <c r="BS20" s="262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SUM(Distributievergoedingen!$F$12,Distributievergoedingen!$I$12,Distributievergoedingen!$L$12,Distributievergoedingen!$O$12)*AF20+SUM(Distributievergoedingen!$O$12*AA20+Distributievergoedingen!$R$12+Distributievergoedingen!$U$12+Distributievergoedingen!$X$12)/(MAX(36,12*L20))</f>
        <v>112.77777777777777</v>
      </c>
      <c r="BT20" s="202"/>
      <c r="BU20" s="202">
        <f t="shared" si="17"/>
        <v>215.55555555555554</v>
      </c>
      <c r="BW20" s="151">
        <f t="shared" si="18"/>
        <v>216.55555555555554</v>
      </c>
      <c r="BY20" s="140">
        <f t="shared" si="19"/>
        <v>811.22222222222229</v>
      </c>
      <c r="BZ20" s="141">
        <f t="shared" si="20"/>
        <v>0.78929729729729736</v>
      </c>
      <c r="CA20" s="142" t="b">
        <f t="shared" si="21"/>
        <v>0</v>
      </c>
    </row>
    <row r="21" spans="1:79">
      <c r="A21" s="160" t="str">
        <f t="shared" si="0"/>
        <v>1ADSLPremiumnationaal4096/1024</v>
      </c>
      <c r="B21" s="142" t="str">
        <f t="shared" si="1"/>
        <v>1ADSL4096/1024Premium</v>
      </c>
      <c r="C21" s="198">
        <v>1</v>
      </c>
      <c r="D21" s="198" t="s">
        <v>42</v>
      </c>
      <c r="E21" s="198" t="s">
        <v>70</v>
      </c>
      <c r="F21" s="198" t="s">
        <v>115</v>
      </c>
      <c r="G21" s="199" t="s">
        <v>113</v>
      </c>
      <c r="H21" s="198" t="s">
        <v>57</v>
      </c>
      <c r="J21" s="142" t="str">
        <f t="shared" si="2"/>
        <v>ADSL4096/1024Premium</v>
      </c>
      <c r="L21" s="160">
        <f>INDEX(Mapping!$J:$J,MATCH(C$3&amp;C21,Mapping!$B:$B,0))</f>
        <v>1</v>
      </c>
      <c r="M21" s="148" t="str">
        <f>INDEX(Mapping!$H:$H,MATCH($E21,Mapping!$B:$B,0))</f>
        <v>WBA ZM Ethernet</v>
      </c>
      <c r="N21" s="148" t="str">
        <f>INDEX(Mapping!$I:$I,MATCH($E21&amp;$G21,Mapping!$B:$B,0))</f>
        <v>premium</v>
      </c>
      <c r="O21" s="148" t="str">
        <f>INDEX(Mapping!$I:$I,MATCH($D21,Mapping!$B:$B,0))</f>
        <v>ADSL</v>
      </c>
      <c r="P21" s="148" t="str">
        <f>INDEX(Mapping!$H:$H,MATCH($F21,Mapping!$B:$B,0))</f>
        <v>nvt</v>
      </c>
      <c r="Q21" s="148" t="str">
        <f>INDEX(Mapping!$J:$J,MATCH($E21&amp;$G21,Mapping!$B:$B,0))</f>
        <v>metro</v>
      </c>
      <c r="R21" s="148" t="str">
        <f>INDEX(Mapping!$I:$I,MATCH($J21,Mapping!$B:$B,0))</f>
        <v>5 Mbps/1 Mbps</v>
      </c>
      <c r="T21" s="148" t="str">
        <f>INDEX(Mapping!$K:$K,MATCH($E21&amp;$G21,Mapping!$B:$B,0))</f>
        <v>metro-nationaal</v>
      </c>
      <c r="U21" s="142" t="str">
        <f t="shared" si="3"/>
        <v>WBA ZM Ethernet5 Mbps/1 Mbpspremiummetro</v>
      </c>
      <c r="W21" s="160">
        <f>MATCH($J21,'Tarieven ZM'!$B:$B,0)</f>
        <v>25</v>
      </c>
      <c r="X21" s="148">
        <f>INDEX('Tarieven ZM'!$H:$H,$W21)</f>
        <v>1000</v>
      </c>
      <c r="Y21" s="161">
        <f>-INDEX(Parameters!$B:$B,MATCH(Y$3,Parameters!$A:$A,0))*$X21</f>
        <v>0</v>
      </c>
      <c r="Z21" s="149">
        <f>-INDEX(Parameters!$B:$B,MATCH(Z$3,Parameters!$A:$A,0))*$X21</f>
        <v>0</v>
      </c>
      <c r="AA21" s="148">
        <f t="shared" si="4"/>
        <v>1000</v>
      </c>
      <c r="AB21" s="148">
        <f>AA21/INDEX(Parameters!$B:$B,MATCH("AfschrijftermijnVVE"&amp;12*$C21,Parameters!$A:$A,0))</f>
        <v>27.777777777777779</v>
      </c>
      <c r="AC21" s="148">
        <f>INDEX('Tarieven ZM'!$G:$G,$W21)</f>
        <v>1000</v>
      </c>
      <c r="AD21" s="161">
        <f>-INDEX(Parameters!$B:$B,MATCH(AD$3,Parameters!$A:$A,0))*$AC21</f>
        <v>0</v>
      </c>
      <c r="AE21" s="161">
        <f>-INDEX(Parameters!$B:$B,MATCH(AE$3,Parameters!$A:$A,0))*$AC21</f>
        <v>0</v>
      </c>
      <c r="AF21" s="148">
        <f t="shared" si="5"/>
        <v>1000</v>
      </c>
      <c r="AG21" s="151">
        <f t="shared" si="6"/>
        <v>1027.7777777777778</v>
      </c>
      <c r="AH21" s="123"/>
      <c r="AI21" s="147">
        <f>IF(R21&lt;&gt;"n.a.",MATCH($U21,'Tarieven W&amp;O'!$B:$B,0),"nvt")</f>
        <v>144</v>
      </c>
      <c r="AJ21" s="148">
        <f>IF(AI21&lt;&gt;"nvt",INDEX('Tarieven W&amp;O'!$H:$H,$AI21),0)</f>
        <v>0</v>
      </c>
      <c r="AK21" s="148">
        <f>IF(AI21&lt;&gt;"nvt",INDEX('Tarieven W&amp;O'!$I:$I,$AI21),0)</f>
        <v>5</v>
      </c>
      <c r="AL21" s="277">
        <f>IF(AI21&lt;&gt;"nvt",-INDEX(Parameters!$B:$B,MATCH(AL$3&amp;$M21,Parameters!$A:$A,0))*(AJ21+AK21),0)</f>
        <v>0</v>
      </c>
      <c r="AM21" s="442"/>
      <c r="AN21" s="262">
        <f t="shared" si="7"/>
        <v>5</v>
      </c>
      <c r="AO21" s="262">
        <f>AN21/INDEX(Parameters!$B:$B,MATCH("AfschrijftermijnVVE"&amp;12*$C21,Parameters!$A:$A,0))</f>
        <v>0.1388888888888889</v>
      </c>
      <c r="AP21" s="179">
        <f t="shared" si="8"/>
        <v>144</v>
      </c>
      <c r="AQ21" s="202">
        <f>IF(AP21&lt;&gt;"nvt",INDEX('Tarieven W&amp;O'!$G:$G,$AP21),0)</f>
        <v>17.29</v>
      </c>
      <c r="AR21" s="277">
        <f>-INDEX(Parameters!$B:$B,MATCH(AR$3&amp;$M21&amp;O21,Parameters!$A:$A,0))*(AQ21)</f>
        <v>0</v>
      </c>
      <c r="AS21" s="262">
        <f>Parameters!$D$54</f>
        <v>2</v>
      </c>
      <c r="AT21" s="442">
        <f>IF(M21="WBA CM Ethernet",0,'EDC Minus'!$H$27)</f>
        <v>1</v>
      </c>
      <c r="AU21" s="150">
        <f t="shared" si="9"/>
        <v>20.29</v>
      </c>
      <c r="AV21" s="150">
        <f t="shared" si="10"/>
        <v>20.428888888888888</v>
      </c>
      <c r="AW21" s="150"/>
      <c r="AX21" s="150">
        <f>Parameters!$B$6*AV21</f>
        <v>0.20428888888888888</v>
      </c>
      <c r="AY21" s="202">
        <v>0</v>
      </c>
      <c r="AZ21" s="202"/>
      <c r="BA21" s="150">
        <f t="shared" si="11"/>
        <v>0.20428888888888888</v>
      </c>
      <c r="BB21" s="150"/>
      <c r="BC21" s="151">
        <f t="shared" si="12"/>
        <v>20.633177777777778</v>
      </c>
      <c r="BD21" s="209"/>
      <c r="BE21" s="140">
        <f t="shared" si="13"/>
        <v>1007.1446000000001</v>
      </c>
      <c r="BF21" s="141">
        <f t="shared" si="14"/>
        <v>0.97992447567567575</v>
      </c>
      <c r="BG21" s="142" t="b">
        <f t="shared" si="15"/>
        <v>0</v>
      </c>
      <c r="BH21" s="148"/>
      <c r="BI21" s="188" t="s">
        <v>538</v>
      </c>
      <c r="BJ21" s="189"/>
      <c r="BK21">
        <f>VLOOKUP(J21,'Tarieven ZM'!$B$7:$I$146,8,0)</f>
        <v>0</v>
      </c>
      <c r="BL21" s="179" t="str">
        <f>INDEX(Mapping!$M:$M,MATCH($J21,Mapping!$B:$B,0))</f>
        <v>Premium &gt; 2/2Mbps</v>
      </c>
      <c r="BM21" s="282">
        <v>0</v>
      </c>
      <c r="BN21" s="262">
        <f>BM21/INDEX(Parameters!$B:$B,MATCH("AfschrijftermijnVVE"&amp;12*$C21,Parameters!$A:$A,0))</f>
        <v>0</v>
      </c>
      <c r="BO21" s="262">
        <f>Parameters!$D$59+INDEX('inkoop ULL tbv Epacity'!I:I,MATCH($BL21,'inkoop ULL tbv Epacity'!H:H,0))</f>
        <v>17.02</v>
      </c>
      <c r="BP21" s="263">
        <f t="shared" si="16"/>
        <v>17.02</v>
      </c>
      <c r="BQ21" s="203"/>
      <c r="BR21" s="262">
        <f>Parameters!$B$12*AG21</f>
        <v>102.77777777777779</v>
      </c>
      <c r="BS21" s="262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SUM(Distributievergoedingen!$F$12,Distributievergoedingen!$I$12,Distributievergoedingen!$L$12,Distributievergoedingen!$O$12)*AF21+SUM(Distributievergoedingen!$O$12*AA21+Distributievergoedingen!$R$12+Distributievergoedingen!$U$12+Distributievergoedingen!$X$12)/(MAX(36,12*L21))</f>
        <v>112.77777777777777</v>
      </c>
      <c r="BT21" s="202"/>
      <c r="BU21" s="202">
        <f t="shared" si="17"/>
        <v>215.55555555555554</v>
      </c>
      <c r="BW21" s="151">
        <f t="shared" si="18"/>
        <v>232.57555555555555</v>
      </c>
      <c r="BY21" s="140">
        <f t="shared" si="19"/>
        <v>795.2022222222223</v>
      </c>
      <c r="BZ21" s="141">
        <f t="shared" si="20"/>
        <v>0.77371027027027028</v>
      </c>
      <c r="CA21" s="142" t="b">
        <f t="shared" si="21"/>
        <v>0</v>
      </c>
    </row>
    <row r="22" spans="1:79">
      <c r="A22" s="160" t="str">
        <f t="shared" si="0"/>
        <v>1ADSLPremiumnationaal8000/1024</v>
      </c>
      <c r="B22" s="142" t="str">
        <f t="shared" si="1"/>
        <v>1ADSL8000/1024Premium</v>
      </c>
      <c r="C22" s="198">
        <v>1</v>
      </c>
      <c r="D22" s="198" t="s">
        <v>42</v>
      </c>
      <c r="E22" s="198" t="s">
        <v>70</v>
      </c>
      <c r="F22" s="198" t="s">
        <v>115</v>
      </c>
      <c r="G22" s="199" t="s">
        <v>113</v>
      </c>
      <c r="H22" s="198" t="s">
        <v>60</v>
      </c>
      <c r="J22" s="142" t="str">
        <f t="shared" si="2"/>
        <v>ADSL8000/1024Premium</v>
      </c>
      <c r="L22" s="160">
        <f>INDEX(Mapping!$J:$J,MATCH(C$3&amp;C22,Mapping!$B:$B,0))</f>
        <v>1</v>
      </c>
      <c r="M22" s="148" t="str">
        <f>INDEX(Mapping!$H:$H,MATCH($E22,Mapping!$B:$B,0))</f>
        <v>WBA ZM Ethernet</v>
      </c>
      <c r="N22" s="148" t="str">
        <f>INDEX(Mapping!$I:$I,MATCH($E22&amp;$G22,Mapping!$B:$B,0))</f>
        <v>premium</v>
      </c>
      <c r="O22" s="148" t="str">
        <f>INDEX(Mapping!$I:$I,MATCH($D22,Mapping!$B:$B,0))</f>
        <v>ADSL</v>
      </c>
      <c r="P22" s="148" t="str">
        <f>INDEX(Mapping!$H:$H,MATCH($F22,Mapping!$B:$B,0))</f>
        <v>nvt</v>
      </c>
      <c r="Q22" s="148" t="str">
        <f>INDEX(Mapping!$J:$J,MATCH($E22&amp;$G22,Mapping!$B:$B,0))</f>
        <v>metro</v>
      </c>
      <c r="R22" s="148" t="str">
        <f>INDEX(Mapping!$I:$I,MATCH($J22,Mapping!$B:$B,0))</f>
        <v>10 Mbps/5 Mbps</v>
      </c>
      <c r="T22" s="148" t="str">
        <f>INDEX(Mapping!$K:$K,MATCH($E22&amp;$G22,Mapping!$B:$B,0))</f>
        <v>metro-nationaal</v>
      </c>
      <c r="U22" s="142" t="str">
        <f t="shared" si="3"/>
        <v>WBA ZM Ethernet10 Mbps/5 Mbpspremiummetro</v>
      </c>
      <c r="W22" s="160">
        <f>MATCH($J22,'Tarieven ZM'!$B:$B,0)</f>
        <v>26</v>
      </c>
      <c r="X22" s="148">
        <f>INDEX('Tarieven ZM'!$H:$H,$W22)</f>
        <v>1000</v>
      </c>
      <c r="Y22" s="161">
        <f>-INDEX(Parameters!$B:$B,MATCH(Y$3,Parameters!$A:$A,0))*$X22</f>
        <v>0</v>
      </c>
      <c r="Z22" s="149">
        <f>-INDEX(Parameters!$B:$B,MATCH(Z$3,Parameters!$A:$A,0))*$X22</f>
        <v>0</v>
      </c>
      <c r="AA22" s="148">
        <f t="shared" si="4"/>
        <v>1000</v>
      </c>
      <c r="AB22" s="148">
        <f>AA22/INDEX(Parameters!$B:$B,MATCH("AfschrijftermijnVVE"&amp;12*$C22,Parameters!$A:$A,0))</f>
        <v>27.777777777777779</v>
      </c>
      <c r="AC22" s="148">
        <f>INDEX('Tarieven ZM'!$G:$G,$W22)</f>
        <v>1000</v>
      </c>
      <c r="AD22" s="161">
        <f>-INDEX(Parameters!$B:$B,MATCH(AD$3,Parameters!$A:$A,0))*$AC22</f>
        <v>0</v>
      </c>
      <c r="AE22" s="161">
        <f>-INDEX(Parameters!$B:$B,MATCH(AE$3,Parameters!$A:$A,0))*$AC22</f>
        <v>0</v>
      </c>
      <c r="AF22" s="148">
        <f t="shared" si="5"/>
        <v>1000</v>
      </c>
      <c r="AG22" s="151">
        <f t="shared" si="6"/>
        <v>1027.7777777777778</v>
      </c>
      <c r="AH22" s="123"/>
      <c r="AI22" s="147">
        <f>IF(R22&lt;&gt;"n.a.",MATCH($U22,'Tarieven W&amp;O'!$B:$B,0),"nvt")</f>
        <v>145</v>
      </c>
      <c r="AJ22" s="148">
        <f>IF(AI22&lt;&gt;"nvt",INDEX('Tarieven W&amp;O'!$H:$H,$AI22),0)</f>
        <v>0</v>
      </c>
      <c r="AK22" s="148">
        <f>IF(AI22&lt;&gt;"nvt",INDEX('Tarieven W&amp;O'!$I:$I,$AI22),0)</f>
        <v>5</v>
      </c>
      <c r="AL22" s="277">
        <f>IF(AI22&lt;&gt;"nvt",-INDEX(Parameters!$B:$B,MATCH(AL$3&amp;$M22,Parameters!$A:$A,0))*(AJ22+AK22),0)</f>
        <v>0</v>
      </c>
      <c r="AM22" s="442"/>
      <c r="AN22" s="262">
        <f t="shared" si="7"/>
        <v>5</v>
      </c>
      <c r="AO22" s="262">
        <f>AN22/INDEX(Parameters!$B:$B,MATCH("AfschrijftermijnVVE"&amp;12*$C22,Parameters!$A:$A,0))</f>
        <v>0.1388888888888889</v>
      </c>
      <c r="AP22" s="179">
        <f t="shared" si="8"/>
        <v>145</v>
      </c>
      <c r="AQ22" s="202">
        <f>IF(AP22&lt;&gt;"nvt",INDEX('Tarieven W&amp;O'!$G:$G,$AP22),0)</f>
        <v>22.24</v>
      </c>
      <c r="AR22" s="277">
        <f>-INDEX(Parameters!$B:$B,MATCH(AR$3&amp;$M22&amp;O22,Parameters!$A:$A,0))*(AQ22)</f>
        <v>0</v>
      </c>
      <c r="AS22" s="262">
        <f>Parameters!$D$54</f>
        <v>2</v>
      </c>
      <c r="AT22" s="442">
        <f>IF(M22="WBA CM Ethernet",0,'EDC Minus'!$H$27)</f>
        <v>1</v>
      </c>
      <c r="AU22" s="150">
        <f t="shared" si="9"/>
        <v>25.24</v>
      </c>
      <c r="AV22" s="150">
        <f t="shared" si="10"/>
        <v>25.378888888888888</v>
      </c>
      <c r="AW22" s="150"/>
      <c r="AX22" s="150">
        <f>Parameters!$B$6*AV22</f>
        <v>0.2537888888888889</v>
      </c>
      <c r="AY22" s="202">
        <v>0</v>
      </c>
      <c r="AZ22" s="202"/>
      <c r="BA22" s="150">
        <f t="shared" si="11"/>
        <v>0.2537888888888889</v>
      </c>
      <c r="BB22" s="150"/>
      <c r="BC22" s="151">
        <f t="shared" si="12"/>
        <v>25.632677777777776</v>
      </c>
      <c r="BD22" s="209"/>
      <c r="BE22" s="140">
        <f t="shared" si="13"/>
        <v>1002.1451000000001</v>
      </c>
      <c r="BF22" s="141">
        <f t="shared" si="14"/>
        <v>0.97506009729729737</v>
      </c>
      <c r="BG22" s="142" t="b">
        <f t="shared" si="15"/>
        <v>0</v>
      </c>
      <c r="BH22" s="148"/>
      <c r="BI22" s="188" t="s">
        <v>538</v>
      </c>
      <c r="BJ22" s="189"/>
      <c r="BK22">
        <f>VLOOKUP(J22,'Tarieven ZM'!$B$7:$I$146,8,0)</f>
        <v>0</v>
      </c>
      <c r="BL22" s="179" t="str">
        <f>INDEX(Mapping!$M:$M,MATCH($J22,Mapping!$B:$B,0))</f>
        <v>Premium &gt; 2/2Mbps</v>
      </c>
      <c r="BM22" s="282">
        <v>0</v>
      </c>
      <c r="BN22" s="262">
        <f>BM22/INDEX(Parameters!$B:$B,MATCH("AfschrijftermijnVVE"&amp;12*$C22,Parameters!$A:$A,0))</f>
        <v>0</v>
      </c>
      <c r="BO22" s="262">
        <f>Parameters!$D$59+INDEX('inkoop ULL tbv Epacity'!I:I,MATCH($BL22,'inkoop ULL tbv Epacity'!H:H,0))</f>
        <v>17.02</v>
      </c>
      <c r="BP22" s="263">
        <f t="shared" si="16"/>
        <v>17.02</v>
      </c>
      <c r="BQ22" s="203"/>
      <c r="BR22" s="262">
        <f>Parameters!$B$12*AG22</f>
        <v>102.77777777777779</v>
      </c>
      <c r="BS22" s="262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SUM(Distributievergoedingen!$F$12,Distributievergoedingen!$I$12,Distributievergoedingen!$L$12,Distributievergoedingen!$O$12)*AF22+SUM(Distributievergoedingen!$O$12*AA22+Distributievergoedingen!$R$12+Distributievergoedingen!$U$12+Distributievergoedingen!$X$12)/(MAX(36,12*L22))</f>
        <v>112.77777777777777</v>
      </c>
      <c r="BT22" s="202"/>
      <c r="BU22" s="202">
        <f t="shared" si="17"/>
        <v>215.55555555555554</v>
      </c>
      <c r="BW22" s="151">
        <f t="shared" si="18"/>
        <v>232.57555555555555</v>
      </c>
      <c r="BY22" s="140">
        <f t="shared" si="19"/>
        <v>795.2022222222223</v>
      </c>
      <c r="BZ22" s="141">
        <f t="shared" si="20"/>
        <v>0.77371027027027028</v>
      </c>
      <c r="CA22" s="142" t="b">
        <f t="shared" si="21"/>
        <v>0</v>
      </c>
    </row>
    <row r="23" spans="1:79">
      <c r="A23" s="160" t="str">
        <f t="shared" si="0"/>
        <v>1ADSLPremiumnationaal12000/1024</v>
      </c>
      <c r="B23" s="142" t="str">
        <f t="shared" si="1"/>
        <v>1ADSL12000/1024Premium</v>
      </c>
      <c r="C23" s="198">
        <v>1</v>
      </c>
      <c r="D23" s="198" t="s">
        <v>42</v>
      </c>
      <c r="E23" s="198" t="s">
        <v>70</v>
      </c>
      <c r="F23" s="198" t="s">
        <v>115</v>
      </c>
      <c r="G23" s="199" t="s">
        <v>113</v>
      </c>
      <c r="H23" s="198" t="s">
        <v>61</v>
      </c>
      <c r="J23" s="142" t="str">
        <f t="shared" si="2"/>
        <v>ADSL12000/1024Premium</v>
      </c>
      <c r="L23" s="160">
        <f>INDEX(Mapping!$J:$J,MATCH(C$3&amp;C23,Mapping!$B:$B,0))</f>
        <v>1</v>
      </c>
      <c r="M23" s="148" t="str">
        <f>INDEX(Mapping!$H:$H,MATCH($E23,Mapping!$B:$B,0))</f>
        <v>WBA ZM Ethernet</v>
      </c>
      <c r="N23" s="148" t="str">
        <f>INDEX(Mapping!$I:$I,MATCH($E23&amp;$G23,Mapping!$B:$B,0))</f>
        <v>premium</v>
      </c>
      <c r="O23" s="148" t="str">
        <f>INDEX(Mapping!$I:$I,MATCH($D23,Mapping!$B:$B,0))</f>
        <v>ADSL</v>
      </c>
      <c r="P23" s="148" t="str">
        <f>INDEX(Mapping!$H:$H,MATCH($F23,Mapping!$B:$B,0))</f>
        <v>nvt</v>
      </c>
      <c r="Q23" s="148" t="str">
        <f>INDEX(Mapping!$J:$J,MATCH($E23&amp;$G23,Mapping!$B:$B,0))</f>
        <v>metro</v>
      </c>
      <c r="R23" s="148" t="str">
        <f>INDEX(Mapping!$I:$I,MATCH($J23,Mapping!$B:$B,0))</f>
        <v>20 Mbps/10 Mbps</v>
      </c>
      <c r="T23" s="148" t="str">
        <f>INDEX(Mapping!$K:$K,MATCH($E23&amp;$G23,Mapping!$B:$B,0))</f>
        <v>metro-nationaal</v>
      </c>
      <c r="U23" s="142" t="str">
        <f t="shared" si="3"/>
        <v>WBA ZM Ethernet20 Mbps/10 Mbpspremiummetro</v>
      </c>
      <c r="W23" s="160">
        <f>MATCH($J23,'Tarieven ZM'!$B:$B,0)</f>
        <v>27</v>
      </c>
      <c r="X23" s="148">
        <f>INDEX('Tarieven ZM'!$H:$H,$W23)</f>
        <v>1000</v>
      </c>
      <c r="Y23" s="161">
        <f>-INDEX(Parameters!$B:$B,MATCH(Y$3,Parameters!$A:$A,0))*$X23</f>
        <v>0</v>
      </c>
      <c r="Z23" s="149">
        <f>-INDEX(Parameters!$B:$B,MATCH(Z$3,Parameters!$A:$A,0))*$X23</f>
        <v>0</v>
      </c>
      <c r="AA23" s="148">
        <f t="shared" si="4"/>
        <v>1000</v>
      </c>
      <c r="AB23" s="148">
        <f>AA23/INDEX(Parameters!$B:$B,MATCH("AfschrijftermijnVVE"&amp;12*$C23,Parameters!$A:$A,0))</f>
        <v>27.777777777777779</v>
      </c>
      <c r="AC23" s="148">
        <f>INDEX('Tarieven ZM'!$G:$G,$W23)</f>
        <v>1000</v>
      </c>
      <c r="AD23" s="161">
        <f>-INDEX(Parameters!$B:$B,MATCH(AD$3,Parameters!$A:$A,0))*$AC23</f>
        <v>0</v>
      </c>
      <c r="AE23" s="161">
        <f>-INDEX(Parameters!$B:$B,MATCH(AE$3,Parameters!$A:$A,0))*$AC23</f>
        <v>0</v>
      </c>
      <c r="AF23" s="148">
        <f t="shared" si="5"/>
        <v>1000</v>
      </c>
      <c r="AG23" s="151">
        <f t="shared" si="6"/>
        <v>1027.7777777777778</v>
      </c>
      <c r="AH23" s="123"/>
      <c r="AI23" s="147">
        <f>IF(R23&lt;&gt;"n.a.",MATCH($U23,'Tarieven W&amp;O'!$B:$B,0),"nvt")</f>
        <v>146</v>
      </c>
      <c r="AJ23" s="148">
        <f>IF(AI23&lt;&gt;"nvt",INDEX('Tarieven W&amp;O'!$H:$H,$AI23),0)</f>
        <v>0</v>
      </c>
      <c r="AK23" s="148">
        <f>IF(AI23&lt;&gt;"nvt",INDEX('Tarieven W&amp;O'!$I:$I,$AI23),0)</f>
        <v>5</v>
      </c>
      <c r="AL23" s="277">
        <f>IF(AI23&lt;&gt;"nvt",-INDEX(Parameters!$B:$B,MATCH(AL$3&amp;$M23,Parameters!$A:$A,0))*(AJ23+AK23),0)</f>
        <v>0</v>
      </c>
      <c r="AM23" s="442"/>
      <c r="AN23" s="262">
        <f t="shared" si="7"/>
        <v>5</v>
      </c>
      <c r="AO23" s="262">
        <f>AN23/INDEX(Parameters!$B:$B,MATCH("AfschrijftermijnVVE"&amp;12*$C23,Parameters!$A:$A,0))</f>
        <v>0.1388888888888889</v>
      </c>
      <c r="AP23" s="179">
        <f t="shared" si="8"/>
        <v>146</v>
      </c>
      <c r="AQ23" s="202">
        <f>IF(AP23&lt;&gt;"nvt",INDEX('Tarieven W&amp;O'!$G:$G,$AP23),0)</f>
        <v>27.18</v>
      </c>
      <c r="AR23" s="277">
        <f>-INDEX(Parameters!$B:$B,MATCH(AR$3&amp;$M23&amp;O23,Parameters!$A:$A,0))*(AQ23)</f>
        <v>0</v>
      </c>
      <c r="AS23" s="262">
        <f>Parameters!$D$54</f>
        <v>2</v>
      </c>
      <c r="AT23" s="442">
        <f>IF(M23="WBA CM Ethernet",0,'EDC Minus'!$H$27)</f>
        <v>1</v>
      </c>
      <c r="AU23" s="150">
        <f t="shared" si="9"/>
        <v>30.18</v>
      </c>
      <c r="AV23" s="150">
        <f t="shared" si="10"/>
        <v>30.318888888888889</v>
      </c>
      <c r="AW23" s="150"/>
      <c r="AX23" s="150">
        <f>Parameters!$B$6*AV23</f>
        <v>0.3031888888888889</v>
      </c>
      <c r="AY23" s="202">
        <v>0</v>
      </c>
      <c r="AZ23" s="202"/>
      <c r="BA23" s="150">
        <f t="shared" si="11"/>
        <v>0.3031888888888889</v>
      </c>
      <c r="BB23" s="150"/>
      <c r="BC23" s="151">
        <f t="shared" si="12"/>
        <v>30.622077777777779</v>
      </c>
      <c r="BD23" s="209"/>
      <c r="BE23" s="140">
        <f t="shared" si="13"/>
        <v>997.15570000000002</v>
      </c>
      <c r="BF23" s="141">
        <f t="shared" si="14"/>
        <v>0.97020554594594588</v>
      </c>
      <c r="BG23" s="142" t="b">
        <f t="shared" si="15"/>
        <v>0</v>
      </c>
      <c r="BH23" s="148"/>
      <c r="BI23" s="188" t="s">
        <v>538</v>
      </c>
      <c r="BJ23" s="189"/>
      <c r="BK23">
        <f>VLOOKUP(J23,'Tarieven ZM'!$B$7:$I$146,8,0)</f>
        <v>0</v>
      </c>
      <c r="BL23" s="179" t="str">
        <f>INDEX(Mapping!$M:$M,MATCH($J23,Mapping!$B:$B,0))</f>
        <v>Premium &gt; 2/2Mbps</v>
      </c>
      <c r="BM23" s="282">
        <v>0</v>
      </c>
      <c r="BN23" s="262">
        <f>BM23/INDEX(Parameters!$B:$B,MATCH("AfschrijftermijnVVE"&amp;12*$C23,Parameters!$A:$A,0))</f>
        <v>0</v>
      </c>
      <c r="BO23" s="262">
        <f>Parameters!$D$59+INDEX('inkoop ULL tbv Epacity'!I:I,MATCH($BL23,'inkoop ULL tbv Epacity'!H:H,0))</f>
        <v>17.02</v>
      </c>
      <c r="BP23" s="263">
        <f t="shared" si="16"/>
        <v>17.02</v>
      </c>
      <c r="BQ23" s="203"/>
      <c r="BR23" s="262">
        <f>Parameters!$B$12*AG23</f>
        <v>102.77777777777779</v>
      </c>
      <c r="BS23" s="262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SUM(Distributievergoedingen!$F$12,Distributievergoedingen!$I$12,Distributievergoedingen!$L$12,Distributievergoedingen!$O$12)*AF23+SUM(Distributievergoedingen!$O$12*AA23+Distributievergoedingen!$R$12+Distributievergoedingen!$U$12+Distributievergoedingen!$X$12)/(MAX(36,12*L23))</f>
        <v>112.77777777777777</v>
      </c>
      <c r="BT23" s="202"/>
      <c r="BU23" s="202">
        <f t="shared" si="17"/>
        <v>215.55555555555554</v>
      </c>
      <c r="BW23" s="151">
        <f t="shared" si="18"/>
        <v>232.57555555555555</v>
      </c>
      <c r="BY23" s="140">
        <f t="shared" si="19"/>
        <v>795.2022222222223</v>
      </c>
      <c r="BZ23" s="141">
        <f t="shared" si="20"/>
        <v>0.77371027027027028</v>
      </c>
      <c r="CA23" s="142" t="b">
        <f t="shared" si="21"/>
        <v>0</v>
      </c>
    </row>
    <row r="24" spans="1:79">
      <c r="A24" s="160" t="str">
        <f t="shared" si="0"/>
        <v>1SDSLPremiumnationaal256/256</v>
      </c>
      <c r="B24" s="142" t="str">
        <f t="shared" si="1"/>
        <v>1SDSL256/256Premium</v>
      </c>
      <c r="C24" s="198">
        <v>1</v>
      </c>
      <c r="D24" s="198" t="s">
        <v>64</v>
      </c>
      <c r="E24" s="198" t="s">
        <v>70</v>
      </c>
      <c r="F24" s="198" t="s">
        <v>115</v>
      </c>
      <c r="G24" s="199" t="s">
        <v>113</v>
      </c>
      <c r="H24" s="198" t="s">
        <v>48</v>
      </c>
      <c r="J24" s="142" t="str">
        <f t="shared" si="2"/>
        <v>SDSL256/256Premium</v>
      </c>
      <c r="L24" s="160">
        <f>INDEX(Mapping!$J:$J,MATCH(C$3&amp;C24,Mapping!$B:$B,0))</f>
        <v>1</v>
      </c>
      <c r="M24" s="148" t="str">
        <f>INDEX(Mapping!$H:$H,MATCH($E24,Mapping!$B:$B,0))</f>
        <v>WBA ZM Ethernet</v>
      </c>
      <c r="N24" s="148" t="str">
        <f>INDEX(Mapping!$I:$I,MATCH($E24&amp;$G24,Mapping!$B:$B,0))</f>
        <v>premium</v>
      </c>
      <c r="O24" s="148" t="str">
        <f>INDEX(Mapping!$I:$I,MATCH($D24,Mapping!$B:$B,0))</f>
        <v>SDSL</v>
      </c>
      <c r="P24" s="148" t="str">
        <f>INDEX(Mapping!$H:$H,MATCH($F24,Mapping!$B:$B,0))</f>
        <v>nvt</v>
      </c>
      <c r="Q24" s="148" t="str">
        <f>INDEX(Mapping!$J:$J,MATCH($E24&amp;$G24,Mapping!$B:$B,0))</f>
        <v>metro</v>
      </c>
      <c r="R24" s="148" t="str">
        <f>INDEX(Mapping!$I:$I,MATCH($J24,Mapping!$B:$B,0))</f>
        <v>1 Mbps/1 Mbps</v>
      </c>
      <c r="T24" s="148" t="str">
        <f>INDEX(Mapping!$K:$K,MATCH($E24&amp;$G24,Mapping!$B:$B,0))</f>
        <v>metro-nationaal</v>
      </c>
      <c r="U24" s="142" t="str">
        <f t="shared" si="3"/>
        <v>WBA ZM Ethernet1 Mbps/1 Mbpspremiummetro</v>
      </c>
      <c r="W24" s="160">
        <f>MATCH($J24,'Tarieven ZM'!$B:$B,0)</f>
        <v>28</v>
      </c>
      <c r="X24" s="148">
        <f>INDEX('Tarieven ZM'!$H:$H,$W24)</f>
        <v>1000</v>
      </c>
      <c r="Y24" s="161">
        <f>-INDEX(Parameters!$B:$B,MATCH(Y$3,Parameters!$A:$A,0))*$X24</f>
        <v>0</v>
      </c>
      <c r="Z24" s="149">
        <f>-INDEX(Parameters!$B:$B,MATCH(Z$3,Parameters!$A:$A,0))*$X24</f>
        <v>0</v>
      </c>
      <c r="AA24" s="148">
        <f t="shared" si="4"/>
        <v>1000</v>
      </c>
      <c r="AB24" s="148">
        <f>AA24/INDEX(Parameters!$B:$B,MATCH("AfschrijftermijnVVE"&amp;12*$C24,Parameters!$A:$A,0))</f>
        <v>27.777777777777779</v>
      </c>
      <c r="AC24" s="148">
        <f>INDEX('Tarieven ZM'!$G:$G,$W24)</f>
        <v>1000</v>
      </c>
      <c r="AD24" s="161">
        <f>-INDEX(Parameters!$B:$B,MATCH(AD$3,Parameters!$A:$A,0))*$AC24</f>
        <v>0</v>
      </c>
      <c r="AE24" s="161">
        <f>-INDEX(Parameters!$B:$B,MATCH(AE$3,Parameters!$A:$A,0))*$AC24</f>
        <v>0</v>
      </c>
      <c r="AF24" s="148">
        <f t="shared" si="5"/>
        <v>1000</v>
      </c>
      <c r="AG24" s="151">
        <f t="shared" si="6"/>
        <v>1027.7777777777778</v>
      </c>
      <c r="AH24" s="123"/>
      <c r="AI24" s="147">
        <f>IF(R24&lt;&gt;"n.a.",MATCH($U24,'Tarieven W&amp;O'!$B:$B,0),"nvt")</f>
        <v>138</v>
      </c>
      <c r="AJ24" s="148">
        <f>IF(AI24&lt;&gt;"nvt",INDEX('Tarieven W&amp;O'!$H:$H,$AI24),0)</f>
        <v>0</v>
      </c>
      <c r="AK24" s="148">
        <f>IF(AI24&lt;&gt;"nvt",INDEX('Tarieven W&amp;O'!$I:$I,$AI24),0)</f>
        <v>5</v>
      </c>
      <c r="AL24" s="277">
        <f>IF(AI24&lt;&gt;"nvt",-INDEX(Parameters!$B:$B,MATCH(AL$3&amp;$M24,Parameters!$A:$A,0))*(AJ24+AK24),0)</f>
        <v>0</v>
      </c>
      <c r="AM24" s="442"/>
      <c r="AN24" s="262">
        <f t="shared" si="7"/>
        <v>5</v>
      </c>
      <c r="AO24" s="262">
        <f>AN24/INDEX(Parameters!$B:$B,MATCH("AfschrijftermijnVVE"&amp;12*$C24,Parameters!$A:$A,0))</f>
        <v>0.1388888888888889</v>
      </c>
      <c r="AP24" s="179">
        <f t="shared" si="8"/>
        <v>138</v>
      </c>
      <c r="AQ24" s="202">
        <f>IF(AP24&lt;&gt;"nvt",INDEX('Tarieven W&amp;O'!$G:$G,$AP24),0)</f>
        <v>7.41</v>
      </c>
      <c r="AR24" s="277">
        <f>-INDEX(Parameters!$B:$B,MATCH(AR$3&amp;$M24&amp;O24,Parameters!$A:$A,0))*(AQ24)</f>
        <v>0</v>
      </c>
      <c r="AS24" s="262">
        <f>Parameters!$D$54</f>
        <v>2</v>
      </c>
      <c r="AT24" s="442">
        <f>IF(M24="WBA CM Ethernet",0,'EDC Minus'!$H$27)</f>
        <v>1</v>
      </c>
      <c r="AU24" s="150">
        <f t="shared" si="9"/>
        <v>10.41</v>
      </c>
      <c r="AV24" s="150">
        <f t="shared" si="10"/>
        <v>10.548888888888889</v>
      </c>
      <c r="AW24" s="150"/>
      <c r="AX24" s="150">
        <f>Parameters!$B$6*AV24</f>
        <v>0.1054888888888889</v>
      </c>
      <c r="AY24" s="202">
        <v>0</v>
      </c>
      <c r="AZ24" s="202"/>
      <c r="BA24" s="150">
        <f t="shared" si="11"/>
        <v>0.1054888888888889</v>
      </c>
      <c r="BB24" s="150"/>
      <c r="BC24" s="151">
        <f t="shared" si="12"/>
        <v>10.654377777777778</v>
      </c>
      <c r="BD24" s="209"/>
      <c r="BE24" s="140">
        <f t="shared" si="13"/>
        <v>1017.1234000000001</v>
      </c>
      <c r="BF24" s="141">
        <f t="shared" si="14"/>
        <v>0.9896335783783784</v>
      </c>
      <c r="BG24" s="142" t="b">
        <f t="shared" si="15"/>
        <v>0</v>
      </c>
      <c r="BH24" s="148"/>
      <c r="BI24" s="188" t="s">
        <v>538</v>
      </c>
      <c r="BJ24" s="189"/>
      <c r="BK24">
        <f>VLOOKUP(J24,'Tarieven ZM'!$B$7:$I$146,8,0)</f>
        <v>0</v>
      </c>
      <c r="BL24" s="179" t="str">
        <f>INDEX(Mapping!$M:$M,MATCH($J24,Mapping!$B:$B,0))</f>
        <v>nvt</v>
      </c>
      <c r="BM24" s="282">
        <v>0</v>
      </c>
      <c r="BN24" s="262">
        <f>BM24/INDEX(Parameters!$B:$B,MATCH("AfschrijftermijnVVE"&amp;12*$C24,Parameters!$A:$A,0))</f>
        <v>0</v>
      </c>
      <c r="BO24" s="262">
        <f>Parameters!$D$59+INDEX('inkoop ULL tbv Epacity'!I:I,MATCH($BL24,'inkoop ULL tbv Epacity'!H:H,0))</f>
        <v>1</v>
      </c>
      <c r="BP24" s="263">
        <f t="shared" si="16"/>
        <v>1</v>
      </c>
      <c r="BQ24" s="203"/>
      <c r="BR24" s="262">
        <f>Parameters!$B$12*AG24</f>
        <v>102.77777777777779</v>
      </c>
      <c r="BS24" s="262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SUM(Distributievergoedingen!$F$12,Distributievergoedingen!$I$12,Distributievergoedingen!$L$12,Distributievergoedingen!$O$12)*AF24+SUM(Distributievergoedingen!$O$12*AA24+Distributievergoedingen!$R$12+Distributievergoedingen!$U$12+Distributievergoedingen!$X$12)/(MAX(36,12*L24))</f>
        <v>112.77777777777777</v>
      </c>
      <c r="BT24" s="202"/>
      <c r="BU24" s="202">
        <f t="shared" si="17"/>
        <v>215.55555555555554</v>
      </c>
      <c r="BW24" s="151">
        <f t="shared" si="18"/>
        <v>216.55555555555554</v>
      </c>
      <c r="BY24" s="140">
        <f t="shared" si="19"/>
        <v>811.22222222222229</v>
      </c>
      <c r="BZ24" s="141">
        <f t="shared" si="20"/>
        <v>0.78929729729729736</v>
      </c>
      <c r="CA24" s="142" t="b">
        <f t="shared" si="21"/>
        <v>0</v>
      </c>
    </row>
    <row r="25" spans="1:79">
      <c r="A25" s="160" t="str">
        <f t="shared" si="0"/>
        <v>1SDSLPremiumnationaal512/512</v>
      </c>
      <c r="B25" s="142" t="str">
        <f t="shared" si="1"/>
        <v>1SDSL512/512Premium</v>
      </c>
      <c r="C25" s="198">
        <v>1</v>
      </c>
      <c r="D25" s="198" t="s">
        <v>64</v>
      </c>
      <c r="E25" s="198" t="s">
        <v>70</v>
      </c>
      <c r="F25" s="198" t="s">
        <v>115</v>
      </c>
      <c r="G25" s="199" t="s">
        <v>113</v>
      </c>
      <c r="H25" s="198" t="s">
        <v>50</v>
      </c>
      <c r="J25" s="142" t="str">
        <f t="shared" si="2"/>
        <v>SDSL512/512Premium</v>
      </c>
      <c r="L25" s="160">
        <f>INDEX(Mapping!$J:$J,MATCH(C$3&amp;C25,Mapping!$B:$B,0))</f>
        <v>1</v>
      </c>
      <c r="M25" s="148" t="str">
        <f>INDEX(Mapping!$H:$H,MATCH($E25,Mapping!$B:$B,0))</f>
        <v>WBA ZM Ethernet</v>
      </c>
      <c r="N25" s="148" t="str">
        <f>INDEX(Mapping!$I:$I,MATCH($E25&amp;$G25,Mapping!$B:$B,0))</f>
        <v>premium</v>
      </c>
      <c r="O25" s="148" t="str">
        <f>INDEX(Mapping!$I:$I,MATCH($D25,Mapping!$B:$B,0))</f>
        <v>SDSL</v>
      </c>
      <c r="P25" s="148" t="str">
        <f>INDEX(Mapping!$H:$H,MATCH($F25,Mapping!$B:$B,0))</f>
        <v>nvt</v>
      </c>
      <c r="Q25" s="148" t="str">
        <f>INDEX(Mapping!$J:$J,MATCH($E25&amp;$G25,Mapping!$B:$B,0))</f>
        <v>metro</v>
      </c>
      <c r="R25" s="148" t="str">
        <f>INDEX(Mapping!$I:$I,MATCH($J25,Mapping!$B:$B,0))</f>
        <v>1 Mbps/1 Mbps</v>
      </c>
      <c r="T25" s="148" t="str">
        <f>INDEX(Mapping!$K:$K,MATCH($E25&amp;$G25,Mapping!$B:$B,0))</f>
        <v>metro-nationaal</v>
      </c>
      <c r="U25" s="142" t="str">
        <f t="shared" si="3"/>
        <v>WBA ZM Ethernet1 Mbps/1 Mbpspremiummetro</v>
      </c>
      <c r="W25" s="160">
        <f>MATCH($J25,'Tarieven ZM'!$B:$B,0)</f>
        <v>29</v>
      </c>
      <c r="X25" s="148">
        <f>INDEX('Tarieven ZM'!$H:$H,$W25)</f>
        <v>1000</v>
      </c>
      <c r="Y25" s="161">
        <f>-INDEX(Parameters!$B:$B,MATCH(Y$3,Parameters!$A:$A,0))*$X25</f>
        <v>0</v>
      </c>
      <c r="Z25" s="149">
        <f>-INDEX(Parameters!$B:$B,MATCH(Z$3,Parameters!$A:$A,0))*$X25</f>
        <v>0</v>
      </c>
      <c r="AA25" s="148">
        <f t="shared" si="4"/>
        <v>1000</v>
      </c>
      <c r="AB25" s="148">
        <f>AA25/INDEX(Parameters!$B:$B,MATCH("AfschrijftermijnVVE"&amp;12*$C25,Parameters!$A:$A,0))</f>
        <v>27.777777777777779</v>
      </c>
      <c r="AC25" s="148">
        <f>INDEX('Tarieven ZM'!$G:$G,$W25)</f>
        <v>1000</v>
      </c>
      <c r="AD25" s="161">
        <f>-INDEX(Parameters!$B:$B,MATCH(AD$3,Parameters!$A:$A,0))*$AC25</f>
        <v>0</v>
      </c>
      <c r="AE25" s="161">
        <f>-INDEX(Parameters!$B:$B,MATCH(AE$3,Parameters!$A:$A,0))*$AC25</f>
        <v>0</v>
      </c>
      <c r="AF25" s="148">
        <f t="shared" si="5"/>
        <v>1000</v>
      </c>
      <c r="AG25" s="151">
        <f t="shared" si="6"/>
        <v>1027.7777777777778</v>
      </c>
      <c r="AH25" s="123"/>
      <c r="AI25" s="147">
        <f>IF(R25&lt;&gt;"n.a.",MATCH($U25,'Tarieven W&amp;O'!$B:$B,0),"nvt")</f>
        <v>138</v>
      </c>
      <c r="AJ25" s="148">
        <f>IF(AI25&lt;&gt;"nvt",INDEX('Tarieven W&amp;O'!$H:$H,$AI25),0)</f>
        <v>0</v>
      </c>
      <c r="AK25" s="148">
        <f>IF(AI25&lt;&gt;"nvt",INDEX('Tarieven W&amp;O'!$I:$I,$AI25),0)</f>
        <v>5</v>
      </c>
      <c r="AL25" s="277">
        <f>IF(AI25&lt;&gt;"nvt",-INDEX(Parameters!$B:$B,MATCH(AL$3&amp;$M25,Parameters!$A:$A,0))*(AJ25+AK25),0)</f>
        <v>0</v>
      </c>
      <c r="AM25" s="442"/>
      <c r="AN25" s="262">
        <f t="shared" si="7"/>
        <v>5</v>
      </c>
      <c r="AO25" s="262">
        <f>AN25/INDEX(Parameters!$B:$B,MATCH("AfschrijftermijnVVE"&amp;12*$C25,Parameters!$A:$A,0))</f>
        <v>0.1388888888888889</v>
      </c>
      <c r="AP25" s="179">
        <f t="shared" si="8"/>
        <v>138</v>
      </c>
      <c r="AQ25" s="202">
        <f>IF(AP25&lt;&gt;"nvt",INDEX('Tarieven W&amp;O'!$G:$G,$AP25),0)</f>
        <v>7.41</v>
      </c>
      <c r="AR25" s="277">
        <f>-INDEX(Parameters!$B:$B,MATCH(AR$3&amp;$M25&amp;O25,Parameters!$A:$A,0))*(AQ25)</f>
        <v>0</v>
      </c>
      <c r="AS25" s="262">
        <f>Parameters!$D$54</f>
        <v>2</v>
      </c>
      <c r="AT25" s="442">
        <f>IF(M25="WBA CM Ethernet",0,'EDC Minus'!$H$27)</f>
        <v>1</v>
      </c>
      <c r="AU25" s="150">
        <f t="shared" si="9"/>
        <v>10.41</v>
      </c>
      <c r="AV25" s="150">
        <f t="shared" si="10"/>
        <v>10.548888888888889</v>
      </c>
      <c r="AW25" s="150"/>
      <c r="AX25" s="150">
        <f>Parameters!$B$6*AV25</f>
        <v>0.1054888888888889</v>
      </c>
      <c r="AY25" s="202">
        <v>0</v>
      </c>
      <c r="AZ25" s="202"/>
      <c r="BA25" s="150">
        <f t="shared" si="11"/>
        <v>0.1054888888888889</v>
      </c>
      <c r="BB25" s="150"/>
      <c r="BC25" s="151">
        <f t="shared" si="12"/>
        <v>10.654377777777778</v>
      </c>
      <c r="BD25" s="209"/>
      <c r="BE25" s="140">
        <f t="shared" si="13"/>
        <v>1017.1234000000001</v>
      </c>
      <c r="BF25" s="141">
        <f t="shared" si="14"/>
        <v>0.9896335783783784</v>
      </c>
      <c r="BG25" s="142" t="b">
        <f t="shared" si="15"/>
        <v>0</v>
      </c>
      <c r="BH25" s="148"/>
      <c r="BI25" s="188" t="s">
        <v>538</v>
      </c>
      <c r="BJ25" s="189"/>
      <c r="BK25">
        <f>VLOOKUP(J25,'Tarieven ZM'!$B$7:$I$146,8,0)</f>
        <v>0</v>
      </c>
      <c r="BL25" s="179" t="str">
        <f>INDEX(Mapping!$M:$M,MATCH($J25,Mapping!$B:$B,0))</f>
        <v>nvt</v>
      </c>
      <c r="BM25" s="282">
        <v>0</v>
      </c>
      <c r="BN25" s="262">
        <f>BM25/INDEX(Parameters!$B:$B,MATCH("AfschrijftermijnVVE"&amp;12*$C25,Parameters!$A:$A,0))</f>
        <v>0</v>
      </c>
      <c r="BO25" s="262">
        <f>Parameters!$D$59+INDEX('inkoop ULL tbv Epacity'!I:I,MATCH($BL25,'inkoop ULL tbv Epacity'!H:H,0))</f>
        <v>1</v>
      </c>
      <c r="BP25" s="263">
        <f t="shared" si="16"/>
        <v>1</v>
      </c>
      <c r="BQ25" s="203"/>
      <c r="BR25" s="262">
        <f>Parameters!$B$12*AG25</f>
        <v>102.77777777777779</v>
      </c>
      <c r="BS25" s="262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SUM(Distributievergoedingen!$F$12,Distributievergoedingen!$I$12,Distributievergoedingen!$L$12,Distributievergoedingen!$O$12)*AF25+SUM(Distributievergoedingen!$O$12*AA25+Distributievergoedingen!$R$12+Distributievergoedingen!$U$12+Distributievergoedingen!$X$12)/(MAX(36,12*L25))</f>
        <v>112.77777777777777</v>
      </c>
      <c r="BT25" s="202"/>
      <c r="BU25" s="202">
        <f t="shared" si="17"/>
        <v>215.55555555555554</v>
      </c>
      <c r="BW25" s="151">
        <f t="shared" si="18"/>
        <v>216.55555555555554</v>
      </c>
      <c r="BY25" s="140">
        <f t="shared" si="19"/>
        <v>811.22222222222229</v>
      </c>
      <c r="BZ25" s="141">
        <f t="shared" si="20"/>
        <v>0.78929729729729736</v>
      </c>
      <c r="CA25" s="142" t="b">
        <f t="shared" si="21"/>
        <v>0</v>
      </c>
    </row>
    <row r="26" spans="1:79">
      <c r="A26" s="160" t="str">
        <f t="shared" si="0"/>
        <v>1SDSLPremiumnationaal1024/1024</v>
      </c>
      <c r="B26" s="142" t="str">
        <f t="shared" si="1"/>
        <v>1SDSL1024/1024Premium</v>
      </c>
      <c r="C26" s="198">
        <v>1</v>
      </c>
      <c r="D26" s="198" t="s">
        <v>64</v>
      </c>
      <c r="E26" s="198" t="s">
        <v>70</v>
      </c>
      <c r="F26" s="198" t="s">
        <v>115</v>
      </c>
      <c r="G26" s="199" t="s">
        <v>113</v>
      </c>
      <c r="H26" s="198" t="s">
        <v>66</v>
      </c>
      <c r="J26" s="142" t="str">
        <f t="shared" si="2"/>
        <v>SDSL1024/1024Premium</v>
      </c>
      <c r="L26" s="160">
        <f>INDEX(Mapping!$J:$J,MATCH(C$3&amp;C26,Mapping!$B:$B,0))</f>
        <v>1</v>
      </c>
      <c r="M26" s="148" t="str">
        <f>INDEX(Mapping!$H:$H,MATCH($E26,Mapping!$B:$B,0))</f>
        <v>WBA ZM Ethernet</v>
      </c>
      <c r="N26" s="148" t="str">
        <f>INDEX(Mapping!$I:$I,MATCH($E26&amp;$G26,Mapping!$B:$B,0))</f>
        <v>premium</v>
      </c>
      <c r="O26" s="148" t="str">
        <f>INDEX(Mapping!$I:$I,MATCH($D26,Mapping!$B:$B,0))</f>
        <v>SDSL</v>
      </c>
      <c r="P26" s="148" t="str">
        <f>INDEX(Mapping!$H:$H,MATCH($F26,Mapping!$B:$B,0))</f>
        <v>nvt</v>
      </c>
      <c r="Q26" s="148" t="str">
        <f>INDEX(Mapping!$J:$J,MATCH($E26&amp;$G26,Mapping!$B:$B,0))</f>
        <v>metro</v>
      </c>
      <c r="R26" s="148" t="str">
        <f>INDEX(Mapping!$I:$I,MATCH($J26,Mapping!$B:$B,0))</f>
        <v>1 Mbps/1 Mbps</v>
      </c>
      <c r="T26" s="148" t="str">
        <f>INDEX(Mapping!$K:$K,MATCH($E26&amp;$G26,Mapping!$B:$B,0))</f>
        <v>metro-nationaal</v>
      </c>
      <c r="U26" s="142" t="str">
        <f t="shared" si="3"/>
        <v>WBA ZM Ethernet1 Mbps/1 Mbpspremiummetro</v>
      </c>
      <c r="W26" s="160">
        <f>MATCH($J26,'Tarieven ZM'!$B:$B,0)</f>
        <v>30</v>
      </c>
      <c r="X26" s="148">
        <f>INDEX('Tarieven ZM'!$H:$H,$W26)</f>
        <v>1000</v>
      </c>
      <c r="Y26" s="161">
        <f>-INDEX(Parameters!$B:$B,MATCH(Y$3,Parameters!$A:$A,0))*$X26</f>
        <v>0</v>
      </c>
      <c r="Z26" s="149">
        <f>-INDEX(Parameters!$B:$B,MATCH(Z$3,Parameters!$A:$A,0))*$X26</f>
        <v>0</v>
      </c>
      <c r="AA26" s="148">
        <f t="shared" si="4"/>
        <v>1000</v>
      </c>
      <c r="AB26" s="148">
        <f>AA26/INDEX(Parameters!$B:$B,MATCH("AfschrijftermijnVVE"&amp;12*$C26,Parameters!$A:$A,0))</f>
        <v>27.777777777777779</v>
      </c>
      <c r="AC26" s="148">
        <f>INDEX('Tarieven ZM'!$G:$G,$W26)</f>
        <v>1000</v>
      </c>
      <c r="AD26" s="161">
        <f>-INDEX(Parameters!$B:$B,MATCH(AD$3,Parameters!$A:$A,0))*$AC26</f>
        <v>0</v>
      </c>
      <c r="AE26" s="161">
        <f>-INDEX(Parameters!$B:$B,MATCH(AE$3,Parameters!$A:$A,0))*$AC26</f>
        <v>0</v>
      </c>
      <c r="AF26" s="148">
        <f t="shared" si="5"/>
        <v>1000</v>
      </c>
      <c r="AG26" s="151">
        <f t="shared" si="6"/>
        <v>1027.7777777777778</v>
      </c>
      <c r="AH26" s="123"/>
      <c r="AI26" s="147">
        <f>IF(R26&lt;&gt;"n.a.",MATCH($U26,'Tarieven W&amp;O'!$B:$B,0),"nvt")</f>
        <v>138</v>
      </c>
      <c r="AJ26" s="148">
        <f>IF(AI26&lt;&gt;"nvt",INDEX('Tarieven W&amp;O'!$H:$H,$AI26),0)</f>
        <v>0</v>
      </c>
      <c r="AK26" s="148">
        <f>IF(AI26&lt;&gt;"nvt",INDEX('Tarieven W&amp;O'!$I:$I,$AI26),0)</f>
        <v>5</v>
      </c>
      <c r="AL26" s="277">
        <f>IF(AI26&lt;&gt;"nvt",-INDEX(Parameters!$B:$B,MATCH(AL$3&amp;$M26,Parameters!$A:$A,0))*(AJ26+AK26),0)</f>
        <v>0</v>
      </c>
      <c r="AM26" s="442"/>
      <c r="AN26" s="262">
        <f t="shared" si="7"/>
        <v>5</v>
      </c>
      <c r="AO26" s="262">
        <f>AN26/INDEX(Parameters!$B:$B,MATCH("AfschrijftermijnVVE"&amp;12*$C26,Parameters!$A:$A,0))</f>
        <v>0.1388888888888889</v>
      </c>
      <c r="AP26" s="179">
        <f t="shared" si="8"/>
        <v>138</v>
      </c>
      <c r="AQ26" s="202">
        <f>IF(AP26&lt;&gt;"nvt",INDEX('Tarieven W&amp;O'!$G:$G,$AP26),0)</f>
        <v>7.41</v>
      </c>
      <c r="AR26" s="277">
        <f>-INDEX(Parameters!$B:$B,MATCH(AR$3&amp;$M26&amp;O26,Parameters!$A:$A,0))*(AQ26)</f>
        <v>0</v>
      </c>
      <c r="AS26" s="262">
        <f>Parameters!$D$54</f>
        <v>2</v>
      </c>
      <c r="AT26" s="442">
        <f>IF(M26="WBA CM Ethernet",0,'EDC Minus'!$H$27)</f>
        <v>1</v>
      </c>
      <c r="AU26" s="150">
        <f t="shared" si="9"/>
        <v>10.41</v>
      </c>
      <c r="AV26" s="150">
        <f t="shared" si="10"/>
        <v>10.548888888888889</v>
      </c>
      <c r="AW26" s="150"/>
      <c r="AX26" s="150">
        <f>Parameters!$B$6*AV26</f>
        <v>0.1054888888888889</v>
      </c>
      <c r="AY26" s="202">
        <v>0</v>
      </c>
      <c r="AZ26" s="202"/>
      <c r="BA26" s="150">
        <f t="shared" si="11"/>
        <v>0.1054888888888889</v>
      </c>
      <c r="BB26" s="150"/>
      <c r="BC26" s="151">
        <f t="shared" si="12"/>
        <v>10.654377777777778</v>
      </c>
      <c r="BD26" s="209"/>
      <c r="BE26" s="140">
        <f t="shared" si="13"/>
        <v>1017.1234000000001</v>
      </c>
      <c r="BF26" s="141">
        <f t="shared" si="14"/>
        <v>0.9896335783783784</v>
      </c>
      <c r="BG26" s="142" t="b">
        <f t="shared" si="15"/>
        <v>0</v>
      </c>
      <c r="BH26" s="148"/>
      <c r="BI26" s="188" t="s">
        <v>538</v>
      </c>
      <c r="BJ26" s="189"/>
      <c r="BK26">
        <f>VLOOKUP(J26,'Tarieven ZM'!$B$7:$I$146,8,0)</f>
        <v>0</v>
      </c>
      <c r="BL26" s="179" t="str">
        <f>INDEX(Mapping!$M:$M,MATCH($J26,Mapping!$B:$B,0))</f>
        <v>nvt</v>
      </c>
      <c r="BM26" s="282">
        <v>0</v>
      </c>
      <c r="BN26" s="262">
        <f>BM26/INDEX(Parameters!$B:$B,MATCH("AfschrijftermijnVVE"&amp;12*$C26,Parameters!$A:$A,0))</f>
        <v>0</v>
      </c>
      <c r="BO26" s="262">
        <f>Parameters!$D$59+INDEX('inkoop ULL tbv Epacity'!I:I,MATCH($BL26,'inkoop ULL tbv Epacity'!H:H,0))</f>
        <v>1</v>
      </c>
      <c r="BP26" s="263">
        <f t="shared" si="16"/>
        <v>1</v>
      </c>
      <c r="BQ26" s="203"/>
      <c r="BR26" s="262">
        <f>Parameters!$B$12*AG26</f>
        <v>102.77777777777779</v>
      </c>
      <c r="BS26" s="262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SUM(Distributievergoedingen!$F$12,Distributievergoedingen!$I$12,Distributievergoedingen!$L$12,Distributievergoedingen!$O$12)*AF26+SUM(Distributievergoedingen!$O$12*AA26+Distributievergoedingen!$R$12+Distributievergoedingen!$U$12+Distributievergoedingen!$X$12)/(MAX(36,12*L26))</f>
        <v>112.77777777777777</v>
      </c>
      <c r="BT26" s="202"/>
      <c r="BU26" s="202">
        <f t="shared" si="17"/>
        <v>215.55555555555554</v>
      </c>
      <c r="BW26" s="151">
        <f t="shared" si="18"/>
        <v>216.55555555555554</v>
      </c>
      <c r="BY26" s="140">
        <f t="shared" si="19"/>
        <v>811.22222222222229</v>
      </c>
      <c r="BZ26" s="141">
        <f t="shared" si="20"/>
        <v>0.78929729729729736</v>
      </c>
      <c r="CA26" s="142" t="b">
        <f t="shared" si="21"/>
        <v>0</v>
      </c>
    </row>
    <row r="27" spans="1:79">
      <c r="A27" s="160" t="str">
        <f t="shared" si="0"/>
        <v>1SDSLPremiumnationaal1536/1536</v>
      </c>
      <c r="B27" s="142" t="str">
        <f t="shared" si="1"/>
        <v>1SDSL1536/1536Premium</v>
      </c>
      <c r="C27" s="198">
        <v>1</v>
      </c>
      <c r="D27" s="198" t="s">
        <v>64</v>
      </c>
      <c r="E27" s="198" t="s">
        <v>70</v>
      </c>
      <c r="F27" s="198" t="s">
        <v>115</v>
      </c>
      <c r="G27" s="199" t="s">
        <v>113</v>
      </c>
      <c r="H27" s="198" t="s">
        <v>67</v>
      </c>
      <c r="J27" s="142" t="str">
        <f t="shared" si="2"/>
        <v>SDSL1536/1536Premium</v>
      </c>
      <c r="L27" s="160">
        <f>INDEX(Mapping!$J:$J,MATCH(C$3&amp;C27,Mapping!$B:$B,0))</f>
        <v>1</v>
      </c>
      <c r="M27" s="148" t="str">
        <f>INDEX(Mapping!$H:$H,MATCH($E27,Mapping!$B:$B,0))</f>
        <v>WBA ZM Ethernet</v>
      </c>
      <c r="N27" s="148" t="str">
        <f>INDEX(Mapping!$I:$I,MATCH($E27&amp;$G27,Mapping!$B:$B,0))</f>
        <v>premium</v>
      </c>
      <c r="O27" s="148" t="str">
        <f>INDEX(Mapping!$I:$I,MATCH($D27,Mapping!$B:$B,0))</f>
        <v>SDSL</v>
      </c>
      <c r="P27" s="148" t="str">
        <f>INDEX(Mapping!$H:$H,MATCH($F27,Mapping!$B:$B,0))</f>
        <v>nvt</v>
      </c>
      <c r="Q27" s="148" t="str">
        <f>INDEX(Mapping!$J:$J,MATCH($E27&amp;$G27,Mapping!$B:$B,0))</f>
        <v>metro</v>
      </c>
      <c r="R27" s="148" t="str">
        <f>INDEX(Mapping!$I:$I,MATCH($J27,Mapping!$B:$B,0))</f>
        <v>2 Mbps/2 Mbps</v>
      </c>
      <c r="T27" s="148" t="str">
        <f>INDEX(Mapping!$K:$K,MATCH($E27&amp;$G27,Mapping!$B:$B,0))</f>
        <v>metro-nationaal</v>
      </c>
      <c r="U27" s="142" t="str">
        <f t="shared" si="3"/>
        <v>WBA ZM Ethernet2 Mbps/2 Mbpspremiummetro</v>
      </c>
      <c r="W27" s="160">
        <f>MATCH($J27,'Tarieven ZM'!$B:$B,0)</f>
        <v>31</v>
      </c>
      <c r="X27" s="148">
        <f>INDEX('Tarieven ZM'!$H:$H,$W27)</f>
        <v>1000</v>
      </c>
      <c r="Y27" s="161">
        <f>-INDEX(Parameters!$B:$B,MATCH(Y$3,Parameters!$A:$A,0))*$X27</f>
        <v>0</v>
      </c>
      <c r="Z27" s="149">
        <f>-INDEX(Parameters!$B:$B,MATCH(Z$3,Parameters!$A:$A,0))*$X27</f>
        <v>0</v>
      </c>
      <c r="AA27" s="148">
        <f t="shared" si="4"/>
        <v>1000</v>
      </c>
      <c r="AB27" s="148">
        <f>AA27/INDEX(Parameters!$B:$B,MATCH("AfschrijftermijnVVE"&amp;12*$C27,Parameters!$A:$A,0))</f>
        <v>27.777777777777779</v>
      </c>
      <c r="AC27" s="148">
        <f>INDEX('Tarieven ZM'!$G:$G,$W27)</f>
        <v>1000</v>
      </c>
      <c r="AD27" s="161">
        <f>-INDEX(Parameters!$B:$B,MATCH(AD$3,Parameters!$A:$A,0))*$AC27</f>
        <v>0</v>
      </c>
      <c r="AE27" s="161">
        <f>-INDEX(Parameters!$B:$B,MATCH(AE$3,Parameters!$A:$A,0))*$AC27</f>
        <v>0</v>
      </c>
      <c r="AF27" s="148">
        <f t="shared" si="5"/>
        <v>1000</v>
      </c>
      <c r="AG27" s="151">
        <f t="shared" si="6"/>
        <v>1027.7777777777778</v>
      </c>
      <c r="AH27" s="123"/>
      <c r="AI27" s="147">
        <f>IF(R27&lt;&gt;"n.a.",MATCH($U27,'Tarieven W&amp;O'!$B:$B,0),"nvt")</f>
        <v>139</v>
      </c>
      <c r="AJ27" s="148">
        <f>IF(AI27&lt;&gt;"nvt",INDEX('Tarieven W&amp;O'!$H:$H,$AI27),0)</f>
        <v>0</v>
      </c>
      <c r="AK27" s="148">
        <f>IF(AI27&lt;&gt;"nvt",INDEX('Tarieven W&amp;O'!$I:$I,$AI27),0)</f>
        <v>5</v>
      </c>
      <c r="AL27" s="277">
        <f>IF(AI27&lt;&gt;"nvt",-INDEX(Parameters!$B:$B,MATCH(AL$3&amp;$M27,Parameters!$A:$A,0))*(AJ27+AK27),0)</f>
        <v>0</v>
      </c>
      <c r="AM27" s="442"/>
      <c r="AN27" s="262">
        <f t="shared" si="7"/>
        <v>5</v>
      </c>
      <c r="AO27" s="262">
        <f>AN27/INDEX(Parameters!$B:$B,MATCH("AfschrijftermijnVVE"&amp;12*$C27,Parameters!$A:$A,0))</f>
        <v>0.1388888888888889</v>
      </c>
      <c r="AP27" s="179">
        <f t="shared" si="8"/>
        <v>139</v>
      </c>
      <c r="AQ27" s="202">
        <f>IF(AP27&lt;&gt;"nvt",INDEX('Tarieven W&amp;O'!$G:$G,$AP27),0)</f>
        <v>14.82</v>
      </c>
      <c r="AR27" s="277">
        <f>-INDEX(Parameters!$B:$B,MATCH(AR$3&amp;$M27&amp;O27,Parameters!$A:$A,0))*(AQ27)</f>
        <v>0</v>
      </c>
      <c r="AS27" s="262">
        <f>Parameters!$D$54</f>
        <v>2</v>
      </c>
      <c r="AT27" s="442">
        <f>IF(M27="WBA CM Ethernet",0,'EDC Minus'!$H$27)</f>
        <v>1</v>
      </c>
      <c r="AU27" s="150">
        <f t="shared" si="9"/>
        <v>17.82</v>
      </c>
      <c r="AV27" s="150">
        <f t="shared" si="10"/>
        <v>17.95888888888889</v>
      </c>
      <c r="AW27" s="150"/>
      <c r="AX27" s="150">
        <f>Parameters!$B$6*AV27</f>
        <v>0.17958888888888891</v>
      </c>
      <c r="AY27" s="202">
        <v>0</v>
      </c>
      <c r="AZ27" s="202"/>
      <c r="BA27" s="150">
        <f t="shared" si="11"/>
        <v>0.17958888888888891</v>
      </c>
      <c r="BB27" s="150"/>
      <c r="BC27" s="151">
        <f t="shared" si="12"/>
        <v>18.13847777777778</v>
      </c>
      <c r="BD27" s="209"/>
      <c r="BE27" s="140">
        <f t="shared" si="13"/>
        <v>1009.6393</v>
      </c>
      <c r="BF27" s="141">
        <f t="shared" si="14"/>
        <v>0.98235175135135133</v>
      </c>
      <c r="BG27" s="142" t="b">
        <f t="shared" si="15"/>
        <v>0</v>
      </c>
      <c r="BH27" s="148"/>
      <c r="BI27" s="188" t="s">
        <v>538</v>
      </c>
      <c r="BJ27" s="189"/>
      <c r="BK27">
        <f>VLOOKUP(J27,'Tarieven ZM'!$B$7:$I$146,8,0)</f>
        <v>0</v>
      </c>
      <c r="BL27" s="179" t="str">
        <f>INDEX(Mapping!$M:$M,MATCH($J27,Mapping!$B:$B,0))</f>
        <v>nvt</v>
      </c>
      <c r="BM27" s="282">
        <v>0</v>
      </c>
      <c r="BN27" s="262">
        <f>BM27/INDEX(Parameters!$B:$B,MATCH("AfschrijftermijnVVE"&amp;12*$C27,Parameters!$A:$A,0))</f>
        <v>0</v>
      </c>
      <c r="BO27" s="262">
        <f>Parameters!$D$59+INDEX('inkoop ULL tbv Epacity'!I:I,MATCH($BL27,'inkoop ULL tbv Epacity'!H:H,0))</f>
        <v>1</v>
      </c>
      <c r="BP27" s="263">
        <f t="shared" si="16"/>
        <v>1</v>
      </c>
      <c r="BQ27" s="203"/>
      <c r="BR27" s="262">
        <f>Parameters!$B$12*AG27</f>
        <v>102.77777777777779</v>
      </c>
      <c r="BS27" s="262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SUM(Distributievergoedingen!$F$12,Distributievergoedingen!$I$12,Distributievergoedingen!$L$12,Distributievergoedingen!$O$12)*AF27+SUM(Distributievergoedingen!$O$12*AA27+Distributievergoedingen!$R$12+Distributievergoedingen!$U$12+Distributievergoedingen!$X$12)/(MAX(36,12*L27))</f>
        <v>112.77777777777777</v>
      </c>
      <c r="BT27" s="202"/>
      <c r="BU27" s="202">
        <f t="shared" si="17"/>
        <v>215.55555555555554</v>
      </c>
      <c r="BW27" s="151">
        <f t="shared" si="18"/>
        <v>216.55555555555554</v>
      </c>
      <c r="BY27" s="140">
        <f t="shared" si="19"/>
        <v>811.22222222222229</v>
      </c>
      <c r="BZ27" s="141">
        <f t="shared" si="20"/>
        <v>0.78929729729729736</v>
      </c>
      <c r="CA27" s="142" t="b">
        <f t="shared" si="21"/>
        <v>0</v>
      </c>
    </row>
    <row r="28" spans="1:79">
      <c r="A28" s="160" t="str">
        <f t="shared" si="0"/>
        <v>1SDSLPremiumnationaal2048/2048</v>
      </c>
      <c r="B28" s="142" t="str">
        <f t="shared" si="1"/>
        <v>1SDSL2048/2048Premium</v>
      </c>
      <c r="C28" s="198">
        <v>1</v>
      </c>
      <c r="D28" s="198" t="s">
        <v>64</v>
      </c>
      <c r="E28" s="198" t="s">
        <v>70</v>
      </c>
      <c r="F28" s="198" t="s">
        <v>115</v>
      </c>
      <c r="G28" s="199" t="s">
        <v>113</v>
      </c>
      <c r="H28" s="198" t="s">
        <v>68</v>
      </c>
      <c r="J28" s="142" t="str">
        <f t="shared" si="2"/>
        <v>SDSL2048/2048Premium</v>
      </c>
      <c r="L28" s="160">
        <f>INDEX(Mapping!$J:$J,MATCH(C$3&amp;C28,Mapping!$B:$B,0))</f>
        <v>1</v>
      </c>
      <c r="M28" s="148" t="str">
        <f>INDEX(Mapping!$H:$H,MATCH($E28,Mapping!$B:$B,0))</f>
        <v>WBA ZM Ethernet</v>
      </c>
      <c r="N28" s="148" t="str">
        <f>INDEX(Mapping!$I:$I,MATCH($E28&amp;$G28,Mapping!$B:$B,0))</f>
        <v>premium</v>
      </c>
      <c r="O28" s="148" t="str">
        <f>INDEX(Mapping!$I:$I,MATCH($D28,Mapping!$B:$B,0))</f>
        <v>SDSL</v>
      </c>
      <c r="P28" s="148" t="str">
        <f>INDEX(Mapping!$H:$H,MATCH($F28,Mapping!$B:$B,0))</f>
        <v>nvt</v>
      </c>
      <c r="Q28" s="148" t="str">
        <f>INDEX(Mapping!$J:$J,MATCH($E28&amp;$G28,Mapping!$B:$B,0))</f>
        <v>metro</v>
      </c>
      <c r="R28" s="148" t="str">
        <f>INDEX(Mapping!$I:$I,MATCH($J28,Mapping!$B:$B,0))</f>
        <v>2 Mbps/2 Mbps</v>
      </c>
      <c r="T28" s="148" t="str">
        <f>INDEX(Mapping!$K:$K,MATCH($E28&amp;$G28,Mapping!$B:$B,0))</f>
        <v>metro-nationaal</v>
      </c>
      <c r="U28" s="142" t="str">
        <f t="shared" si="3"/>
        <v>WBA ZM Ethernet2 Mbps/2 Mbpspremiummetro</v>
      </c>
      <c r="W28" s="160">
        <f>MATCH($J28,'Tarieven ZM'!$B:$B,0)</f>
        <v>32</v>
      </c>
      <c r="X28" s="148">
        <f>INDEX('Tarieven ZM'!$H:$H,$W28)</f>
        <v>1000</v>
      </c>
      <c r="Y28" s="161">
        <f>-INDEX(Parameters!$B:$B,MATCH(Y$3,Parameters!$A:$A,0))*$X28</f>
        <v>0</v>
      </c>
      <c r="Z28" s="149">
        <f>-INDEX(Parameters!$B:$B,MATCH(Z$3,Parameters!$A:$A,0))*$X28</f>
        <v>0</v>
      </c>
      <c r="AA28" s="148">
        <f t="shared" si="4"/>
        <v>1000</v>
      </c>
      <c r="AB28" s="148">
        <f>AA28/INDEX(Parameters!$B:$B,MATCH("AfschrijftermijnVVE"&amp;12*$C28,Parameters!$A:$A,0))</f>
        <v>27.777777777777779</v>
      </c>
      <c r="AC28" s="148">
        <f>INDEX('Tarieven ZM'!$G:$G,$W28)</f>
        <v>1000</v>
      </c>
      <c r="AD28" s="161">
        <f>-INDEX(Parameters!$B:$B,MATCH(AD$3,Parameters!$A:$A,0))*$AC28</f>
        <v>0</v>
      </c>
      <c r="AE28" s="161">
        <f>-INDEX(Parameters!$B:$B,MATCH(AE$3,Parameters!$A:$A,0))*$AC28</f>
        <v>0</v>
      </c>
      <c r="AF28" s="148">
        <f t="shared" si="5"/>
        <v>1000</v>
      </c>
      <c r="AG28" s="151">
        <f t="shared" si="6"/>
        <v>1027.7777777777778</v>
      </c>
      <c r="AH28" s="123"/>
      <c r="AI28" s="147">
        <f>IF(R28&lt;&gt;"n.a.",MATCH($U28,'Tarieven W&amp;O'!$B:$B,0),"nvt")</f>
        <v>139</v>
      </c>
      <c r="AJ28" s="148">
        <f>IF(AI28&lt;&gt;"nvt",INDEX('Tarieven W&amp;O'!$H:$H,$AI28),0)</f>
        <v>0</v>
      </c>
      <c r="AK28" s="148">
        <f>IF(AI28&lt;&gt;"nvt",INDEX('Tarieven W&amp;O'!$I:$I,$AI28),0)</f>
        <v>5</v>
      </c>
      <c r="AL28" s="277">
        <f>IF(AI28&lt;&gt;"nvt",-INDEX(Parameters!$B:$B,MATCH(AL$3&amp;$M28,Parameters!$A:$A,0))*(AJ28+AK28),0)</f>
        <v>0</v>
      </c>
      <c r="AM28" s="442"/>
      <c r="AN28" s="262">
        <f t="shared" si="7"/>
        <v>5</v>
      </c>
      <c r="AO28" s="262">
        <f>AN28/INDEX(Parameters!$B:$B,MATCH("AfschrijftermijnVVE"&amp;12*$C28,Parameters!$A:$A,0))</f>
        <v>0.1388888888888889</v>
      </c>
      <c r="AP28" s="179">
        <f t="shared" si="8"/>
        <v>139</v>
      </c>
      <c r="AQ28" s="202">
        <f>IF(AP28&lt;&gt;"nvt",INDEX('Tarieven W&amp;O'!$G:$G,$AP28),0)</f>
        <v>14.82</v>
      </c>
      <c r="AR28" s="277">
        <f>-INDEX(Parameters!$B:$B,MATCH(AR$3&amp;$M28&amp;O28,Parameters!$A:$A,0))*(AQ28)</f>
        <v>0</v>
      </c>
      <c r="AS28" s="262">
        <f>Parameters!$D$54</f>
        <v>2</v>
      </c>
      <c r="AT28" s="442">
        <f>IF(M28="WBA CM Ethernet",0,'EDC Minus'!$H$27)</f>
        <v>1</v>
      </c>
      <c r="AU28" s="150">
        <f t="shared" si="9"/>
        <v>17.82</v>
      </c>
      <c r="AV28" s="150">
        <f t="shared" si="10"/>
        <v>17.95888888888889</v>
      </c>
      <c r="AW28" s="150"/>
      <c r="AX28" s="150">
        <f>Parameters!$B$6*AV28</f>
        <v>0.17958888888888891</v>
      </c>
      <c r="AY28" s="202">
        <v>0</v>
      </c>
      <c r="AZ28" s="202"/>
      <c r="BA28" s="150">
        <f t="shared" si="11"/>
        <v>0.17958888888888891</v>
      </c>
      <c r="BB28" s="150"/>
      <c r="BC28" s="151">
        <f t="shared" si="12"/>
        <v>18.13847777777778</v>
      </c>
      <c r="BD28" s="209"/>
      <c r="BE28" s="140">
        <f t="shared" si="13"/>
        <v>1009.6393</v>
      </c>
      <c r="BF28" s="141">
        <f t="shared" si="14"/>
        <v>0.98235175135135133</v>
      </c>
      <c r="BG28" s="142" t="b">
        <f t="shared" si="15"/>
        <v>0</v>
      </c>
      <c r="BH28" s="148"/>
      <c r="BI28" s="188" t="s">
        <v>538</v>
      </c>
      <c r="BJ28" s="189"/>
      <c r="BK28">
        <f>VLOOKUP(J28,'Tarieven ZM'!$B$7:$I$146,8,0)</f>
        <v>0</v>
      </c>
      <c r="BL28" s="179" t="str">
        <f>INDEX(Mapping!$M:$M,MATCH($J28,Mapping!$B:$B,0))</f>
        <v>nvt</v>
      </c>
      <c r="BM28" s="282">
        <v>0</v>
      </c>
      <c r="BN28" s="262">
        <f>BM28/INDEX(Parameters!$B:$B,MATCH("AfschrijftermijnVVE"&amp;12*$C28,Parameters!$A:$A,0))</f>
        <v>0</v>
      </c>
      <c r="BO28" s="262">
        <f>Parameters!$D$59+INDEX('inkoop ULL tbv Epacity'!I:I,MATCH($BL28,'inkoop ULL tbv Epacity'!H:H,0))</f>
        <v>1</v>
      </c>
      <c r="BP28" s="263">
        <f t="shared" si="16"/>
        <v>1</v>
      </c>
      <c r="BQ28" s="203"/>
      <c r="BR28" s="262">
        <f>Parameters!$B$12*AG28</f>
        <v>102.77777777777779</v>
      </c>
      <c r="BS28" s="262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SUM(Distributievergoedingen!$F$12,Distributievergoedingen!$I$12,Distributievergoedingen!$L$12,Distributievergoedingen!$O$12)*AF28+SUM(Distributievergoedingen!$O$12*AA28+Distributievergoedingen!$R$12+Distributievergoedingen!$U$12+Distributievergoedingen!$X$12)/(MAX(36,12*L28))</f>
        <v>112.77777777777777</v>
      </c>
      <c r="BT28" s="202"/>
      <c r="BU28" s="202">
        <f t="shared" si="17"/>
        <v>215.55555555555554</v>
      </c>
      <c r="BW28" s="151">
        <f t="shared" si="18"/>
        <v>216.55555555555554</v>
      </c>
      <c r="BY28" s="140">
        <f t="shared" si="19"/>
        <v>811.22222222222229</v>
      </c>
      <c r="BZ28" s="141">
        <f t="shared" si="20"/>
        <v>0.78929729729729736</v>
      </c>
      <c r="CA28" s="142" t="b">
        <f t="shared" si="21"/>
        <v>0</v>
      </c>
    </row>
    <row r="29" spans="1:79">
      <c r="A29" s="160" t="str">
        <f t="shared" si="0"/>
        <v>1SDSLPremiumnationaal2300/2300</v>
      </c>
      <c r="B29" s="142" t="str">
        <f t="shared" si="1"/>
        <v>1SDSL2300/2300Premium</v>
      </c>
      <c r="C29" s="198">
        <v>1</v>
      </c>
      <c r="D29" s="198" t="s">
        <v>64</v>
      </c>
      <c r="E29" s="198" t="s">
        <v>70</v>
      </c>
      <c r="F29" s="198" t="s">
        <v>115</v>
      </c>
      <c r="G29" s="199" t="s">
        <v>113</v>
      </c>
      <c r="H29" s="198" t="s">
        <v>69</v>
      </c>
      <c r="J29" s="142" t="str">
        <f t="shared" si="2"/>
        <v>SDSL2300/2300Premium</v>
      </c>
      <c r="L29" s="160">
        <f>INDEX(Mapping!$J:$J,MATCH(C$3&amp;C29,Mapping!$B:$B,0))</f>
        <v>1</v>
      </c>
      <c r="M29" s="148" t="str">
        <f>INDEX(Mapping!$H:$H,MATCH($E29,Mapping!$B:$B,0))</f>
        <v>WBA ZM Ethernet</v>
      </c>
      <c r="N29" s="148" t="str">
        <f>INDEX(Mapping!$I:$I,MATCH($E29&amp;$G29,Mapping!$B:$B,0))</f>
        <v>premium</v>
      </c>
      <c r="O29" s="148" t="str">
        <f>INDEX(Mapping!$I:$I,MATCH($D29,Mapping!$B:$B,0))</f>
        <v>SDSL</v>
      </c>
      <c r="P29" s="148" t="str">
        <f>INDEX(Mapping!$H:$H,MATCH($F29,Mapping!$B:$B,0))</f>
        <v>nvt</v>
      </c>
      <c r="Q29" s="148" t="str">
        <f>INDEX(Mapping!$J:$J,MATCH($E29&amp;$G29,Mapping!$B:$B,0))</f>
        <v>metro</v>
      </c>
      <c r="R29" s="148" t="str">
        <f>INDEX(Mapping!$I:$I,MATCH($J29,Mapping!$B:$B,0))</f>
        <v>5 Mbps/5 Mbps</v>
      </c>
      <c r="T29" s="148" t="str">
        <f>INDEX(Mapping!$K:$K,MATCH($E29&amp;$G29,Mapping!$B:$B,0))</f>
        <v>metro-nationaal</v>
      </c>
      <c r="U29" s="142" t="str">
        <f t="shared" si="3"/>
        <v>WBA ZM Ethernet5 Mbps/5 Mbpspremiummetro</v>
      </c>
      <c r="W29" s="160">
        <f>MATCH($J29,'Tarieven ZM'!$B:$B,0)</f>
        <v>33</v>
      </c>
      <c r="X29" s="148">
        <f>INDEX('Tarieven ZM'!$H:$H,$W29)</f>
        <v>1000</v>
      </c>
      <c r="Y29" s="161">
        <f>-INDEX(Parameters!$B:$B,MATCH(Y$3,Parameters!$A:$A,0))*$X29</f>
        <v>0</v>
      </c>
      <c r="Z29" s="149">
        <f>-INDEX(Parameters!$B:$B,MATCH(Z$3,Parameters!$A:$A,0))*$X29</f>
        <v>0</v>
      </c>
      <c r="AA29" s="148">
        <f t="shared" si="4"/>
        <v>1000</v>
      </c>
      <c r="AB29" s="148">
        <f>AA29/INDEX(Parameters!$B:$B,MATCH("AfschrijftermijnVVE"&amp;12*$C29,Parameters!$A:$A,0))</f>
        <v>27.777777777777779</v>
      </c>
      <c r="AC29" s="148">
        <f>INDEX('Tarieven ZM'!$G:$G,$W29)</f>
        <v>1000</v>
      </c>
      <c r="AD29" s="161">
        <f>-INDEX(Parameters!$B:$B,MATCH(AD$3,Parameters!$A:$A,0))*$AC29</f>
        <v>0</v>
      </c>
      <c r="AE29" s="161">
        <f>-INDEX(Parameters!$B:$B,MATCH(AE$3,Parameters!$A:$A,0))*$AC29</f>
        <v>0</v>
      </c>
      <c r="AF29" s="148">
        <f t="shared" si="5"/>
        <v>1000</v>
      </c>
      <c r="AG29" s="151">
        <f t="shared" si="6"/>
        <v>1027.7777777777778</v>
      </c>
      <c r="AH29" s="123"/>
      <c r="AI29" s="147">
        <f>IF(R29&lt;&gt;"n.a.",MATCH($U29,'Tarieven W&amp;O'!$B:$B,0),"nvt")</f>
        <v>140</v>
      </c>
      <c r="AJ29" s="148">
        <f>IF(AI29&lt;&gt;"nvt",INDEX('Tarieven W&amp;O'!$H:$H,$AI29),0)</f>
        <v>0</v>
      </c>
      <c r="AK29" s="148">
        <f>IF(AI29&lt;&gt;"nvt",INDEX('Tarieven W&amp;O'!$I:$I,$AI29),0)</f>
        <v>5</v>
      </c>
      <c r="AL29" s="277">
        <f>IF(AI29&lt;&gt;"nvt",-INDEX(Parameters!$B:$B,MATCH(AL$3&amp;$M29,Parameters!$A:$A,0))*(AJ29+AK29),0)</f>
        <v>0</v>
      </c>
      <c r="AM29" s="442"/>
      <c r="AN29" s="262">
        <f t="shared" si="7"/>
        <v>5</v>
      </c>
      <c r="AO29" s="262">
        <f>AN29/INDEX(Parameters!$B:$B,MATCH("AfschrijftermijnVVE"&amp;12*$C29,Parameters!$A:$A,0))</f>
        <v>0.1388888888888889</v>
      </c>
      <c r="AP29" s="179">
        <f t="shared" si="8"/>
        <v>140</v>
      </c>
      <c r="AQ29" s="202">
        <f>IF(AP29&lt;&gt;"nvt",INDEX('Tarieven W&amp;O'!$G:$G,$AP29),0)</f>
        <v>18.53</v>
      </c>
      <c r="AR29" s="277">
        <f>-INDEX(Parameters!$B:$B,MATCH(AR$3&amp;$M29&amp;O29,Parameters!$A:$A,0))*(AQ29)</f>
        <v>0</v>
      </c>
      <c r="AS29" s="262">
        <f>Parameters!$D$54</f>
        <v>2</v>
      </c>
      <c r="AT29" s="442">
        <f>IF(M29="WBA CM Ethernet",0,'EDC Minus'!$H$27)</f>
        <v>1</v>
      </c>
      <c r="AU29" s="150">
        <f t="shared" si="9"/>
        <v>21.53</v>
      </c>
      <c r="AV29" s="150">
        <f t="shared" si="10"/>
        <v>21.66888888888889</v>
      </c>
      <c r="AW29" s="150"/>
      <c r="AX29" s="150">
        <f>Parameters!$B$6*AV29</f>
        <v>0.2166888888888889</v>
      </c>
      <c r="AY29" s="202">
        <v>0</v>
      </c>
      <c r="AZ29" s="202"/>
      <c r="BA29" s="150">
        <f t="shared" si="11"/>
        <v>0.2166888888888889</v>
      </c>
      <c r="BB29" s="150"/>
      <c r="BC29" s="151">
        <f t="shared" si="12"/>
        <v>21.88557777777778</v>
      </c>
      <c r="BD29" s="209"/>
      <c r="BE29" s="140">
        <f t="shared" si="13"/>
        <v>1005.8922</v>
      </c>
      <c r="BF29" s="141">
        <f t="shared" si="14"/>
        <v>0.97870592432432424</v>
      </c>
      <c r="BG29" s="142" t="b">
        <f t="shared" si="15"/>
        <v>0</v>
      </c>
      <c r="BH29" s="148"/>
      <c r="BI29" s="188" t="s">
        <v>538</v>
      </c>
      <c r="BJ29" s="189"/>
      <c r="BK29">
        <f>VLOOKUP(J29,'Tarieven ZM'!$B$7:$I$146,8,0)</f>
        <v>0</v>
      </c>
      <c r="BL29" s="179" t="str">
        <f>INDEX(Mapping!$M:$M,MATCH($J29,Mapping!$B:$B,0))</f>
        <v>nvt</v>
      </c>
      <c r="BM29" s="282">
        <v>0</v>
      </c>
      <c r="BN29" s="262">
        <f>BM29/INDEX(Parameters!$B:$B,MATCH("AfschrijftermijnVVE"&amp;12*$C29,Parameters!$A:$A,0))</f>
        <v>0</v>
      </c>
      <c r="BO29" s="262">
        <f>Parameters!$D$59+INDEX('inkoop ULL tbv Epacity'!I:I,MATCH($BL29,'inkoop ULL tbv Epacity'!H:H,0))</f>
        <v>1</v>
      </c>
      <c r="BP29" s="263">
        <f t="shared" si="16"/>
        <v>1</v>
      </c>
      <c r="BQ29" s="203"/>
      <c r="BR29" s="262">
        <f>Parameters!$B$12*AG29</f>
        <v>102.77777777777779</v>
      </c>
      <c r="BS29" s="262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SUM(Distributievergoedingen!$F$12,Distributievergoedingen!$I$12,Distributievergoedingen!$L$12,Distributievergoedingen!$O$12)*AF29+SUM(Distributievergoedingen!$O$12*AA29+Distributievergoedingen!$R$12+Distributievergoedingen!$U$12+Distributievergoedingen!$X$12)/(MAX(36,12*L29))</f>
        <v>112.77777777777777</v>
      </c>
      <c r="BT29" s="202"/>
      <c r="BU29" s="202">
        <f t="shared" si="17"/>
        <v>215.55555555555554</v>
      </c>
      <c r="BW29" s="151">
        <f t="shared" si="18"/>
        <v>216.55555555555554</v>
      </c>
      <c r="BY29" s="140">
        <f t="shared" si="19"/>
        <v>811.22222222222229</v>
      </c>
      <c r="BZ29" s="141">
        <f t="shared" si="20"/>
        <v>0.78929729729729736</v>
      </c>
      <c r="CA29" s="142" t="b">
        <f t="shared" si="21"/>
        <v>0</v>
      </c>
    </row>
    <row r="30" spans="1:79">
      <c r="A30" s="160" t="str">
        <f t="shared" si="0"/>
        <v>1VDSLEntrynationaal10240/1024</v>
      </c>
      <c r="B30" s="142" t="str">
        <f t="shared" si="1"/>
        <v>1VDSL10240/1024Entry</v>
      </c>
      <c r="C30" s="198">
        <v>1</v>
      </c>
      <c r="D30" s="198" t="s">
        <v>77</v>
      </c>
      <c r="E30" s="198" t="s">
        <v>78</v>
      </c>
      <c r="F30" s="198" t="s">
        <v>115</v>
      </c>
      <c r="G30" s="199" t="s">
        <v>113</v>
      </c>
      <c r="H30" s="198" t="s">
        <v>85</v>
      </c>
      <c r="J30" s="142" t="str">
        <f t="shared" si="2"/>
        <v>VDSL10240/1024Entry</v>
      </c>
      <c r="L30" s="160">
        <f>INDEX(Mapping!$J:$J,MATCH(C$3&amp;C30,Mapping!$B:$B,0))</f>
        <v>1</v>
      </c>
      <c r="M30" s="148" t="str">
        <f>INDEX(Mapping!$H:$H,MATCH($E30,Mapping!$B:$B,0))</f>
        <v>WBA CM Ethernet</v>
      </c>
      <c r="N30" s="148" t="str">
        <f>INDEX(Mapping!$I:$I,MATCH($E30&amp;$G30,Mapping!$B:$B,0))</f>
        <v>entry</v>
      </c>
      <c r="O30" s="148" t="str">
        <f>INDEX(Mapping!$I:$I,MATCH($D30,Mapping!$B:$B,0))</f>
        <v>VDSL</v>
      </c>
      <c r="P30" s="148" t="str">
        <f>INDEX(Mapping!$H:$H,MATCH($F30,Mapping!$B:$B,0))</f>
        <v>nvt</v>
      </c>
      <c r="Q30" s="148" t="str">
        <f>INDEX(Mapping!$J:$J,MATCH($E30&amp;$G30,Mapping!$B:$B,0))</f>
        <v>national</v>
      </c>
      <c r="R30" s="148" t="str">
        <f>INDEX(Mapping!$I:$I,MATCH($J30,Mapping!$B:$B,0))</f>
        <v>&lt;= 20 Mbps/&lt;= 1 Mbps</v>
      </c>
      <c r="T30" s="148" t="str">
        <f>INDEX(Mapping!$K:$K,MATCH($E30&amp;$G30,Mapping!$B:$B,0))</f>
        <v>nvt</v>
      </c>
      <c r="U30" s="142" t="str">
        <f t="shared" si="3"/>
        <v>WBA CM Ethernet&lt;= 20 Mbps/&lt;= 1 Mbpsentrynational</v>
      </c>
      <c r="W30" s="160">
        <f>MATCH($J30,'Tarieven ZM'!$B:$B,0)</f>
        <v>34</v>
      </c>
      <c r="X30" s="148">
        <f>INDEX('Tarieven ZM'!$H:$H,$W30)</f>
        <v>1000</v>
      </c>
      <c r="Y30" s="161">
        <f>-INDEX(Parameters!$B:$B,MATCH(Y$3,Parameters!$A:$A,0))*$X30</f>
        <v>0</v>
      </c>
      <c r="Z30" s="149">
        <f>-INDEX(Parameters!$B:$B,MATCH(Z$3,Parameters!$A:$A,0))*$X30</f>
        <v>0</v>
      </c>
      <c r="AA30" s="148">
        <f t="shared" si="4"/>
        <v>1000</v>
      </c>
      <c r="AB30" s="148">
        <f>AA30/INDEX(Parameters!$B:$B,MATCH("AfschrijftermijnVVE"&amp;12*$C30,Parameters!$A:$A,0))</f>
        <v>27.777777777777779</v>
      </c>
      <c r="AC30" s="148">
        <f>INDEX('Tarieven ZM'!$G:$G,$W30)</f>
        <v>1000</v>
      </c>
      <c r="AD30" s="161">
        <f>-INDEX(Parameters!$B:$B,MATCH(AD$3,Parameters!$A:$A,0))*$AC30</f>
        <v>0</v>
      </c>
      <c r="AE30" s="161">
        <f>-INDEX(Parameters!$B:$B,MATCH(AE$3,Parameters!$A:$A,0))*$AC30</f>
        <v>0</v>
      </c>
      <c r="AF30" s="148">
        <f t="shared" si="5"/>
        <v>1000</v>
      </c>
      <c r="AG30" s="151">
        <f t="shared" si="6"/>
        <v>1027.7777777777778</v>
      </c>
      <c r="AH30" s="123"/>
      <c r="AI30" s="147">
        <f>IF(R30&lt;&gt;"n.a.",MATCH($U30,'Tarieven W&amp;O'!$B:$B,0),"nvt")</f>
        <v>119</v>
      </c>
      <c r="AJ30" s="148">
        <f>IF(AI30&lt;&gt;"nvt",INDEX('Tarieven W&amp;O'!$H:$H,$AI30),0)</f>
        <v>0</v>
      </c>
      <c r="AK30" s="148">
        <f>IF(AI30&lt;&gt;"nvt",INDEX('Tarieven W&amp;O'!$I:$I,$AI30),0)</f>
        <v>5</v>
      </c>
      <c r="AL30" s="277">
        <f>IF(AI30&lt;&gt;"nvt",-INDEX(Parameters!$B:$B,MATCH(AL$3&amp;$M30,Parameters!$A:$A,0))*(AJ30+AK30),0)</f>
        <v>0</v>
      </c>
      <c r="AM30" s="442"/>
      <c r="AN30" s="262">
        <f t="shared" si="7"/>
        <v>5</v>
      </c>
      <c r="AO30" s="262">
        <f>AN30/INDEX(Parameters!$B:$B,MATCH("AfschrijftermijnVVE"&amp;12*$C30,Parameters!$A:$A,0))</f>
        <v>0.1388888888888889</v>
      </c>
      <c r="AP30" s="179">
        <f t="shared" si="8"/>
        <v>119</v>
      </c>
      <c r="AQ30" s="202">
        <f>IF(AP30&lt;&gt;"nvt",INDEX('Tarieven W&amp;O'!$G:$G,$AP30),0)</f>
        <v>3.02</v>
      </c>
      <c r="AR30" s="277">
        <f>-INDEX(Parameters!$B:$B,MATCH(AR$3&amp;$M30&amp;O30,Parameters!$A:$A,0))*(AQ30)</f>
        <v>-0.30200000000000005</v>
      </c>
      <c r="AS30" s="262">
        <f>Parameters!$D$54</f>
        <v>2</v>
      </c>
      <c r="AT30" s="442">
        <f>IF(M30="WBA CM Ethernet",0,'EDC Minus'!$H$27)</f>
        <v>0</v>
      </c>
      <c r="AU30" s="150">
        <f t="shared" si="9"/>
        <v>4.718</v>
      </c>
      <c r="AV30" s="150">
        <f t="shared" si="10"/>
        <v>4.8568888888888893</v>
      </c>
      <c r="AW30" s="150"/>
      <c r="AX30" s="150">
        <f>Parameters!$B$6*AV30</f>
        <v>4.8568888888888891E-2</v>
      </c>
      <c r="AY30" s="202">
        <v>0</v>
      </c>
      <c r="AZ30" s="202"/>
      <c r="BA30" s="150">
        <f t="shared" si="11"/>
        <v>4.8568888888888891E-2</v>
      </c>
      <c r="BB30" s="150"/>
      <c r="BC30" s="151">
        <f t="shared" si="12"/>
        <v>4.9054577777777784</v>
      </c>
      <c r="BD30" s="209"/>
      <c r="BE30" s="140">
        <f t="shared" si="13"/>
        <v>1022.8723200000001</v>
      </c>
      <c r="BF30" s="141">
        <f t="shared" si="14"/>
        <v>0.99522712216216214</v>
      </c>
      <c r="BG30" s="142" t="b">
        <f t="shared" si="15"/>
        <v>0</v>
      </c>
      <c r="BH30" s="148"/>
      <c r="BI30" s="188" t="s">
        <v>538</v>
      </c>
      <c r="BJ30" s="189"/>
      <c r="BK30">
        <f>VLOOKUP(J30,'Tarieven ZM'!$B$7:$I$146,8,0)</f>
        <v>0</v>
      </c>
      <c r="BL30" s="179" t="str">
        <f>INDEX(Mapping!$M:$M,MATCH($J30,Mapping!$B:$B,0))</f>
        <v>nvt</v>
      </c>
      <c r="BM30" s="282">
        <v>0</v>
      </c>
      <c r="BN30" s="262">
        <f>BM30/INDEX(Parameters!$B:$B,MATCH("AfschrijftermijnVVE"&amp;12*$C30,Parameters!$A:$A,0))</f>
        <v>0</v>
      </c>
      <c r="BO30" s="262">
        <f>Parameters!$D$59+INDEX('inkoop ULL tbv Epacity'!I:I,MATCH($BL30,'inkoop ULL tbv Epacity'!H:H,0))</f>
        <v>1</v>
      </c>
      <c r="BP30" s="263">
        <f t="shared" si="16"/>
        <v>1</v>
      </c>
      <c r="BQ30" s="203"/>
      <c r="BR30" s="262">
        <f>Parameters!$B$12*AG30</f>
        <v>102.77777777777779</v>
      </c>
      <c r="BS30" s="262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SUM(Distributievergoedingen!$F$12,Distributievergoedingen!$I$12,Distributievergoedingen!$L$12,Distributievergoedingen!$O$12)*AF30+SUM(Distributievergoedingen!$O$12*AA30+Distributievergoedingen!$R$12+Distributievergoedingen!$U$12+Distributievergoedingen!$X$12)/(MAX(36,12*L30))</f>
        <v>112.77777777777777</v>
      </c>
      <c r="BT30" s="202"/>
      <c r="BU30" s="202">
        <f t="shared" si="17"/>
        <v>215.55555555555554</v>
      </c>
      <c r="BW30" s="151">
        <f t="shared" si="18"/>
        <v>216.55555555555554</v>
      </c>
      <c r="BY30" s="140">
        <f t="shared" si="19"/>
        <v>811.22222222222229</v>
      </c>
      <c r="BZ30" s="141">
        <f t="shared" si="20"/>
        <v>0.78929729729729736</v>
      </c>
      <c r="CA30" s="142" t="b">
        <f t="shared" si="21"/>
        <v>0</v>
      </c>
    </row>
    <row r="31" spans="1:79">
      <c r="A31" s="160" t="str">
        <f t="shared" si="0"/>
        <v>1VDSLEntrynationaal20480/2048</v>
      </c>
      <c r="B31" s="142" t="str">
        <f t="shared" si="1"/>
        <v>1VDSL20480/2048Entry</v>
      </c>
      <c r="C31" s="198">
        <v>1</v>
      </c>
      <c r="D31" s="198" t="s">
        <v>77</v>
      </c>
      <c r="E31" s="198" t="s">
        <v>78</v>
      </c>
      <c r="F31" s="198" t="s">
        <v>115</v>
      </c>
      <c r="G31" s="199" t="s">
        <v>113</v>
      </c>
      <c r="H31" s="198" t="s">
        <v>86</v>
      </c>
      <c r="J31" s="142" t="str">
        <f t="shared" si="2"/>
        <v>VDSL20480/2048Entry</v>
      </c>
      <c r="L31" s="160">
        <f>INDEX(Mapping!$J:$J,MATCH(C$3&amp;C31,Mapping!$B:$B,0))</f>
        <v>1</v>
      </c>
      <c r="M31" s="148" t="str">
        <f>INDEX(Mapping!$H:$H,MATCH($E31,Mapping!$B:$B,0))</f>
        <v>WBA CM Ethernet</v>
      </c>
      <c r="N31" s="148" t="str">
        <f>INDEX(Mapping!$I:$I,MATCH($E31&amp;$G31,Mapping!$B:$B,0))</f>
        <v>entry</v>
      </c>
      <c r="O31" s="148" t="str">
        <f>INDEX(Mapping!$I:$I,MATCH($D31,Mapping!$B:$B,0))</f>
        <v>VDSL</v>
      </c>
      <c r="P31" s="148" t="str">
        <f>INDEX(Mapping!$H:$H,MATCH($F31,Mapping!$B:$B,0))</f>
        <v>nvt</v>
      </c>
      <c r="Q31" s="148" t="str">
        <f>INDEX(Mapping!$J:$J,MATCH($E31&amp;$G31,Mapping!$B:$B,0))</f>
        <v>national</v>
      </c>
      <c r="R31" s="148" t="str">
        <f>INDEX(Mapping!$I:$I,MATCH($J31,Mapping!$B:$B,0))</f>
        <v>&lt;= 20 Mbps/&lt;= 1 Mbps</v>
      </c>
      <c r="T31" s="148" t="str">
        <f>INDEX(Mapping!$K:$K,MATCH($E31&amp;$G31,Mapping!$B:$B,0))</f>
        <v>nvt</v>
      </c>
      <c r="U31" s="142" t="str">
        <f t="shared" si="3"/>
        <v>WBA CM Ethernet&lt;= 20 Mbps/&lt;= 1 Mbpsentrynational</v>
      </c>
      <c r="W31" s="160">
        <f>MATCH($J31,'Tarieven ZM'!$B:$B,0)</f>
        <v>35</v>
      </c>
      <c r="X31" s="148">
        <f>INDEX('Tarieven ZM'!$H:$H,$W31)</f>
        <v>1000</v>
      </c>
      <c r="Y31" s="161">
        <f>-INDEX(Parameters!$B:$B,MATCH(Y$3,Parameters!$A:$A,0))*$X31</f>
        <v>0</v>
      </c>
      <c r="Z31" s="149">
        <f>-INDEX(Parameters!$B:$B,MATCH(Z$3,Parameters!$A:$A,0))*$X31</f>
        <v>0</v>
      </c>
      <c r="AA31" s="148">
        <f t="shared" si="4"/>
        <v>1000</v>
      </c>
      <c r="AB31" s="148">
        <f>AA31/INDEX(Parameters!$B:$B,MATCH("AfschrijftermijnVVE"&amp;12*$C31,Parameters!$A:$A,0))</f>
        <v>27.777777777777779</v>
      </c>
      <c r="AC31" s="148">
        <f>INDEX('Tarieven ZM'!$G:$G,$W31)</f>
        <v>1000</v>
      </c>
      <c r="AD31" s="161">
        <f>-INDEX(Parameters!$B:$B,MATCH(AD$3,Parameters!$A:$A,0))*$AC31</f>
        <v>0</v>
      </c>
      <c r="AE31" s="161">
        <f>-INDEX(Parameters!$B:$B,MATCH(AE$3,Parameters!$A:$A,0))*$AC31</f>
        <v>0</v>
      </c>
      <c r="AF31" s="148">
        <f t="shared" si="5"/>
        <v>1000</v>
      </c>
      <c r="AG31" s="151">
        <f t="shared" si="6"/>
        <v>1027.7777777777778</v>
      </c>
      <c r="AH31" s="123"/>
      <c r="AI31" s="147">
        <f>IF(R31&lt;&gt;"n.a.",MATCH($U31,'Tarieven W&amp;O'!$B:$B,0),"nvt")</f>
        <v>119</v>
      </c>
      <c r="AJ31" s="148">
        <f>IF(AI31&lt;&gt;"nvt",INDEX('Tarieven W&amp;O'!$H:$H,$AI31),0)</f>
        <v>0</v>
      </c>
      <c r="AK31" s="148">
        <f>IF(AI31&lt;&gt;"nvt",INDEX('Tarieven W&amp;O'!$I:$I,$AI31),0)</f>
        <v>5</v>
      </c>
      <c r="AL31" s="277">
        <f>IF(AI31&lt;&gt;"nvt",-INDEX(Parameters!$B:$B,MATCH(AL$3&amp;$M31,Parameters!$A:$A,0))*(AJ31+AK31),0)</f>
        <v>0</v>
      </c>
      <c r="AM31" s="442"/>
      <c r="AN31" s="262">
        <f t="shared" si="7"/>
        <v>5</v>
      </c>
      <c r="AO31" s="262">
        <f>AN31/INDEX(Parameters!$B:$B,MATCH("AfschrijftermijnVVE"&amp;12*$C31,Parameters!$A:$A,0))</f>
        <v>0.1388888888888889</v>
      </c>
      <c r="AP31" s="179">
        <f t="shared" si="8"/>
        <v>119</v>
      </c>
      <c r="AQ31" s="202">
        <f>IF(AP31&lt;&gt;"nvt",INDEX('Tarieven W&amp;O'!$G:$G,$AP31),0)</f>
        <v>3.02</v>
      </c>
      <c r="AR31" s="277">
        <f>-INDEX(Parameters!$B:$B,MATCH(AR$3&amp;$M31&amp;O31,Parameters!$A:$A,0))*(AQ31)</f>
        <v>-0.30200000000000005</v>
      </c>
      <c r="AS31" s="262">
        <f>Parameters!$D$54</f>
        <v>2</v>
      </c>
      <c r="AT31" s="442">
        <f>IF(M31="WBA CM Ethernet",0,'EDC Minus'!$H$27)</f>
        <v>0</v>
      </c>
      <c r="AU31" s="150">
        <f t="shared" si="9"/>
        <v>4.718</v>
      </c>
      <c r="AV31" s="150">
        <f t="shared" si="10"/>
        <v>4.8568888888888893</v>
      </c>
      <c r="AW31" s="150"/>
      <c r="AX31" s="150">
        <f>Parameters!$B$6*AV31</f>
        <v>4.8568888888888891E-2</v>
      </c>
      <c r="AY31" s="202">
        <v>0</v>
      </c>
      <c r="AZ31" s="202"/>
      <c r="BA31" s="150">
        <f t="shared" si="11"/>
        <v>4.8568888888888891E-2</v>
      </c>
      <c r="BB31" s="150"/>
      <c r="BC31" s="151">
        <f t="shared" si="12"/>
        <v>4.9054577777777784</v>
      </c>
      <c r="BD31" s="209"/>
      <c r="BE31" s="140">
        <f t="shared" si="13"/>
        <v>1022.8723200000001</v>
      </c>
      <c r="BF31" s="141">
        <f t="shared" si="14"/>
        <v>0.99522712216216214</v>
      </c>
      <c r="BG31" s="142" t="b">
        <f t="shared" si="15"/>
        <v>0</v>
      </c>
      <c r="BH31" s="148"/>
      <c r="BI31" s="188" t="s">
        <v>538</v>
      </c>
      <c r="BJ31" s="189"/>
      <c r="BK31">
        <f>VLOOKUP(J31,'Tarieven ZM'!$B$7:$I$146,8,0)</f>
        <v>0</v>
      </c>
      <c r="BL31" s="179" t="str">
        <f>INDEX(Mapping!$M:$M,MATCH($J31,Mapping!$B:$B,0))</f>
        <v>nvt</v>
      </c>
      <c r="BM31" s="282">
        <v>0</v>
      </c>
      <c r="BN31" s="262">
        <f>BM31/INDEX(Parameters!$B:$B,MATCH("AfschrijftermijnVVE"&amp;12*$C31,Parameters!$A:$A,0))</f>
        <v>0</v>
      </c>
      <c r="BO31" s="262">
        <f>Parameters!$D$59+INDEX('inkoop ULL tbv Epacity'!I:I,MATCH($BL31,'inkoop ULL tbv Epacity'!H:H,0))</f>
        <v>1</v>
      </c>
      <c r="BP31" s="263">
        <f t="shared" si="16"/>
        <v>1</v>
      </c>
      <c r="BQ31" s="203"/>
      <c r="BR31" s="262">
        <f>Parameters!$B$12*AG31</f>
        <v>102.77777777777779</v>
      </c>
      <c r="BS31" s="262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SUM(Distributievergoedingen!$F$12,Distributievergoedingen!$I$12,Distributievergoedingen!$L$12,Distributievergoedingen!$O$12)*AF31+SUM(Distributievergoedingen!$O$12*AA31+Distributievergoedingen!$R$12+Distributievergoedingen!$U$12+Distributievergoedingen!$X$12)/(MAX(36,12*L31))</f>
        <v>112.77777777777777</v>
      </c>
      <c r="BT31" s="202"/>
      <c r="BU31" s="202">
        <f t="shared" si="17"/>
        <v>215.55555555555554</v>
      </c>
      <c r="BW31" s="151">
        <f t="shared" si="18"/>
        <v>216.55555555555554</v>
      </c>
      <c r="BY31" s="140">
        <f t="shared" si="19"/>
        <v>811.22222222222229</v>
      </c>
      <c r="BZ31" s="141">
        <f t="shared" si="20"/>
        <v>0.78929729729729736</v>
      </c>
      <c r="CA31" s="142" t="b">
        <f t="shared" si="21"/>
        <v>0</v>
      </c>
    </row>
    <row r="32" spans="1:79">
      <c r="A32" s="160" t="str">
        <f t="shared" si="0"/>
        <v>1VDSLEntrynationaal30372/3072</v>
      </c>
      <c r="B32" s="142" t="str">
        <f t="shared" si="1"/>
        <v>1VDSL30372/3072Entry</v>
      </c>
      <c r="C32" s="198">
        <v>1</v>
      </c>
      <c r="D32" s="198" t="s">
        <v>77</v>
      </c>
      <c r="E32" s="198" t="s">
        <v>78</v>
      </c>
      <c r="F32" s="198" t="s">
        <v>115</v>
      </c>
      <c r="G32" s="199" t="s">
        <v>113</v>
      </c>
      <c r="H32" s="198" t="s">
        <v>87</v>
      </c>
      <c r="J32" s="142" t="str">
        <f t="shared" si="2"/>
        <v>VDSL30372/3072Entry</v>
      </c>
      <c r="L32" s="160">
        <f>INDEX(Mapping!$J:$J,MATCH(C$3&amp;C32,Mapping!$B:$B,0))</f>
        <v>1</v>
      </c>
      <c r="M32" s="148" t="str">
        <f>INDEX(Mapping!$H:$H,MATCH($E32,Mapping!$B:$B,0))</f>
        <v>WBA CM Ethernet</v>
      </c>
      <c r="N32" s="148" t="str">
        <f>INDEX(Mapping!$I:$I,MATCH($E32&amp;$G32,Mapping!$B:$B,0))</f>
        <v>entry</v>
      </c>
      <c r="O32" s="148" t="str">
        <f>INDEX(Mapping!$I:$I,MATCH($D32,Mapping!$B:$B,0))</f>
        <v>VDSL</v>
      </c>
      <c r="P32" s="148" t="str">
        <f>INDEX(Mapping!$H:$H,MATCH($F32,Mapping!$B:$B,0))</f>
        <v>nvt</v>
      </c>
      <c r="Q32" s="148" t="str">
        <f>INDEX(Mapping!$J:$J,MATCH($E32&amp;$G32,Mapping!$B:$B,0))</f>
        <v>national</v>
      </c>
      <c r="R32" s="148" t="str">
        <f>INDEX(Mapping!$I:$I,MATCH($J32,Mapping!$B:$B,0))</f>
        <v>&lt;= 30 Mbps/&lt;= 3 Mbps</v>
      </c>
      <c r="T32" s="148" t="str">
        <f>INDEX(Mapping!$K:$K,MATCH($E32&amp;$G32,Mapping!$B:$B,0))</f>
        <v>nvt</v>
      </c>
      <c r="U32" s="142" t="str">
        <f t="shared" si="3"/>
        <v>WBA CM Ethernet&lt;= 30 Mbps/&lt;= 3 Mbpsentrynational</v>
      </c>
      <c r="W32" s="160">
        <f>MATCH($J32,'Tarieven ZM'!$B:$B,0)</f>
        <v>36</v>
      </c>
      <c r="X32" s="148">
        <f>INDEX('Tarieven ZM'!$H:$H,$W32)</f>
        <v>1000</v>
      </c>
      <c r="Y32" s="161">
        <f>-INDEX(Parameters!$B:$B,MATCH(Y$3,Parameters!$A:$A,0))*$X32</f>
        <v>0</v>
      </c>
      <c r="Z32" s="149">
        <f>-INDEX(Parameters!$B:$B,MATCH(Z$3,Parameters!$A:$A,0))*$X32</f>
        <v>0</v>
      </c>
      <c r="AA32" s="148">
        <f t="shared" si="4"/>
        <v>1000</v>
      </c>
      <c r="AB32" s="148">
        <f>AA32/INDEX(Parameters!$B:$B,MATCH("AfschrijftermijnVVE"&amp;12*$C32,Parameters!$A:$A,0))</f>
        <v>27.777777777777779</v>
      </c>
      <c r="AC32" s="148">
        <f>INDEX('Tarieven ZM'!$G:$G,$W32)</f>
        <v>1000</v>
      </c>
      <c r="AD32" s="161">
        <f>-INDEX(Parameters!$B:$B,MATCH(AD$3,Parameters!$A:$A,0))*$AC32</f>
        <v>0</v>
      </c>
      <c r="AE32" s="161">
        <f>-INDEX(Parameters!$B:$B,MATCH(AE$3,Parameters!$A:$A,0))*$AC32</f>
        <v>0</v>
      </c>
      <c r="AF32" s="148">
        <f t="shared" si="5"/>
        <v>1000</v>
      </c>
      <c r="AG32" s="151">
        <f t="shared" si="6"/>
        <v>1027.7777777777778</v>
      </c>
      <c r="AH32" s="123"/>
      <c r="AI32" s="147">
        <f>IF(R32&lt;&gt;"n.a.",MATCH($U32,'Tarieven W&amp;O'!$B:$B,0),"nvt")</f>
        <v>121</v>
      </c>
      <c r="AJ32" s="148">
        <f>IF(AI32&lt;&gt;"nvt",INDEX('Tarieven W&amp;O'!$H:$H,$AI32),0)</f>
        <v>0</v>
      </c>
      <c r="AK32" s="148">
        <f>IF(AI32&lt;&gt;"nvt",INDEX('Tarieven W&amp;O'!$I:$I,$AI32),0)</f>
        <v>5</v>
      </c>
      <c r="AL32" s="277">
        <f>IF(AI32&lt;&gt;"nvt",-INDEX(Parameters!$B:$B,MATCH(AL$3&amp;$M32,Parameters!$A:$A,0))*(AJ32+AK32),0)</f>
        <v>0</v>
      </c>
      <c r="AM32" s="442"/>
      <c r="AN32" s="262">
        <f t="shared" si="7"/>
        <v>5</v>
      </c>
      <c r="AO32" s="262">
        <f>AN32/INDEX(Parameters!$B:$B,MATCH("AfschrijftermijnVVE"&amp;12*$C32,Parameters!$A:$A,0))</f>
        <v>0.1388888888888889</v>
      </c>
      <c r="AP32" s="179">
        <f t="shared" si="8"/>
        <v>121</v>
      </c>
      <c r="AQ32" s="202">
        <f>IF(AP32&lt;&gt;"nvt",INDEX('Tarieven W&amp;O'!$G:$G,$AP32),0)</f>
        <v>3.02</v>
      </c>
      <c r="AR32" s="277">
        <f>-INDEX(Parameters!$B:$B,MATCH(AR$3&amp;$M32&amp;O32,Parameters!$A:$A,0))*(AQ32)</f>
        <v>-0.30200000000000005</v>
      </c>
      <c r="AS32" s="262">
        <f>Parameters!$D$54</f>
        <v>2</v>
      </c>
      <c r="AT32" s="442">
        <f>IF(M32="WBA CM Ethernet",0,'EDC Minus'!$H$27)</f>
        <v>0</v>
      </c>
      <c r="AU32" s="150">
        <f t="shared" si="9"/>
        <v>4.718</v>
      </c>
      <c r="AV32" s="150">
        <f t="shared" si="10"/>
        <v>4.8568888888888893</v>
      </c>
      <c r="AW32" s="150"/>
      <c r="AX32" s="150">
        <f>Parameters!$B$6*AV32</f>
        <v>4.8568888888888891E-2</v>
      </c>
      <c r="AY32" s="202">
        <v>0</v>
      </c>
      <c r="AZ32" s="202"/>
      <c r="BA32" s="150">
        <f t="shared" si="11"/>
        <v>4.8568888888888891E-2</v>
      </c>
      <c r="BB32" s="150"/>
      <c r="BC32" s="151">
        <f t="shared" si="12"/>
        <v>4.9054577777777784</v>
      </c>
      <c r="BD32" s="209"/>
      <c r="BE32" s="140">
        <f t="shared" si="13"/>
        <v>1022.8723200000001</v>
      </c>
      <c r="BF32" s="141">
        <f t="shared" si="14"/>
        <v>0.99522712216216214</v>
      </c>
      <c r="BG32" s="142" t="b">
        <f t="shared" si="15"/>
        <v>0</v>
      </c>
      <c r="BH32" s="148"/>
      <c r="BI32" s="188" t="s">
        <v>538</v>
      </c>
      <c r="BJ32" s="189"/>
      <c r="BK32">
        <f>VLOOKUP(J32,'Tarieven ZM'!$B$7:$I$146,8,0)</f>
        <v>0</v>
      </c>
      <c r="BL32" s="179" t="str">
        <f>INDEX(Mapping!$M:$M,MATCH($J32,Mapping!$B:$B,0))</f>
        <v>nvt</v>
      </c>
      <c r="BM32" s="282">
        <v>0</v>
      </c>
      <c r="BN32" s="262">
        <f>BM32/INDEX(Parameters!$B:$B,MATCH("AfschrijftermijnVVE"&amp;12*$C32,Parameters!$A:$A,0))</f>
        <v>0</v>
      </c>
      <c r="BO32" s="262">
        <f>Parameters!$D$59+INDEX('inkoop ULL tbv Epacity'!I:I,MATCH($BL32,'inkoop ULL tbv Epacity'!H:H,0))</f>
        <v>1</v>
      </c>
      <c r="BP32" s="263">
        <f t="shared" si="16"/>
        <v>1</v>
      </c>
      <c r="BQ32" s="203"/>
      <c r="BR32" s="262">
        <f>Parameters!$B$12*AG32</f>
        <v>102.77777777777779</v>
      </c>
      <c r="BS32" s="262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SUM(Distributievergoedingen!$F$12,Distributievergoedingen!$I$12,Distributievergoedingen!$L$12,Distributievergoedingen!$O$12)*AF32+SUM(Distributievergoedingen!$O$12*AA32+Distributievergoedingen!$R$12+Distributievergoedingen!$U$12+Distributievergoedingen!$X$12)/(MAX(36,12*L32))</f>
        <v>112.77777777777777</v>
      </c>
      <c r="BT32" s="202"/>
      <c r="BU32" s="202">
        <f t="shared" si="17"/>
        <v>215.55555555555554</v>
      </c>
      <c r="BW32" s="151">
        <f t="shared" si="18"/>
        <v>216.55555555555554</v>
      </c>
      <c r="BY32" s="140">
        <f t="shared" si="19"/>
        <v>811.22222222222229</v>
      </c>
      <c r="BZ32" s="141">
        <f t="shared" si="20"/>
        <v>0.78929729729729736</v>
      </c>
      <c r="CA32" s="142" t="b">
        <f t="shared" si="21"/>
        <v>0</v>
      </c>
    </row>
    <row r="33" spans="1:79">
      <c r="A33" s="160" t="str">
        <f t="shared" si="0"/>
        <v>1VDSLEntrynationaal51200/5120</v>
      </c>
      <c r="B33" s="142" t="str">
        <f t="shared" si="1"/>
        <v>1VDSL51200/5120Entry</v>
      </c>
      <c r="C33" s="198">
        <v>1</v>
      </c>
      <c r="D33" s="198" t="s">
        <v>77</v>
      </c>
      <c r="E33" s="198" t="s">
        <v>78</v>
      </c>
      <c r="F33" s="198" t="s">
        <v>115</v>
      </c>
      <c r="G33" s="199" t="s">
        <v>113</v>
      </c>
      <c r="H33" s="198" t="s">
        <v>88</v>
      </c>
      <c r="J33" s="142" t="str">
        <f t="shared" si="2"/>
        <v>VDSL51200/5120Entry</v>
      </c>
      <c r="L33" s="160">
        <f>INDEX(Mapping!$J:$J,MATCH(C$3&amp;C33,Mapping!$B:$B,0))</f>
        <v>1</v>
      </c>
      <c r="M33" s="148" t="str">
        <f>INDEX(Mapping!$H:$H,MATCH($E33,Mapping!$B:$B,0))</f>
        <v>WBA CM Ethernet</v>
      </c>
      <c r="N33" s="148" t="str">
        <f>INDEX(Mapping!$I:$I,MATCH($E33&amp;$G33,Mapping!$B:$B,0))</f>
        <v>entry</v>
      </c>
      <c r="O33" s="148" t="str">
        <f>INDEX(Mapping!$I:$I,MATCH($D33,Mapping!$B:$B,0))</f>
        <v>VDSL</v>
      </c>
      <c r="P33" s="148" t="str">
        <f>INDEX(Mapping!$H:$H,MATCH($F33,Mapping!$B:$B,0))</f>
        <v>nvt</v>
      </c>
      <c r="Q33" s="148" t="str">
        <f>INDEX(Mapping!$J:$J,MATCH($E33&amp;$G33,Mapping!$B:$B,0))</f>
        <v>national</v>
      </c>
      <c r="R33" s="148" t="str">
        <f>INDEX(Mapping!$I:$I,MATCH($J33,Mapping!$B:$B,0))</f>
        <v>&lt;= 50 Mbps/&lt;= 10 Mbps</v>
      </c>
      <c r="T33" s="148" t="str">
        <f>INDEX(Mapping!$K:$K,MATCH($E33&amp;$G33,Mapping!$B:$B,0))</f>
        <v>nvt</v>
      </c>
      <c r="U33" s="142" t="str">
        <f t="shared" si="3"/>
        <v>WBA CM Ethernet&lt;= 50 Mbps/&lt;= 10 Mbpsentrynational</v>
      </c>
      <c r="W33" s="160">
        <f>MATCH($J33,'Tarieven ZM'!$B:$B,0)</f>
        <v>37</v>
      </c>
      <c r="X33" s="148">
        <f>INDEX('Tarieven ZM'!$H:$H,$W33)</f>
        <v>1000</v>
      </c>
      <c r="Y33" s="161">
        <f>-INDEX(Parameters!$B:$B,MATCH(Y$3,Parameters!$A:$A,0))*$X33</f>
        <v>0</v>
      </c>
      <c r="Z33" s="149">
        <f>-INDEX(Parameters!$B:$B,MATCH(Z$3,Parameters!$A:$A,0))*$X33</f>
        <v>0</v>
      </c>
      <c r="AA33" s="148">
        <f t="shared" si="4"/>
        <v>1000</v>
      </c>
      <c r="AB33" s="148">
        <f>AA33/INDEX(Parameters!$B:$B,MATCH("AfschrijftermijnVVE"&amp;12*$C33,Parameters!$A:$A,0))</f>
        <v>27.777777777777779</v>
      </c>
      <c r="AC33" s="148">
        <f>INDEX('Tarieven ZM'!$G:$G,$W33)</f>
        <v>1000</v>
      </c>
      <c r="AD33" s="161">
        <f>-INDEX(Parameters!$B:$B,MATCH(AD$3,Parameters!$A:$A,0))*$AC33</f>
        <v>0</v>
      </c>
      <c r="AE33" s="161">
        <f>-INDEX(Parameters!$B:$B,MATCH(AE$3,Parameters!$A:$A,0))*$AC33</f>
        <v>0</v>
      </c>
      <c r="AF33" s="148">
        <f t="shared" si="5"/>
        <v>1000</v>
      </c>
      <c r="AG33" s="151">
        <f t="shared" si="6"/>
        <v>1027.7777777777778</v>
      </c>
      <c r="AH33" s="123"/>
      <c r="AI33" s="147">
        <f>IF(R33&lt;&gt;"n.a.",MATCH($U33,'Tarieven W&amp;O'!$B:$B,0),"nvt")</f>
        <v>122</v>
      </c>
      <c r="AJ33" s="148">
        <f>IF(AI33&lt;&gt;"nvt",INDEX('Tarieven W&amp;O'!$H:$H,$AI33),0)</f>
        <v>0</v>
      </c>
      <c r="AK33" s="148">
        <f>IF(AI33&lt;&gt;"nvt",INDEX('Tarieven W&amp;O'!$I:$I,$AI33),0)</f>
        <v>5</v>
      </c>
      <c r="AL33" s="277">
        <f>IF(AI33&lt;&gt;"nvt",-INDEX(Parameters!$B:$B,MATCH(AL$3&amp;$M33,Parameters!$A:$A,0))*(AJ33+AK33),0)</f>
        <v>0</v>
      </c>
      <c r="AM33" s="442"/>
      <c r="AN33" s="262">
        <f t="shared" si="7"/>
        <v>5</v>
      </c>
      <c r="AO33" s="262">
        <f>AN33/INDEX(Parameters!$B:$B,MATCH("AfschrijftermijnVVE"&amp;12*$C33,Parameters!$A:$A,0))</f>
        <v>0.1388888888888889</v>
      </c>
      <c r="AP33" s="179">
        <f t="shared" si="8"/>
        <v>122</v>
      </c>
      <c r="AQ33" s="202">
        <f>IF(AP33&lt;&gt;"nvt",INDEX('Tarieven W&amp;O'!$G:$G,$AP33),0)</f>
        <v>3.52</v>
      </c>
      <c r="AR33" s="277">
        <f>-INDEX(Parameters!$B:$B,MATCH(AR$3&amp;$M33&amp;O33,Parameters!$A:$A,0))*(AQ33)</f>
        <v>-0.35200000000000004</v>
      </c>
      <c r="AS33" s="262">
        <f>Parameters!$D$54</f>
        <v>2</v>
      </c>
      <c r="AT33" s="442">
        <f>IF(M33="WBA CM Ethernet",0,'EDC Minus'!$H$27)</f>
        <v>0</v>
      </c>
      <c r="AU33" s="150">
        <f t="shared" si="9"/>
        <v>5.1680000000000001</v>
      </c>
      <c r="AV33" s="150">
        <f t="shared" si="10"/>
        <v>5.3068888888888894</v>
      </c>
      <c r="AW33" s="150"/>
      <c r="AX33" s="150">
        <f>Parameters!$B$6*AV33</f>
        <v>5.3068888888888895E-2</v>
      </c>
      <c r="AY33" s="202">
        <v>0</v>
      </c>
      <c r="AZ33" s="202"/>
      <c r="BA33" s="150">
        <f t="shared" si="11"/>
        <v>5.3068888888888895E-2</v>
      </c>
      <c r="BB33" s="150"/>
      <c r="BC33" s="151">
        <f t="shared" si="12"/>
        <v>5.3599577777777787</v>
      </c>
      <c r="BD33" s="209"/>
      <c r="BE33" s="140">
        <f t="shared" si="13"/>
        <v>1022.41782</v>
      </c>
      <c r="BF33" s="141">
        <f t="shared" si="14"/>
        <v>0.99478490594594593</v>
      </c>
      <c r="BG33" s="142" t="b">
        <f t="shared" si="15"/>
        <v>0</v>
      </c>
      <c r="BH33" s="148"/>
      <c r="BI33" s="188" t="s">
        <v>538</v>
      </c>
      <c r="BJ33" s="189"/>
      <c r="BK33">
        <f>VLOOKUP(J33,'Tarieven ZM'!$B$7:$I$146,8,0)</f>
        <v>0</v>
      </c>
      <c r="BL33" s="179" t="str">
        <f>INDEX(Mapping!$M:$M,MATCH($J33,Mapping!$B:$B,0))</f>
        <v>nvt</v>
      </c>
      <c r="BM33" s="282">
        <v>0</v>
      </c>
      <c r="BN33" s="262">
        <f>BM33/INDEX(Parameters!$B:$B,MATCH("AfschrijftermijnVVE"&amp;12*$C33,Parameters!$A:$A,0))</f>
        <v>0</v>
      </c>
      <c r="BO33" s="262">
        <f>Parameters!$D$59+INDEX('inkoop ULL tbv Epacity'!I:I,MATCH($BL33,'inkoop ULL tbv Epacity'!H:H,0))</f>
        <v>1</v>
      </c>
      <c r="BP33" s="263">
        <f t="shared" si="16"/>
        <v>1</v>
      </c>
      <c r="BQ33" s="203"/>
      <c r="BR33" s="262">
        <f>Parameters!$B$12*AG33</f>
        <v>102.77777777777779</v>
      </c>
      <c r="BS33" s="262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SUM(Distributievergoedingen!$F$12,Distributievergoedingen!$I$12,Distributievergoedingen!$L$12,Distributievergoedingen!$O$12)*AF33+SUM(Distributievergoedingen!$O$12*AA33+Distributievergoedingen!$R$12+Distributievergoedingen!$U$12+Distributievergoedingen!$X$12)/(MAX(36,12*L33))</f>
        <v>112.77777777777777</v>
      </c>
      <c r="BT33" s="202"/>
      <c r="BU33" s="202">
        <f t="shared" si="17"/>
        <v>215.55555555555554</v>
      </c>
      <c r="BW33" s="151">
        <f t="shared" si="18"/>
        <v>216.55555555555554</v>
      </c>
      <c r="BY33" s="140">
        <f t="shared" si="19"/>
        <v>811.22222222222229</v>
      </c>
      <c r="BZ33" s="141">
        <f t="shared" si="20"/>
        <v>0.78929729729729736</v>
      </c>
      <c r="CA33" s="142" t="b">
        <f t="shared" si="21"/>
        <v>0</v>
      </c>
    </row>
    <row r="34" spans="1:79">
      <c r="A34" s="160" t="str">
        <f t="shared" si="0"/>
        <v>1VDSL bondingEntrynationaal81920/8192</v>
      </c>
      <c r="B34" s="142" t="str">
        <f t="shared" si="1"/>
        <v>1VDSL bonding81920/8192Entry</v>
      </c>
      <c r="C34" s="198">
        <v>1</v>
      </c>
      <c r="D34" s="198" t="s">
        <v>222</v>
      </c>
      <c r="E34" s="198" t="s">
        <v>78</v>
      </c>
      <c r="F34" s="198" t="s">
        <v>115</v>
      </c>
      <c r="G34" s="199" t="s">
        <v>113</v>
      </c>
      <c r="H34" s="198" t="s">
        <v>89</v>
      </c>
      <c r="J34" s="142" t="str">
        <f t="shared" si="2"/>
        <v>VDSL bonding81920/8192Entry</v>
      </c>
      <c r="L34" s="160">
        <f>INDEX(Mapping!$J:$J,MATCH(C$3&amp;C34,Mapping!$B:$B,0))</f>
        <v>1</v>
      </c>
      <c r="M34" s="148" t="str">
        <f>INDEX(Mapping!$H:$H,MATCH($E34,Mapping!$B:$B,0))</f>
        <v>WBA CM Ethernet</v>
      </c>
      <c r="N34" s="148" t="str">
        <f>INDEX(Mapping!$I:$I,MATCH($E34&amp;$G34,Mapping!$B:$B,0))</f>
        <v>entry</v>
      </c>
      <c r="O34" s="148" t="str">
        <f>INDEX(Mapping!$I:$I,MATCH($D34,Mapping!$B:$B,0))</f>
        <v>VDSL Bonding</v>
      </c>
      <c r="P34" s="148" t="str">
        <f>INDEX(Mapping!$H:$H,MATCH($F34,Mapping!$B:$B,0))</f>
        <v>nvt</v>
      </c>
      <c r="Q34" s="148" t="str">
        <f>INDEX(Mapping!$J:$J,MATCH($E34&amp;$G34,Mapping!$B:$B,0))</f>
        <v>national</v>
      </c>
      <c r="R34" s="148" t="str">
        <f>INDEX(Mapping!$I:$I,MATCH($J34,Mapping!$B:$B,0))</f>
        <v>&lt;= 100 Mbps/&lt;= 30 Mbps</v>
      </c>
      <c r="T34" s="148" t="str">
        <f>INDEX(Mapping!$K:$K,MATCH($E34&amp;$G34,Mapping!$B:$B,0))</f>
        <v>nvt</v>
      </c>
      <c r="U34" s="142" t="str">
        <f t="shared" si="3"/>
        <v>WBA CM Ethernet&lt;= 100 Mbps/&lt;= 30 Mbpsentrynational</v>
      </c>
      <c r="W34" s="160">
        <f>MATCH($J34,'Tarieven ZM'!$B:$B,0)</f>
        <v>38</v>
      </c>
      <c r="X34" s="148">
        <f>INDEX('Tarieven ZM'!$H:$H,$W34)</f>
        <v>1000</v>
      </c>
      <c r="Y34" s="161">
        <f>-INDEX(Parameters!$B:$B,MATCH(Y$3,Parameters!$A:$A,0))*$X34</f>
        <v>0</v>
      </c>
      <c r="Z34" s="149">
        <f>-INDEX(Parameters!$B:$B,MATCH(Z$3,Parameters!$A:$A,0))*$X34</f>
        <v>0</v>
      </c>
      <c r="AA34" s="148">
        <f t="shared" si="4"/>
        <v>1000</v>
      </c>
      <c r="AB34" s="148">
        <f>AA34/INDEX(Parameters!$B:$B,MATCH("AfschrijftermijnVVE"&amp;12*$C34,Parameters!$A:$A,0))</f>
        <v>27.777777777777779</v>
      </c>
      <c r="AC34" s="148">
        <f>INDEX('Tarieven ZM'!$G:$G,$W34)</f>
        <v>1000</v>
      </c>
      <c r="AD34" s="161">
        <f>-INDEX(Parameters!$B:$B,MATCH(AD$3,Parameters!$A:$A,0))*$AC34</f>
        <v>0</v>
      </c>
      <c r="AE34" s="161">
        <f>-INDEX(Parameters!$B:$B,MATCH(AE$3,Parameters!$A:$A,0))*$AC34</f>
        <v>0</v>
      </c>
      <c r="AF34" s="148">
        <f t="shared" si="5"/>
        <v>1000</v>
      </c>
      <c r="AG34" s="151">
        <f t="shared" si="6"/>
        <v>1027.7777777777778</v>
      </c>
      <c r="AH34" s="123"/>
      <c r="AI34" s="147">
        <f>IF(R34&lt;&gt;"n.a.",MATCH($U34,'Tarieven W&amp;O'!$B:$B,0),"nvt")</f>
        <v>123</v>
      </c>
      <c r="AJ34" s="148">
        <f>IF(AI34&lt;&gt;"nvt",INDEX('Tarieven W&amp;O'!$H:$H,$AI34),0)</f>
        <v>0</v>
      </c>
      <c r="AK34" s="148">
        <f>IF(AI34&lt;&gt;"nvt",INDEX('Tarieven W&amp;O'!$I:$I,$AI34),0)</f>
        <v>5</v>
      </c>
      <c r="AL34" s="277">
        <f>IF(AI34&lt;&gt;"nvt",-INDEX(Parameters!$B:$B,MATCH(AL$3&amp;$M34,Parameters!$A:$A,0))*(AJ34+AK34),0)</f>
        <v>0</v>
      </c>
      <c r="AM34" s="442"/>
      <c r="AN34" s="262">
        <f t="shared" si="7"/>
        <v>5</v>
      </c>
      <c r="AO34" s="262">
        <f>AN34/INDEX(Parameters!$B:$B,MATCH("AfschrijftermijnVVE"&amp;12*$C34,Parameters!$A:$A,0))</f>
        <v>0.1388888888888889</v>
      </c>
      <c r="AP34" s="179">
        <f t="shared" si="8"/>
        <v>123</v>
      </c>
      <c r="AQ34" s="202">
        <f>IF(AP34&lt;&gt;"nvt",INDEX('Tarieven W&amp;O'!$G:$G,$AP34),0)</f>
        <v>4.03</v>
      </c>
      <c r="AR34" s="277">
        <f>-INDEX(Parameters!$B:$B,MATCH(AR$3&amp;$M34&amp;O34,Parameters!$A:$A,0))*(AQ34)</f>
        <v>-0.40300000000000002</v>
      </c>
      <c r="AS34" s="262">
        <f>Parameters!$D$54</f>
        <v>2</v>
      </c>
      <c r="AT34" s="442">
        <f>IF(M34="WBA CM Ethernet",0,'EDC Minus'!$H$27)</f>
        <v>0</v>
      </c>
      <c r="AU34" s="150">
        <f t="shared" si="9"/>
        <v>5.6270000000000007</v>
      </c>
      <c r="AV34" s="150">
        <f t="shared" si="10"/>
        <v>5.76588888888889</v>
      </c>
      <c r="AW34" s="150"/>
      <c r="AX34" s="150">
        <f>Parameters!$B$6*AV34</f>
        <v>5.7658888888888898E-2</v>
      </c>
      <c r="AY34" s="202">
        <v>0</v>
      </c>
      <c r="AZ34" s="202"/>
      <c r="BA34" s="150">
        <f t="shared" si="11"/>
        <v>5.7658888888888898E-2</v>
      </c>
      <c r="BB34" s="150"/>
      <c r="BC34" s="151">
        <f t="shared" si="12"/>
        <v>5.8235477777777787</v>
      </c>
      <c r="BD34" s="209"/>
      <c r="BE34" s="140">
        <f t="shared" si="13"/>
        <v>1021.9542300000001</v>
      </c>
      <c r="BF34" s="141">
        <f t="shared" si="14"/>
        <v>0.99433384540540537</v>
      </c>
      <c r="BG34" s="142" t="b">
        <f t="shared" si="15"/>
        <v>0</v>
      </c>
      <c r="BH34" s="148"/>
      <c r="BI34" s="188" t="s">
        <v>538</v>
      </c>
      <c r="BJ34" s="189"/>
      <c r="BK34" t="str">
        <f>VLOOKUP(J34,'Tarieven ZM'!$B$7:$I$146,8,0)</f>
        <v>kan alleen met bonding</v>
      </c>
      <c r="BL34" s="179" t="str">
        <f>INDEX(Mapping!$M:$M,MATCH($J34,Mapping!$B:$B,0))</f>
        <v>nvt</v>
      </c>
      <c r="BM34" s="282">
        <v>0</v>
      </c>
      <c r="BN34" s="262">
        <f>BM34/INDEX(Parameters!$B:$B,MATCH("AfschrijftermijnVVE"&amp;12*$C34,Parameters!$A:$A,0))</f>
        <v>0</v>
      </c>
      <c r="BO34" s="262">
        <f>Parameters!$D$59+INDEX('inkoop ULL tbv Epacity'!I:I,MATCH($BL34,'inkoop ULL tbv Epacity'!H:H,0))</f>
        <v>1</v>
      </c>
      <c r="BP34" s="263">
        <f t="shared" si="16"/>
        <v>1</v>
      </c>
      <c r="BQ34" s="203"/>
      <c r="BR34" s="262">
        <f>Parameters!$B$12*AG34</f>
        <v>102.77777777777779</v>
      </c>
      <c r="BS34" s="262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SUM(Distributievergoedingen!$F$12,Distributievergoedingen!$I$12,Distributievergoedingen!$L$12,Distributievergoedingen!$O$12)*AF34+SUM(Distributievergoedingen!$O$12*AA34+Distributievergoedingen!$R$12+Distributievergoedingen!$U$12+Distributievergoedingen!$X$12)/(MAX(36,12*L34))</f>
        <v>112.77777777777777</v>
      </c>
      <c r="BT34" s="202"/>
      <c r="BU34" s="202">
        <f t="shared" si="17"/>
        <v>215.55555555555554</v>
      </c>
      <c r="BW34" s="151">
        <f t="shared" si="18"/>
        <v>216.55555555555554</v>
      </c>
      <c r="BY34" s="140">
        <f t="shared" si="19"/>
        <v>811.22222222222229</v>
      </c>
      <c r="BZ34" s="141">
        <f t="shared" si="20"/>
        <v>0.78929729729729736</v>
      </c>
      <c r="CA34" s="142" t="b">
        <f t="shared" si="21"/>
        <v>0</v>
      </c>
    </row>
    <row r="35" spans="1:79">
      <c r="A35" s="160" t="str">
        <f t="shared" si="0"/>
        <v>1VDSLPremiumnationaal128/128</v>
      </c>
      <c r="B35" s="142" t="str">
        <f t="shared" si="1"/>
        <v>1VDSL128/128Premium</v>
      </c>
      <c r="C35" s="198">
        <v>1</v>
      </c>
      <c r="D35" s="198" t="s">
        <v>77</v>
      </c>
      <c r="E35" s="198" t="s">
        <v>70</v>
      </c>
      <c r="F35" s="198" t="s">
        <v>115</v>
      </c>
      <c r="G35" s="199" t="s">
        <v>113</v>
      </c>
      <c r="H35" s="198" t="s">
        <v>43</v>
      </c>
      <c r="J35" s="142" t="str">
        <f t="shared" si="2"/>
        <v>VDSL128/128Premium</v>
      </c>
      <c r="L35" s="160">
        <f>INDEX(Mapping!$J:$J,MATCH(C$3&amp;C35,Mapping!$B:$B,0))</f>
        <v>1</v>
      </c>
      <c r="M35" s="148" t="str">
        <f>INDEX(Mapping!$H:$H,MATCH($E35,Mapping!$B:$B,0))</f>
        <v>WBA ZM Ethernet</v>
      </c>
      <c r="N35" s="148" t="str">
        <f>INDEX(Mapping!$I:$I,MATCH($E35&amp;$G35,Mapping!$B:$B,0))</f>
        <v>premium</v>
      </c>
      <c r="O35" s="148" t="str">
        <f>INDEX(Mapping!$I:$I,MATCH($D35,Mapping!$B:$B,0))</f>
        <v>VDSL</v>
      </c>
      <c r="P35" s="148" t="str">
        <f>INDEX(Mapping!$H:$H,MATCH($F35,Mapping!$B:$B,0))</f>
        <v>nvt</v>
      </c>
      <c r="Q35" s="148" t="str">
        <f>INDEX(Mapping!$J:$J,MATCH($E35&amp;$G35,Mapping!$B:$B,0))</f>
        <v>metro</v>
      </c>
      <c r="R35" s="148" t="str">
        <f>INDEX(Mapping!$I:$I,MATCH($J35,Mapping!$B:$B,0))</f>
        <v>&lt;=256 kbps/&lt;=256 kbps</v>
      </c>
      <c r="T35" s="148" t="str">
        <f>INDEX(Mapping!$K:$K,MATCH($E35&amp;$G35,Mapping!$B:$B,0))</f>
        <v>metro-nationaal</v>
      </c>
      <c r="U35" s="142" t="str">
        <f t="shared" si="3"/>
        <v>WBA ZM Ethernet&lt;=256 kbps/&lt;=256 kbpspremiummetro</v>
      </c>
      <c r="W35" s="160">
        <f>MATCH($J35,'Tarieven ZM'!$B:$B,0)</f>
        <v>39</v>
      </c>
      <c r="X35" s="148">
        <f>INDEX('Tarieven ZM'!$H:$H,$W35)</f>
        <v>1000</v>
      </c>
      <c r="Y35" s="161">
        <f>-INDEX(Parameters!$B:$B,MATCH(Y$3,Parameters!$A:$A,0))*$X35</f>
        <v>0</v>
      </c>
      <c r="Z35" s="149">
        <f>-INDEX(Parameters!$B:$B,MATCH(Z$3,Parameters!$A:$A,0))*$X35</f>
        <v>0</v>
      </c>
      <c r="AA35" s="148">
        <f t="shared" si="4"/>
        <v>1000</v>
      </c>
      <c r="AB35" s="148">
        <f>AA35/INDEX(Parameters!$B:$B,MATCH("AfschrijftermijnVVE"&amp;12*$C35,Parameters!$A:$A,0))</f>
        <v>27.777777777777779</v>
      </c>
      <c r="AC35" s="148">
        <f>INDEX('Tarieven ZM'!$G:$G,$W35)</f>
        <v>1000</v>
      </c>
      <c r="AD35" s="161">
        <f>-INDEX(Parameters!$B:$B,MATCH(AD$3,Parameters!$A:$A,0))*$AC35</f>
        <v>0</v>
      </c>
      <c r="AE35" s="161">
        <f>-INDEX(Parameters!$B:$B,MATCH(AE$3,Parameters!$A:$A,0))*$AC35</f>
        <v>0</v>
      </c>
      <c r="AF35" s="148">
        <f t="shared" si="5"/>
        <v>1000</v>
      </c>
      <c r="AG35" s="151">
        <f t="shared" si="6"/>
        <v>1027.7777777777778</v>
      </c>
      <c r="AH35" s="123"/>
      <c r="AI35" s="147">
        <f>IF(R35&lt;&gt;"n.a.",MATCH($U35,'Tarieven W&amp;O'!$B:$B,0),"nvt")</f>
        <v>137</v>
      </c>
      <c r="AJ35" s="148">
        <f>IF(AI35&lt;&gt;"nvt",INDEX('Tarieven W&amp;O'!$H:$H,$AI35),0)</f>
        <v>0</v>
      </c>
      <c r="AK35" s="148">
        <f>IF(AI35&lt;&gt;"nvt",INDEX('Tarieven W&amp;O'!$I:$I,$AI35),0)</f>
        <v>5</v>
      </c>
      <c r="AL35" s="277">
        <f>IF(AI35&lt;&gt;"nvt",-INDEX(Parameters!$B:$B,MATCH(AL$3&amp;$M35,Parameters!$A:$A,0))*(AJ35+AK35),0)</f>
        <v>0</v>
      </c>
      <c r="AM35" s="442"/>
      <c r="AN35" s="262">
        <f t="shared" si="7"/>
        <v>5</v>
      </c>
      <c r="AO35" s="262">
        <f>AN35/INDEX(Parameters!$B:$B,MATCH("AfschrijftermijnVVE"&amp;12*$C35,Parameters!$A:$A,0))</f>
        <v>0.1388888888888889</v>
      </c>
      <c r="AP35" s="179">
        <f t="shared" si="8"/>
        <v>137</v>
      </c>
      <c r="AQ35" s="202">
        <f>IF(AP35&lt;&gt;"nvt",INDEX('Tarieven W&amp;O'!$G:$G,$AP35),0)</f>
        <v>7.41</v>
      </c>
      <c r="AR35" s="277">
        <f>-INDEX(Parameters!$B:$B,MATCH(AR$3&amp;$M35&amp;O35,Parameters!$A:$A,0))*(AQ35)</f>
        <v>0</v>
      </c>
      <c r="AS35" s="262">
        <f>Parameters!$D$54</f>
        <v>2</v>
      </c>
      <c r="AT35" s="442">
        <f>IF(M35="WBA CM Ethernet",0,'EDC Minus'!$H$27)</f>
        <v>1</v>
      </c>
      <c r="AU35" s="150">
        <f t="shared" si="9"/>
        <v>10.41</v>
      </c>
      <c r="AV35" s="150">
        <f t="shared" si="10"/>
        <v>10.548888888888889</v>
      </c>
      <c r="AW35" s="150"/>
      <c r="AX35" s="150">
        <f>Parameters!$B$6*AV35</f>
        <v>0.1054888888888889</v>
      </c>
      <c r="AY35" s="202">
        <v>0</v>
      </c>
      <c r="AZ35" s="202"/>
      <c r="BA35" s="150">
        <f t="shared" si="11"/>
        <v>0.1054888888888889</v>
      </c>
      <c r="BB35" s="150"/>
      <c r="BC35" s="151">
        <f t="shared" si="12"/>
        <v>10.654377777777778</v>
      </c>
      <c r="BD35" s="209"/>
      <c r="BE35" s="140">
        <f t="shared" si="13"/>
        <v>1017.1234000000001</v>
      </c>
      <c r="BF35" s="141">
        <f t="shared" si="14"/>
        <v>0.9896335783783784</v>
      </c>
      <c r="BG35" s="142" t="b">
        <f t="shared" si="15"/>
        <v>0</v>
      </c>
      <c r="BH35" s="148"/>
      <c r="BI35" s="188" t="s">
        <v>538</v>
      </c>
      <c r="BJ35" s="189"/>
      <c r="BK35">
        <f>VLOOKUP(J35,'Tarieven ZM'!$B$7:$I$146,8,0)</f>
        <v>0</v>
      </c>
      <c r="BL35" s="179" t="str">
        <f>INDEX(Mapping!$M:$M,MATCH($J35,Mapping!$B:$B,0))</f>
        <v>nvt</v>
      </c>
      <c r="BM35" s="282">
        <v>0</v>
      </c>
      <c r="BN35" s="262">
        <f>BM35/INDEX(Parameters!$B:$B,MATCH("AfschrijftermijnVVE"&amp;12*$C35,Parameters!$A:$A,0))</f>
        <v>0</v>
      </c>
      <c r="BO35" s="262">
        <f>Parameters!$D$59+INDEX('inkoop ULL tbv Epacity'!I:I,MATCH($BL35,'inkoop ULL tbv Epacity'!H:H,0))</f>
        <v>1</v>
      </c>
      <c r="BP35" s="263">
        <f t="shared" si="16"/>
        <v>1</v>
      </c>
      <c r="BQ35" s="203"/>
      <c r="BR35" s="262">
        <f>Parameters!$B$12*AG35</f>
        <v>102.77777777777779</v>
      </c>
      <c r="BS35" s="262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SUM(Distributievergoedingen!$F$12,Distributievergoedingen!$I$12,Distributievergoedingen!$L$12,Distributievergoedingen!$O$12)*AF35+SUM(Distributievergoedingen!$O$12*AA35+Distributievergoedingen!$R$12+Distributievergoedingen!$U$12+Distributievergoedingen!$X$12)/(MAX(36,12*L35))</f>
        <v>112.77777777777777</v>
      </c>
      <c r="BT35" s="202"/>
      <c r="BU35" s="202">
        <f t="shared" si="17"/>
        <v>215.55555555555554</v>
      </c>
      <c r="BW35" s="151">
        <f t="shared" si="18"/>
        <v>216.55555555555554</v>
      </c>
      <c r="BY35" s="140">
        <f t="shared" si="19"/>
        <v>811.22222222222229</v>
      </c>
      <c r="BZ35" s="141">
        <f t="shared" si="20"/>
        <v>0.78929729729729736</v>
      </c>
      <c r="CA35" s="142" t="b">
        <f t="shared" si="21"/>
        <v>0</v>
      </c>
    </row>
    <row r="36" spans="1:79">
      <c r="A36" s="160" t="str">
        <f t="shared" ref="A36:A55" si="22">C36&amp;D36&amp;E36&amp;G36&amp;H36</f>
        <v>1VDSLPremiumnationaal256/256</v>
      </c>
      <c r="B36" s="142" t="str">
        <f t="shared" ref="B36:B67" si="23">C36&amp;D36&amp;H36&amp;E36</f>
        <v>1VDSL256/256Premium</v>
      </c>
      <c r="C36" s="198">
        <v>1</v>
      </c>
      <c r="D36" s="198" t="s">
        <v>77</v>
      </c>
      <c r="E36" s="198" t="s">
        <v>70</v>
      </c>
      <c r="F36" s="198" t="s">
        <v>115</v>
      </c>
      <c r="G36" s="199" t="s">
        <v>113</v>
      </c>
      <c r="H36" s="198" t="s">
        <v>48</v>
      </c>
      <c r="J36" s="142" t="str">
        <f t="shared" ref="J36:J55" si="24">D36&amp;H36&amp;E36</f>
        <v>VDSL256/256Premium</v>
      </c>
      <c r="L36" s="160">
        <f>INDEX(Mapping!$J:$J,MATCH(C$3&amp;C36,Mapping!$B:$B,0))</f>
        <v>1</v>
      </c>
      <c r="M36" s="148" t="str">
        <f>INDEX(Mapping!$H:$H,MATCH($E36,Mapping!$B:$B,0))</f>
        <v>WBA ZM Ethernet</v>
      </c>
      <c r="N36" s="148" t="str">
        <f>INDEX(Mapping!$I:$I,MATCH($E36&amp;$G36,Mapping!$B:$B,0))</f>
        <v>premium</v>
      </c>
      <c r="O36" s="148" t="str">
        <f>INDEX(Mapping!$I:$I,MATCH($D36,Mapping!$B:$B,0))</f>
        <v>VDSL</v>
      </c>
      <c r="P36" s="148" t="str">
        <f>INDEX(Mapping!$H:$H,MATCH($F36,Mapping!$B:$B,0))</f>
        <v>nvt</v>
      </c>
      <c r="Q36" s="148" t="str">
        <f>INDEX(Mapping!$J:$J,MATCH($E36&amp;$G36,Mapping!$B:$B,0))</f>
        <v>metro</v>
      </c>
      <c r="R36" s="148" t="str">
        <f>INDEX(Mapping!$I:$I,MATCH($J36,Mapping!$B:$B,0))</f>
        <v>&lt;=256 kbps/&lt;=256 kbps</v>
      </c>
      <c r="T36" s="148" t="str">
        <f>INDEX(Mapping!$K:$K,MATCH($E36&amp;$G36,Mapping!$B:$B,0))</f>
        <v>metro-nationaal</v>
      </c>
      <c r="U36" s="142" t="str">
        <f t="shared" ref="U36:U55" si="25">M36&amp;R36&amp;N36&amp;Q36</f>
        <v>WBA ZM Ethernet&lt;=256 kbps/&lt;=256 kbpspremiummetro</v>
      </c>
      <c r="W36" s="160">
        <f>MATCH($J36,'Tarieven ZM'!$B:$B,0)</f>
        <v>40</v>
      </c>
      <c r="X36" s="148">
        <f>INDEX('Tarieven ZM'!$H:$H,$W36)</f>
        <v>1000</v>
      </c>
      <c r="Y36" s="161">
        <f>-INDEX(Parameters!$B:$B,MATCH(Y$3,Parameters!$A:$A,0))*$X36</f>
        <v>0</v>
      </c>
      <c r="Z36" s="149">
        <f>-INDEX(Parameters!$B:$B,MATCH(Z$3,Parameters!$A:$A,0))*$X36</f>
        <v>0</v>
      </c>
      <c r="AA36" s="148">
        <f t="shared" ref="AA36:AA55" si="26">SUM(X36:Z36)</f>
        <v>1000</v>
      </c>
      <c r="AB36" s="148">
        <f>AA36/INDEX(Parameters!$B:$B,MATCH("AfschrijftermijnVVE"&amp;12*$C36,Parameters!$A:$A,0))</f>
        <v>27.777777777777779</v>
      </c>
      <c r="AC36" s="148">
        <f>INDEX('Tarieven ZM'!$G:$G,$W36)</f>
        <v>1000</v>
      </c>
      <c r="AD36" s="161">
        <f>-INDEX(Parameters!$B:$B,MATCH(AD$3,Parameters!$A:$A,0))*$AC36</f>
        <v>0</v>
      </c>
      <c r="AE36" s="161">
        <f>-INDEX(Parameters!$B:$B,MATCH(AE$3,Parameters!$A:$A,0))*$AC36</f>
        <v>0</v>
      </c>
      <c r="AF36" s="148">
        <f t="shared" ref="AF36:AF55" si="27">SUM(AC36:AE36)</f>
        <v>1000</v>
      </c>
      <c r="AG36" s="151">
        <f t="shared" ref="AG36:AG67" si="28">SUM(AB36,AF36)</f>
        <v>1027.7777777777778</v>
      </c>
      <c r="AH36" s="123"/>
      <c r="AI36" s="147">
        <f>IF(R36&lt;&gt;"n.a.",MATCH($U36,'Tarieven W&amp;O'!$B:$B,0),"nvt")</f>
        <v>137</v>
      </c>
      <c r="AJ36" s="148">
        <f>IF(AI36&lt;&gt;"nvt",INDEX('Tarieven W&amp;O'!$H:$H,$AI36),0)</f>
        <v>0</v>
      </c>
      <c r="AK36" s="148">
        <f>IF(AI36&lt;&gt;"nvt",INDEX('Tarieven W&amp;O'!$I:$I,$AI36),0)</f>
        <v>5</v>
      </c>
      <c r="AL36" s="277">
        <f>IF(AI36&lt;&gt;"nvt",-INDEX(Parameters!$B:$B,MATCH(AL$3&amp;$M36,Parameters!$A:$A,0))*(AJ36+AK36),0)</f>
        <v>0</v>
      </c>
      <c r="AM36" s="442"/>
      <c r="AN36" s="262">
        <f t="shared" ref="AN36:AN55" si="29">SUM(AJ36:AM36)</f>
        <v>5</v>
      </c>
      <c r="AO36" s="262">
        <f>AN36/INDEX(Parameters!$B:$B,MATCH("AfschrijftermijnVVE"&amp;12*$C36,Parameters!$A:$A,0))</f>
        <v>0.1388888888888889</v>
      </c>
      <c r="AP36" s="179">
        <f t="shared" ref="AP36:AP55" si="30">AI36</f>
        <v>137</v>
      </c>
      <c r="AQ36" s="202">
        <f>IF(AP36&lt;&gt;"nvt",INDEX('Tarieven W&amp;O'!$G:$G,$AP36),0)</f>
        <v>7.41</v>
      </c>
      <c r="AR36" s="277">
        <f>-INDEX(Parameters!$B:$B,MATCH(AR$3&amp;$M36&amp;O36,Parameters!$A:$A,0))*(AQ36)</f>
        <v>0</v>
      </c>
      <c r="AS36" s="262">
        <f>Parameters!$D$54</f>
        <v>2</v>
      </c>
      <c r="AT36" s="442">
        <f>IF(M36="WBA CM Ethernet",0,'EDC Minus'!$H$27)</f>
        <v>1</v>
      </c>
      <c r="AU36" s="150">
        <f t="shared" ref="AU36:AU67" si="31">SUM(AQ36:AT36)</f>
        <v>10.41</v>
      </c>
      <c r="AV36" s="150">
        <f t="shared" ref="AV36:AV67" si="32">SUM(AO36,AU36)</f>
        <v>10.548888888888889</v>
      </c>
      <c r="AW36" s="150"/>
      <c r="AX36" s="150">
        <f>Parameters!$B$6*AV36</f>
        <v>0.1054888888888889</v>
      </c>
      <c r="AY36" s="202">
        <v>0</v>
      </c>
      <c r="AZ36" s="202"/>
      <c r="BA36" s="150">
        <f t="shared" ref="BA36:BA67" si="33">SUM(AX36:AZ36)</f>
        <v>0.1054888888888889</v>
      </c>
      <c r="BB36" s="150"/>
      <c r="BC36" s="151">
        <f t="shared" ref="BC36:BC71" si="34">SUM(AV36,BA36)</f>
        <v>10.654377777777778</v>
      </c>
      <c r="BD36" s="209"/>
      <c r="BE36" s="140">
        <f t="shared" ref="BE36:BE70" si="35">AG36-BC36</f>
        <v>1017.1234000000001</v>
      </c>
      <c r="BF36" s="141">
        <f t="shared" ref="BF36:BF67" si="36">IF(AG36=0,-999%,BE36/AG36)</f>
        <v>0.9896335783783784</v>
      </c>
      <c r="BG36" s="142" t="b">
        <f t="shared" ref="BG36:BG55" si="37">BF36&lt;0</f>
        <v>0</v>
      </c>
      <c r="BH36" s="148"/>
      <c r="BI36" s="188" t="s">
        <v>538</v>
      </c>
      <c r="BJ36" s="189"/>
      <c r="BK36">
        <f>VLOOKUP(J36,'Tarieven ZM'!$B$7:$I$146,8,0)</f>
        <v>0</v>
      </c>
      <c r="BL36" s="179" t="str">
        <f>INDEX(Mapping!$M:$M,MATCH($J36,Mapping!$B:$B,0))</f>
        <v>nvt</v>
      </c>
      <c r="BM36" s="282">
        <v>0</v>
      </c>
      <c r="BN36" s="262">
        <f>BM36/INDEX(Parameters!$B:$B,MATCH("AfschrijftermijnVVE"&amp;12*$C36,Parameters!$A:$A,0))</f>
        <v>0</v>
      </c>
      <c r="BO36" s="262">
        <f>Parameters!$D$59+INDEX('inkoop ULL tbv Epacity'!I:I,MATCH($BL36,'inkoop ULL tbv Epacity'!H:H,0))</f>
        <v>1</v>
      </c>
      <c r="BP36" s="263">
        <f t="shared" si="16"/>
        <v>1</v>
      </c>
      <c r="BQ36" s="203"/>
      <c r="BR36" s="262">
        <f>Parameters!$B$12*AG36</f>
        <v>102.77777777777779</v>
      </c>
      <c r="BS36" s="262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SUM(Distributievergoedingen!$F$12,Distributievergoedingen!$I$12,Distributievergoedingen!$L$12,Distributievergoedingen!$O$12)*AF36+SUM(Distributievergoedingen!$O$12*AA36+Distributievergoedingen!$R$12+Distributievergoedingen!$U$12+Distributievergoedingen!$X$12)/(MAX(36,12*L36))</f>
        <v>112.77777777777777</v>
      </c>
      <c r="BT36" s="202"/>
      <c r="BU36" s="202">
        <f t="shared" ref="BU36:BU61" si="38">SUM(BR36:BT36)</f>
        <v>215.55555555555554</v>
      </c>
      <c r="BW36" s="151">
        <f t="shared" ref="BW36:BW61" si="39">SUM(BP36,BU36)</f>
        <v>216.55555555555554</v>
      </c>
      <c r="BY36" s="140">
        <f t="shared" ref="BY36:BY61" si="40">AG36-BW36</f>
        <v>811.22222222222229</v>
      </c>
      <c r="BZ36" s="141">
        <f t="shared" ref="BZ36:BZ61" si="41">IF(AG36=0,-999%,BY36/AG36)</f>
        <v>0.78929729729729736</v>
      </c>
      <c r="CA36" s="142" t="b">
        <f t="shared" ref="CA36:CA61" si="42">BZ36&lt;0</f>
        <v>0</v>
      </c>
    </row>
    <row r="37" spans="1:79">
      <c r="A37" s="160" t="str">
        <f t="shared" si="22"/>
        <v>1VDSLPremiumnationaal448/448</v>
      </c>
      <c r="B37" s="142" t="str">
        <f t="shared" si="23"/>
        <v>1VDSL448/448Premium</v>
      </c>
      <c r="C37" s="198">
        <v>1</v>
      </c>
      <c r="D37" s="198" t="s">
        <v>77</v>
      </c>
      <c r="E37" s="198" t="s">
        <v>70</v>
      </c>
      <c r="F37" s="198" t="s">
        <v>115</v>
      </c>
      <c r="G37" s="199" t="s">
        <v>113</v>
      </c>
      <c r="H37" s="198" t="s">
        <v>79</v>
      </c>
      <c r="J37" s="142" t="str">
        <f t="shared" si="24"/>
        <v>VDSL448/448Premium</v>
      </c>
      <c r="L37" s="160">
        <f>INDEX(Mapping!$J:$J,MATCH(C$3&amp;C37,Mapping!$B:$B,0))</f>
        <v>1</v>
      </c>
      <c r="M37" s="148" t="str">
        <f>INDEX(Mapping!$H:$H,MATCH($E37,Mapping!$B:$B,0))</f>
        <v>WBA ZM Ethernet</v>
      </c>
      <c r="N37" s="148" t="str">
        <f>INDEX(Mapping!$I:$I,MATCH($E37&amp;$G37,Mapping!$B:$B,0))</f>
        <v>premium</v>
      </c>
      <c r="O37" s="148" t="str">
        <f>INDEX(Mapping!$I:$I,MATCH($D37,Mapping!$B:$B,0))</f>
        <v>VDSL</v>
      </c>
      <c r="P37" s="148" t="str">
        <f>INDEX(Mapping!$H:$H,MATCH($F37,Mapping!$B:$B,0))</f>
        <v>nvt</v>
      </c>
      <c r="Q37" s="148" t="str">
        <f>INDEX(Mapping!$J:$J,MATCH($E37&amp;$G37,Mapping!$B:$B,0))</f>
        <v>metro</v>
      </c>
      <c r="R37" s="148" t="str">
        <f>INDEX(Mapping!$I:$I,MATCH($J37,Mapping!$B:$B,0))</f>
        <v>1 Mbps/1 Mbps</v>
      </c>
      <c r="T37" s="148" t="str">
        <f>INDEX(Mapping!$K:$K,MATCH($E37&amp;$G37,Mapping!$B:$B,0))</f>
        <v>metro-nationaal</v>
      </c>
      <c r="U37" s="142" t="str">
        <f t="shared" si="25"/>
        <v>WBA ZM Ethernet1 Mbps/1 Mbpspremiummetro</v>
      </c>
      <c r="W37" s="160">
        <f>MATCH($J37,'Tarieven ZM'!$B:$B,0)</f>
        <v>41</v>
      </c>
      <c r="X37" s="148">
        <f>INDEX('Tarieven ZM'!$H:$H,$W37)</f>
        <v>1000</v>
      </c>
      <c r="Y37" s="161">
        <f>-INDEX(Parameters!$B:$B,MATCH(Y$3,Parameters!$A:$A,0))*$X37</f>
        <v>0</v>
      </c>
      <c r="Z37" s="149">
        <f>-INDEX(Parameters!$B:$B,MATCH(Z$3,Parameters!$A:$A,0))*$X37</f>
        <v>0</v>
      </c>
      <c r="AA37" s="148">
        <f t="shared" si="26"/>
        <v>1000</v>
      </c>
      <c r="AB37" s="148">
        <f>AA37/INDEX(Parameters!$B:$B,MATCH("AfschrijftermijnVVE"&amp;12*$C37,Parameters!$A:$A,0))</f>
        <v>27.777777777777779</v>
      </c>
      <c r="AC37" s="148">
        <f>INDEX('Tarieven ZM'!$G:$G,$W37)</f>
        <v>1000</v>
      </c>
      <c r="AD37" s="161">
        <f>-INDEX(Parameters!$B:$B,MATCH(AD$3,Parameters!$A:$A,0))*$AC37</f>
        <v>0</v>
      </c>
      <c r="AE37" s="161">
        <f>-INDEX(Parameters!$B:$B,MATCH(AE$3,Parameters!$A:$A,0))*$AC37</f>
        <v>0</v>
      </c>
      <c r="AF37" s="148">
        <f t="shared" si="27"/>
        <v>1000</v>
      </c>
      <c r="AG37" s="151">
        <f t="shared" si="28"/>
        <v>1027.7777777777778</v>
      </c>
      <c r="AH37" s="123"/>
      <c r="AI37" s="147">
        <f>IF(R37&lt;&gt;"n.a.",MATCH($U37,'Tarieven W&amp;O'!$B:$B,0),"nvt")</f>
        <v>138</v>
      </c>
      <c r="AJ37" s="148">
        <f>IF(AI37&lt;&gt;"nvt",INDEX('Tarieven W&amp;O'!$H:$H,$AI37),0)</f>
        <v>0</v>
      </c>
      <c r="AK37" s="148">
        <f>IF(AI37&lt;&gt;"nvt",INDEX('Tarieven W&amp;O'!$I:$I,$AI37),0)</f>
        <v>5</v>
      </c>
      <c r="AL37" s="277">
        <f>IF(AI37&lt;&gt;"nvt",-INDEX(Parameters!$B:$B,MATCH(AL$3&amp;$M37,Parameters!$A:$A,0))*(AJ37+AK37),0)</f>
        <v>0</v>
      </c>
      <c r="AM37" s="442"/>
      <c r="AN37" s="262">
        <f t="shared" si="29"/>
        <v>5</v>
      </c>
      <c r="AO37" s="262">
        <f>AN37/INDEX(Parameters!$B:$B,MATCH("AfschrijftermijnVVE"&amp;12*$C37,Parameters!$A:$A,0))</f>
        <v>0.1388888888888889</v>
      </c>
      <c r="AP37" s="179">
        <f t="shared" si="30"/>
        <v>138</v>
      </c>
      <c r="AQ37" s="202">
        <f>IF(AP37&lt;&gt;"nvt",INDEX('Tarieven W&amp;O'!$G:$G,$AP37),0)</f>
        <v>7.41</v>
      </c>
      <c r="AR37" s="277">
        <f>-INDEX(Parameters!$B:$B,MATCH(AR$3&amp;$M37&amp;O37,Parameters!$A:$A,0))*(AQ37)</f>
        <v>0</v>
      </c>
      <c r="AS37" s="262">
        <f>Parameters!$D$54</f>
        <v>2</v>
      </c>
      <c r="AT37" s="442">
        <f>IF(M37="WBA CM Ethernet",0,'EDC Minus'!$H$27)</f>
        <v>1</v>
      </c>
      <c r="AU37" s="150">
        <f t="shared" si="31"/>
        <v>10.41</v>
      </c>
      <c r="AV37" s="150">
        <f t="shared" si="32"/>
        <v>10.548888888888889</v>
      </c>
      <c r="AW37" s="150"/>
      <c r="AX37" s="150">
        <f>Parameters!$B$6*AV37</f>
        <v>0.1054888888888889</v>
      </c>
      <c r="AY37" s="202">
        <v>0</v>
      </c>
      <c r="AZ37" s="202"/>
      <c r="BA37" s="150">
        <f t="shared" si="33"/>
        <v>0.1054888888888889</v>
      </c>
      <c r="BB37" s="150"/>
      <c r="BC37" s="151">
        <f t="shared" si="34"/>
        <v>10.654377777777778</v>
      </c>
      <c r="BD37" s="209"/>
      <c r="BE37" s="140">
        <f t="shared" si="35"/>
        <v>1017.1234000000001</v>
      </c>
      <c r="BF37" s="141">
        <f t="shared" si="36"/>
        <v>0.9896335783783784</v>
      </c>
      <c r="BG37" s="142" t="b">
        <f t="shared" si="37"/>
        <v>0</v>
      </c>
      <c r="BH37" s="148"/>
      <c r="BI37" s="188" t="s">
        <v>538</v>
      </c>
      <c r="BJ37" s="189"/>
      <c r="BK37">
        <f>VLOOKUP(J37,'Tarieven ZM'!$B$7:$I$146,8,0)</f>
        <v>0</v>
      </c>
      <c r="BL37" s="179" t="str">
        <f>INDEX(Mapping!$M:$M,MATCH($J37,Mapping!$B:$B,0))</f>
        <v>nvt</v>
      </c>
      <c r="BM37" s="282">
        <v>0</v>
      </c>
      <c r="BN37" s="262">
        <f>BM37/INDEX(Parameters!$B:$B,MATCH("AfschrijftermijnVVE"&amp;12*$C37,Parameters!$A:$A,0))</f>
        <v>0</v>
      </c>
      <c r="BO37" s="262">
        <f>Parameters!$D$59+INDEX('inkoop ULL tbv Epacity'!I:I,MATCH($BL37,'inkoop ULL tbv Epacity'!H:H,0))</f>
        <v>1</v>
      </c>
      <c r="BP37" s="263">
        <f t="shared" si="16"/>
        <v>1</v>
      </c>
      <c r="BQ37" s="203"/>
      <c r="BR37" s="262">
        <f>Parameters!$B$12*AG37</f>
        <v>102.77777777777779</v>
      </c>
      <c r="BS37" s="262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SUM(Distributievergoedingen!$F$12,Distributievergoedingen!$I$12,Distributievergoedingen!$L$12,Distributievergoedingen!$O$12)*AF37+SUM(Distributievergoedingen!$O$12*AA37+Distributievergoedingen!$R$12+Distributievergoedingen!$U$12+Distributievergoedingen!$X$12)/(MAX(36,12*L37))</f>
        <v>112.77777777777777</v>
      </c>
      <c r="BT37" s="202"/>
      <c r="BU37" s="202">
        <f t="shared" si="38"/>
        <v>215.55555555555554</v>
      </c>
      <c r="BW37" s="151">
        <f t="shared" si="39"/>
        <v>216.55555555555554</v>
      </c>
      <c r="BY37" s="140">
        <f t="shared" si="40"/>
        <v>811.22222222222229</v>
      </c>
      <c r="BZ37" s="141">
        <f t="shared" si="41"/>
        <v>0.78929729729729736</v>
      </c>
      <c r="CA37" s="142" t="b">
        <f t="shared" si="42"/>
        <v>0</v>
      </c>
    </row>
    <row r="38" spans="1:79">
      <c r="A38" s="160" t="str">
        <f t="shared" si="22"/>
        <v>1VDSLPremiumnationaal640/640</v>
      </c>
      <c r="B38" s="142" t="str">
        <f t="shared" si="23"/>
        <v>1VDSL640/640Premium</v>
      </c>
      <c r="C38" s="198">
        <v>1</v>
      </c>
      <c r="D38" s="198" t="s">
        <v>77</v>
      </c>
      <c r="E38" s="198" t="s">
        <v>70</v>
      </c>
      <c r="F38" s="198" t="s">
        <v>115</v>
      </c>
      <c r="G38" s="199" t="s">
        <v>113</v>
      </c>
      <c r="H38" s="198" t="s">
        <v>80</v>
      </c>
      <c r="J38" s="142" t="str">
        <f t="shared" si="24"/>
        <v>VDSL640/640Premium</v>
      </c>
      <c r="L38" s="160">
        <f>INDEX(Mapping!$J:$J,MATCH(C$3&amp;C38,Mapping!$B:$B,0))</f>
        <v>1</v>
      </c>
      <c r="M38" s="148" t="str">
        <f>INDEX(Mapping!$H:$H,MATCH($E38,Mapping!$B:$B,0))</f>
        <v>WBA ZM Ethernet</v>
      </c>
      <c r="N38" s="148" t="str">
        <f>INDEX(Mapping!$I:$I,MATCH($E38&amp;$G38,Mapping!$B:$B,0))</f>
        <v>premium</v>
      </c>
      <c r="O38" s="148" t="str">
        <f>INDEX(Mapping!$I:$I,MATCH($D38,Mapping!$B:$B,0))</f>
        <v>VDSL</v>
      </c>
      <c r="P38" s="148" t="str">
        <f>INDEX(Mapping!$H:$H,MATCH($F38,Mapping!$B:$B,0))</f>
        <v>nvt</v>
      </c>
      <c r="Q38" s="148" t="str">
        <f>INDEX(Mapping!$J:$J,MATCH($E38&amp;$G38,Mapping!$B:$B,0))</f>
        <v>metro</v>
      </c>
      <c r="R38" s="148" t="str">
        <f>INDEX(Mapping!$I:$I,MATCH($J38,Mapping!$B:$B,0))</f>
        <v>1 Mbps/1 Mbps</v>
      </c>
      <c r="T38" s="148" t="str">
        <f>INDEX(Mapping!$K:$K,MATCH($E38&amp;$G38,Mapping!$B:$B,0))</f>
        <v>metro-nationaal</v>
      </c>
      <c r="U38" s="142" t="str">
        <f t="shared" si="25"/>
        <v>WBA ZM Ethernet1 Mbps/1 Mbpspremiummetro</v>
      </c>
      <c r="W38" s="160">
        <f>MATCH($J38,'Tarieven ZM'!$B:$B,0)</f>
        <v>42</v>
      </c>
      <c r="X38" s="148">
        <f>INDEX('Tarieven ZM'!$H:$H,$W38)</f>
        <v>1000</v>
      </c>
      <c r="Y38" s="161">
        <f>-INDEX(Parameters!$B:$B,MATCH(Y$3,Parameters!$A:$A,0))*$X38</f>
        <v>0</v>
      </c>
      <c r="Z38" s="149">
        <f>-INDEX(Parameters!$B:$B,MATCH(Z$3,Parameters!$A:$A,0))*$X38</f>
        <v>0</v>
      </c>
      <c r="AA38" s="148">
        <f t="shared" si="26"/>
        <v>1000</v>
      </c>
      <c r="AB38" s="148">
        <f>AA38/INDEX(Parameters!$B:$B,MATCH("AfschrijftermijnVVE"&amp;12*$C38,Parameters!$A:$A,0))</f>
        <v>27.777777777777779</v>
      </c>
      <c r="AC38" s="148">
        <f>INDEX('Tarieven ZM'!$G:$G,$W38)</f>
        <v>1000</v>
      </c>
      <c r="AD38" s="161">
        <f>-INDEX(Parameters!$B:$B,MATCH(AD$3,Parameters!$A:$A,0))*$AC38</f>
        <v>0</v>
      </c>
      <c r="AE38" s="161">
        <f>-INDEX(Parameters!$B:$B,MATCH(AE$3,Parameters!$A:$A,0))*$AC38</f>
        <v>0</v>
      </c>
      <c r="AF38" s="148">
        <f t="shared" si="27"/>
        <v>1000</v>
      </c>
      <c r="AG38" s="151">
        <f t="shared" si="28"/>
        <v>1027.7777777777778</v>
      </c>
      <c r="AH38" s="123"/>
      <c r="AI38" s="147">
        <f>IF(R38&lt;&gt;"n.a.",MATCH($U38,'Tarieven W&amp;O'!$B:$B,0),"nvt")</f>
        <v>138</v>
      </c>
      <c r="AJ38" s="148">
        <f>IF(AI38&lt;&gt;"nvt",INDEX('Tarieven W&amp;O'!$H:$H,$AI38),0)</f>
        <v>0</v>
      </c>
      <c r="AK38" s="148">
        <f>IF(AI38&lt;&gt;"nvt",INDEX('Tarieven W&amp;O'!$I:$I,$AI38),0)</f>
        <v>5</v>
      </c>
      <c r="AL38" s="277">
        <f>IF(AI38&lt;&gt;"nvt",-INDEX(Parameters!$B:$B,MATCH(AL$3&amp;$M38,Parameters!$A:$A,0))*(AJ38+AK38),0)</f>
        <v>0</v>
      </c>
      <c r="AM38" s="442"/>
      <c r="AN38" s="262">
        <f t="shared" si="29"/>
        <v>5</v>
      </c>
      <c r="AO38" s="262">
        <f>AN38/INDEX(Parameters!$B:$B,MATCH("AfschrijftermijnVVE"&amp;12*$C38,Parameters!$A:$A,0))</f>
        <v>0.1388888888888889</v>
      </c>
      <c r="AP38" s="179">
        <f t="shared" si="30"/>
        <v>138</v>
      </c>
      <c r="AQ38" s="202">
        <f>IF(AP38&lt;&gt;"nvt",INDEX('Tarieven W&amp;O'!$G:$G,$AP38),0)</f>
        <v>7.41</v>
      </c>
      <c r="AR38" s="277">
        <f>-INDEX(Parameters!$B:$B,MATCH(AR$3&amp;$M38&amp;O38,Parameters!$A:$A,0))*(AQ38)</f>
        <v>0</v>
      </c>
      <c r="AS38" s="262">
        <f>Parameters!$D$54</f>
        <v>2</v>
      </c>
      <c r="AT38" s="442">
        <f>IF(M38="WBA CM Ethernet",0,'EDC Minus'!$H$27)</f>
        <v>1</v>
      </c>
      <c r="AU38" s="150">
        <f t="shared" si="31"/>
        <v>10.41</v>
      </c>
      <c r="AV38" s="150">
        <f t="shared" si="32"/>
        <v>10.548888888888889</v>
      </c>
      <c r="AW38" s="150"/>
      <c r="AX38" s="150">
        <f>Parameters!$B$6*AV38</f>
        <v>0.1054888888888889</v>
      </c>
      <c r="AY38" s="202">
        <v>0</v>
      </c>
      <c r="AZ38" s="202"/>
      <c r="BA38" s="150">
        <f t="shared" si="33"/>
        <v>0.1054888888888889</v>
      </c>
      <c r="BB38" s="150"/>
      <c r="BC38" s="151">
        <f t="shared" si="34"/>
        <v>10.654377777777778</v>
      </c>
      <c r="BD38" s="209"/>
      <c r="BE38" s="140">
        <f t="shared" si="35"/>
        <v>1017.1234000000001</v>
      </c>
      <c r="BF38" s="141">
        <f t="shared" si="36"/>
        <v>0.9896335783783784</v>
      </c>
      <c r="BG38" s="142" t="b">
        <f t="shared" si="37"/>
        <v>0</v>
      </c>
      <c r="BH38" s="148"/>
      <c r="BI38" s="188" t="s">
        <v>538</v>
      </c>
      <c r="BJ38" s="189"/>
      <c r="BK38">
        <f>VLOOKUP(J38,'Tarieven ZM'!$B$7:$I$146,8,0)</f>
        <v>0</v>
      </c>
      <c r="BL38" s="179" t="str">
        <f>INDEX(Mapping!$M:$M,MATCH($J38,Mapping!$B:$B,0))</f>
        <v>nvt</v>
      </c>
      <c r="BM38" s="282">
        <v>0</v>
      </c>
      <c r="BN38" s="262">
        <f>BM38/INDEX(Parameters!$B:$B,MATCH("AfschrijftermijnVVE"&amp;12*$C38,Parameters!$A:$A,0))</f>
        <v>0</v>
      </c>
      <c r="BO38" s="262">
        <f>Parameters!$D$59+INDEX('inkoop ULL tbv Epacity'!I:I,MATCH($BL38,'inkoop ULL tbv Epacity'!H:H,0))</f>
        <v>1</v>
      </c>
      <c r="BP38" s="263">
        <f t="shared" si="16"/>
        <v>1</v>
      </c>
      <c r="BQ38" s="203"/>
      <c r="BR38" s="262">
        <f>Parameters!$B$12*AG38</f>
        <v>102.77777777777779</v>
      </c>
      <c r="BS38" s="262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SUM(Distributievergoedingen!$F$12,Distributievergoedingen!$I$12,Distributievergoedingen!$L$12,Distributievergoedingen!$O$12)*AF38+SUM(Distributievergoedingen!$O$12*AA38+Distributievergoedingen!$R$12+Distributievergoedingen!$U$12+Distributievergoedingen!$X$12)/(MAX(36,12*L38))</f>
        <v>112.77777777777777</v>
      </c>
      <c r="BT38" s="202"/>
      <c r="BU38" s="202">
        <f t="shared" si="38"/>
        <v>215.55555555555554</v>
      </c>
      <c r="BW38" s="151">
        <f t="shared" si="39"/>
        <v>216.55555555555554</v>
      </c>
      <c r="BY38" s="140">
        <f t="shared" si="40"/>
        <v>811.22222222222229</v>
      </c>
      <c r="BZ38" s="141">
        <f t="shared" si="41"/>
        <v>0.78929729729729736</v>
      </c>
      <c r="CA38" s="142" t="b">
        <f t="shared" si="42"/>
        <v>0</v>
      </c>
    </row>
    <row r="39" spans="1:79">
      <c r="A39" s="160" t="str">
        <f t="shared" si="22"/>
        <v>1VDSLPremiumnationaal1024/1024</v>
      </c>
      <c r="B39" s="142" t="str">
        <f t="shared" si="23"/>
        <v>1VDSL1024/1024Premium</v>
      </c>
      <c r="C39" s="198">
        <v>1</v>
      </c>
      <c r="D39" s="198" t="s">
        <v>77</v>
      </c>
      <c r="E39" s="198" t="s">
        <v>70</v>
      </c>
      <c r="F39" s="198" t="s">
        <v>115</v>
      </c>
      <c r="G39" s="199" t="s">
        <v>113</v>
      </c>
      <c r="H39" s="198" t="s">
        <v>66</v>
      </c>
      <c r="J39" s="142" t="str">
        <f t="shared" si="24"/>
        <v>VDSL1024/1024Premium</v>
      </c>
      <c r="L39" s="160">
        <f>INDEX(Mapping!$J:$J,MATCH(C$3&amp;C39,Mapping!$B:$B,0))</f>
        <v>1</v>
      </c>
      <c r="M39" s="148" t="str">
        <f>INDEX(Mapping!$H:$H,MATCH($E39,Mapping!$B:$B,0))</f>
        <v>WBA ZM Ethernet</v>
      </c>
      <c r="N39" s="148" t="str">
        <f>INDEX(Mapping!$I:$I,MATCH($E39&amp;$G39,Mapping!$B:$B,0))</f>
        <v>premium</v>
      </c>
      <c r="O39" s="148" t="str">
        <f>INDEX(Mapping!$I:$I,MATCH($D39,Mapping!$B:$B,0))</f>
        <v>VDSL</v>
      </c>
      <c r="P39" s="148" t="str">
        <f>INDEX(Mapping!$H:$H,MATCH($F39,Mapping!$B:$B,0))</f>
        <v>nvt</v>
      </c>
      <c r="Q39" s="148" t="str">
        <f>INDEX(Mapping!$J:$J,MATCH($E39&amp;$G39,Mapping!$B:$B,0))</f>
        <v>metro</v>
      </c>
      <c r="R39" s="148" t="str">
        <f>INDEX(Mapping!$I:$I,MATCH($J39,Mapping!$B:$B,0))</f>
        <v>1 Mbps/1 Mbps</v>
      </c>
      <c r="T39" s="148" t="str">
        <f>INDEX(Mapping!$K:$K,MATCH($E39&amp;$G39,Mapping!$B:$B,0))</f>
        <v>metro-nationaal</v>
      </c>
      <c r="U39" s="142" t="str">
        <f t="shared" si="25"/>
        <v>WBA ZM Ethernet1 Mbps/1 Mbpspremiummetro</v>
      </c>
      <c r="W39" s="160">
        <f>MATCH($J39,'Tarieven ZM'!$B:$B,0)</f>
        <v>43</v>
      </c>
      <c r="X39" s="148">
        <f>INDEX('Tarieven ZM'!$H:$H,$W39)</f>
        <v>1000</v>
      </c>
      <c r="Y39" s="161">
        <f>-INDEX(Parameters!$B:$B,MATCH(Y$3,Parameters!$A:$A,0))*$X39</f>
        <v>0</v>
      </c>
      <c r="Z39" s="149">
        <f>-INDEX(Parameters!$B:$B,MATCH(Z$3,Parameters!$A:$A,0))*$X39</f>
        <v>0</v>
      </c>
      <c r="AA39" s="148">
        <f t="shared" si="26"/>
        <v>1000</v>
      </c>
      <c r="AB39" s="148">
        <f>AA39/INDEX(Parameters!$B:$B,MATCH("AfschrijftermijnVVE"&amp;12*$C39,Parameters!$A:$A,0))</f>
        <v>27.777777777777779</v>
      </c>
      <c r="AC39" s="148">
        <f>INDEX('Tarieven ZM'!$G:$G,$W39)</f>
        <v>1000</v>
      </c>
      <c r="AD39" s="161">
        <f>-INDEX(Parameters!$B:$B,MATCH(AD$3,Parameters!$A:$A,0))*$AC39</f>
        <v>0</v>
      </c>
      <c r="AE39" s="161">
        <f>-INDEX(Parameters!$B:$B,MATCH(AE$3,Parameters!$A:$A,0))*$AC39</f>
        <v>0</v>
      </c>
      <c r="AF39" s="148">
        <f t="shared" si="27"/>
        <v>1000</v>
      </c>
      <c r="AG39" s="151">
        <f t="shared" si="28"/>
        <v>1027.7777777777778</v>
      </c>
      <c r="AH39" s="123"/>
      <c r="AI39" s="147">
        <f>IF(R39&lt;&gt;"n.a.",MATCH($U39,'Tarieven W&amp;O'!$B:$B,0),"nvt")</f>
        <v>138</v>
      </c>
      <c r="AJ39" s="148">
        <f>IF(AI39&lt;&gt;"nvt",INDEX('Tarieven W&amp;O'!$H:$H,$AI39),0)</f>
        <v>0</v>
      </c>
      <c r="AK39" s="148">
        <f>IF(AI39&lt;&gt;"nvt",INDEX('Tarieven W&amp;O'!$I:$I,$AI39),0)</f>
        <v>5</v>
      </c>
      <c r="AL39" s="277">
        <f>IF(AI39&lt;&gt;"nvt",-INDEX(Parameters!$B:$B,MATCH(AL$3&amp;$M39,Parameters!$A:$A,0))*(AJ39+AK39),0)</f>
        <v>0</v>
      </c>
      <c r="AM39" s="442"/>
      <c r="AN39" s="262">
        <f t="shared" si="29"/>
        <v>5</v>
      </c>
      <c r="AO39" s="262">
        <f>AN39/INDEX(Parameters!$B:$B,MATCH("AfschrijftermijnVVE"&amp;12*$C39,Parameters!$A:$A,0))</f>
        <v>0.1388888888888889</v>
      </c>
      <c r="AP39" s="179">
        <f t="shared" si="30"/>
        <v>138</v>
      </c>
      <c r="AQ39" s="202">
        <f>IF(AP39&lt;&gt;"nvt",INDEX('Tarieven W&amp;O'!$G:$G,$AP39),0)</f>
        <v>7.41</v>
      </c>
      <c r="AR39" s="277">
        <f>-INDEX(Parameters!$B:$B,MATCH(AR$3&amp;$M39&amp;O39,Parameters!$A:$A,0))*(AQ39)</f>
        <v>0</v>
      </c>
      <c r="AS39" s="262">
        <f>Parameters!$D$54</f>
        <v>2</v>
      </c>
      <c r="AT39" s="442">
        <f>IF(M39="WBA CM Ethernet",0,'EDC Minus'!$H$27)</f>
        <v>1</v>
      </c>
      <c r="AU39" s="150">
        <f t="shared" si="31"/>
        <v>10.41</v>
      </c>
      <c r="AV39" s="150">
        <f t="shared" si="32"/>
        <v>10.548888888888889</v>
      </c>
      <c r="AW39" s="150"/>
      <c r="AX39" s="150">
        <f>Parameters!$B$6*AV39</f>
        <v>0.1054888888888889</v>
      </c>
      <c r="AY39" s="202">
        <v>0</v>
      </c>
      <c r="AZ39" s="202"/>
      <c r="BA39" s="150">
        <f t="shared" si="33"/>
        <v>0.1054888888888889</v>
      </c>
      <c r="BB39" s="150"/>
      <c r="BC39" s="151">
        <f t="shared" si="34"/>
        <v>10.654377777777778</v>
      </c>
      <c r="BD39" s="209"/>
      <c r="BE39" s="140">
        <f t="shared" si="35"/>
        <v>1017.1234000000001</v>
      </c>
      <c r="BF39" s="141">
        <f t="shared" si="36"/>
        <v>0.9896335783783784</v>
      </c>
      <c r="BG39" s="142" t="b">
        <f t="shared" si="37"/>
        <v>0</v>
      </c>
      <c r="BH39" s="148"/>
      <c r="BI39" s="188" t="s">
        <v>538</v>
      </c>
      <c r="BJ39" s="189"/>
      <c r="BK39">
        <f>VLOOKUP(J39,'Tarieven ZM'!$B$7:$I$146,8,0)</f>
        <v>0</v>
      </c>
      <c r="BL39" s="179" t="str">
        <f>INDEX(Mapping!$M:$M,MATCH($J39,Mapping!$B:$B,0))</f>
        <v>nvt</v>
      </c>
      <c r="BM39" s="282">
        <v>0</v>
      </c>
      <c r="BN39" s="262">
        <f>BM39/INDEX(Parameters!$B:$B,MATCH("AfschrijftermijnVVE"&amp;12*$C39,Parameters!$A:$A,0))</f>
        <v>0</v>
      </c>
      <c r="BO39" s="262">
        <f>Parameters!$D$59+INDEX('inkoop ULL tbv Epacity'!I:I,MATCH($BL39,'inkoop ULL tbv Epacity'!H:H,0))</f>
        <v>1</v>
      </c>
      <c r="BP39" s="263">
        <f t="shared" si="16"/>
        <v>1</v>
      </c>
      <c r="BQ39" s="203"/>
      <c r="BR39" s="262">
        <f>Parameters!$B$12*AG39</f>
        <v>102.77777777777779</v>
      </c>
      <c r="BS39" s="262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SUM(Distributievergoedingen!$F$12,Distributievergoedingen!$I$12,Distributievergoedingen!$L$12,Distributievergoedingen!$O$12)*AF39+SUM(Distributievergoedingen!$O$12*AA39+Distributievergoedingen!$R$12+Distributievergoedingen!$U$12+Distributievergoedingen!$X$12)/(MAX(36,12*L39))</f>
        <v>112.77777777777777</v>
      </c>
      <c r="BT39" s="202"/>
      <c r="BU39" s="202">
        <f t="shared" si="38"/>
        <v>215.55555555555554</v>
      </c>
      <c r="BW39" s="151">
        <f t="shared" si="39"/>
        <v>216.55555555555554</v>
      </c>
      <c r="BY39" s="140">
        <f t="shared" si="40"/>
        <v>811.22222222222229</v>
      </c>
      <c r="BZ39" s="141">
        <f t="shared" si="41"/>
        <v>0.78929729729729736</v>
      </c>
      <c r="CA39" s="142" t="b">
        <f t="shared" si="42"/>
        <v>0</v>
      </c>
    </row>
    <row r="40" spans="1:79">
      <c r="A40" s="160" t="str">
        <f t="shared" si="22"/>
        <v>1VDSLPremiumnationaal2048/2048</v>
      </c>
      <c r="B40" s="142" t="str">
        <f t="shared" si="23"/>
        <v>1VDSL2048/2048Premium</v>
      </c>
      <c r="C40" s="198">
        <v>1</v>
      </c>
      <c r="D40" s="198" t="s">
        <v>77</v>
      </c>
      <c r="E40" s="198" t="s">
        <v>70</v>
      </c>
      <c r="F40" s="198" t="s">
        <v>115</v>
      </c>
      <c r="G40" s="199" t="s">
        <v>113</v>
      </c>
      <c r="H40" s="198" t="s">
        <v>68</v>
      </c>
      <c r="J40" s="142" t="str">
        <f t="shared" si="24"/>
        <v>VDSL2048/2048Premium</v>
      </c>
      <c r="L40" s="160">
        <f>INDEX(Mapping!$J:$J,MATCH(C$3&amp;C40,Mapping!$B:$B,0))</f>
        <v>1</v>
      </c>
      <c r="M40" s="148" t="str">
        <f>INDEX(Mapping!$H:$H,MATCH($E40,Mapping!$B:$B,0))</f>
        <v>WBA ZM Ethernet</v>
      </c>
      <c r="N40" s="148" t="str">
        <f>INDEX(Mapping!$I:$I,MATCH($E40&amp;$G40,Mapping!$B:$B,0))</f>
        <v>premium</v>
      </c>
      <c r="O40" s="148" t="str">
        <f>INDEX(Mapping!$I:$I,MATCH($D40,Mapping!$B:$B,0))</f>
        <v>VDSL</v>
      </c>
      <c r="P40" s="148" t="str">
        <f>INDEX(Mapping!$H:$H,MATCH($F40,Mapping!$B:$B,0))</f>
        <v>nvt</v>
      </c>
      <c r="Q40" s="148" t="str">
        <f>INDEX(Mapping!$J:$J,MATCH($E40&amp;$G40,Mapping!$B:$B,0))</f>
        <v>metro</v>
      </c>
      <c r="R40" s="148" t="str">
        <f>INDEX(Mapping!$I:$I,MATCH($J40,Mapping!$B:$B,0))</f>
        <v>2 Mbps/2 Mbps</v>
      </c>
      <c r="T40" s="148" t="str">
        <f>INDEX(Mapping!$K:$K,MATCH($E40&amp;$G40,Mapping!$B:$B,0))</f>
        <v>metro-nationaal</v>
      </c>
      <c r="U40" s="142" t="str">
        <f t="shared" si="25"/>
        <v>WBA ZM Ethernet2 Mbps/2 Mbpspremiummetro</v>
      </c>
      <c r="W40" s="160">
        <f>MATCH($J40,'Tarieven ZM'!$B:$B,0)</f>
        <v>44</v>
      </c>
      <c r="X40" s="148">
        <f>INDEX('Tarieven ZM'!$H:$H,$W40)</f>
        <v>1000</v>
      </c>
      <c r="Y40" s="161">
        <f>-INDEX(Parameters!$B:$B,MATCH(Y$3,Parameters!$A:$A,0))*$X40</f>
        <v>0</v>
      </c>
      <c r="Z40" s="149">
        <f>-INDEX(Parameters!$B:$B,MATCH(Z$3,Parameters!$A:$A,0))*$X40</f>
        <v>0</v>
      </c>
      <c r="AA40" s="148">
        <f t="shared" si="26"/>
        <v>1000</v>
      </c>
      <c r="AB40" s="148">
        <f>AA40/INDEX(Parameters!$B:$B,MATCH("AfschrijftermijnVVE"&amp;12*$C40,Parameters!$A:$A,0))</f>
        <v>27.777777777777779</v>
      </c>
      <c r="AC40" s="148">
        <f>INDEX('Tarieven ZM'!$G:$G,$W40)</f>
        <v>1000</v>
      </c>
      <c r="AD40" s="161">
        <f>-INDEX(Parameters!$B:$B,MATCH(AD$3,Parameters!$A:$A,0))*$AC40</f>
        <v>0</v>
      </c>
      <c r="AE40" s="161">
        <f>-INDEX(Parameters!$B:$B,MATCH(AE$3,Parameters!$A:$A,0))*$AC40</f>
        <v>0</v>
      </c>
      <c r="AF40" s="148">
        <f t="shared" si="27"/>
        <v>1000</v>
      </c>
      <c r="AG40" s="151">
        <f t="shared" si="28"/>
        <v>1027.7777777777778</v>
      </c>
      <c r="AH40" s="123"/>
      <c r="AI40" s="147">
        <f>IF(R40&lt;&gt;"n.a.",MATCH($U40,'Tarieven W&amp;O'!$B:$B,0),"nvt")</f>
        <v>139</v>
      </c>
      <c r="AJ40" s="148">
        <f>IF(AI40&lt;&gt;"nvt",INDEX('Tarieven W&amp;O'!$H:$H,$AI40),0)</f>
        <v>0</v>
      </c>
      <c r="AK40" s="148">
        <f>IF(AI40&lt;&gt;"nvt",INDEX('Tarieven W&amp;O'!$I:$I,$AI40),0)</f>
        <v>5</v>
      </c>
      <c r="AL40" s="277">
        <f>IF(AI40&lt;&gt;"nvt",-INDEX(Parameters!$B:$B,MATCH(AL$3&amp;$M40,Parameters!$A:$A,0))*(AJ40+AK40),0)</f>
        <v>0</v>
      </c>
      <c r="AM40" s="442"/>
      <c r="AN40" s="262">
        <f t="shared" si="29"/>
        <v>5</v>
      </c>
      <c r="AO40" s="262">
        <f>AN40/INDEX(Parameters!$B:$B,MATCH("AfschrijftermijnVVE"&amp;12*$C40,Parameters!$A:$A,0))</f>
        <v>0.1388888888888889</v>
      </c>
      <c r="AP40" s="179">
        <f t="shared" si="30"/>
        <v>139</v>
      </c>
      <c r="AQ40" s="202">
        <f>IF(AP40&lt;&gt;"nvt",INDEX('Tarieven W&amp;O'!$G:$G,$AP40),0)</f>
        <v>14.82</v>
      </c>
      <c r="AR40" s="277">
        <f>-INDEX(Parameters!$B:$B,MATCH(AR$3&amp;$M40&amp;O40,Parameters!$A:$A,0))*(AQ40)</f>
        <v>0</v>
      </c>
      <c r="AS40" s="262">
        <f>Parameters!$D$54</f>
        <v>2</v>
      </c>
      <c r="AT40" s="442">
        <f>IF(M40="WBA CM Ethernet",0,'EDC Minus'!$H$27)</f>
        <v>1</v>
      </c>
      <c r="AU40" s="150">
        <f t="shared" si="31"/>
        <v>17.82</v>
      </c>
      <c r="AV40" s="150">
        <f t="shared" si="32"/>
        <v>17.95888888888889</v>
      </c>
      <c r="AW40" s="150"/>
      <c r="AX40" s="150">
        <f>Parameters!$B$6*AV40</f>
        <v>0.17958888888888891</v>
      </c>
      <c r="AY40" s="202">
        <v>0</v>
      </c>
      <c r="AZ40" s="202"/>
      <c r="BA40" s="150">
        <f t="shared" si="33"/>
        <v>0.17958888888888891</v>
      </c>
      <c r="BB40" s="150"/>
      <c r="BC40" s="151">
        <f t="shared" si="34"/>
        <v>18.13847777777778</v>
      </c>
      <c r="BD40" s="209"/>
      <c r="BE40" s="140">
        <f t="shared" si="35"/>
        <v>1009.6393</v>
      </c>
      <c r="BF40" s="141">
        <f t="shared" si="36"/>
        <v>0.98235175135135133</v>
      </c>
      <c r="BG40" s="142" t="b">
        <f t="shared" si="37"/>
        <v>0</v>
      </c>
      <c r="BH40" s="148"/>
      <c r="BI40" s="188" t="s">
        <v>538</v>
      </c>
      <c r="BJ40" s="189"/>
      <c r="BK40">
        <f>VLOOKUP(J40,'Tarieven ZM'!$B$7:$I$146,8,0)</f>
        <v>0</v>
      </c>
      <c r="BL40" s="179" t="str">
        <f>INDEX(Mapping!$M:$M,MATCH($J40,Mapping!$B:$B,0))</f>
        <v>nvt</v>
      </c>
      <c r="BM40" s="282">
        <v>0</v>
      </c>
      <c r="BN40" s="262">
        <f>BM40/INDEX(Parameters!$B:$B,MATCH("AfschrijftermijnVVE"&amp;12*$C40,Parameters!$A:$A,0))</f>
        <v>0</v>
      </c>
      <c r="BO40" s="262">
        <f>Parameters!$D$59+INDEX('inkoop ULL tbv Epacity'!I:I,MATCH($BL40,'inkoop ULL tbv Epacity'!H:H,0))</f>
        <v>1</v>
      </c>
      <c r="BP40" s="263">
        <f t="shared" si="16"/>
        <v>1</v>
      </c>
      <c r="BQ40" s="203"/>
      <c r="BR40" s="262">
        <f>Parameters!$B$12*AG40</f>
        <v>102.77777777777779</v>
      </c>
      <c r="BS40" s="262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SUM(Distributievergoedingen!$F$12,Distributievergoedingen!$I$12,Distributievergoedingen!$L$12,Distributievergoedingen!$O$12)*AF40+SUM(Distributievergoedingen!$O$12*AA40+Distributievergoedingen!$R$12+Distributievergoedingen!$U$12+Distributievergoedingen!$X$12)/(MAX(36,12*L40))</f>
        <v>112.77777777777777</v>
      </c>
      <c r="BT40" s="202"/>
      <c r="BU40" s="202">
        <f t="shared" si="38"/>
        <v>215.55555555555554</v>
      </c>
      <c r="BW40" s="151">
        <f t="shared" si="39"/>
        <v>216.55555555555554</v>
      </c>
      <c r="BY40" s="140">
        <f t="shared" si="40"/>
        <v>811.22222222222229</v>
      </c>
      <c r="BZ40" s="141">
        <f t="shared" si="41"/>
        <v>0.78929729729729736</v>
      </c>
      <c r="CA40" s="142" t="b">
        <f t="shared" si="42"/>
        <v>0</v>
      </c>
    </row>
    <row r="41" spans="1:79">
      <c r="A41" s="160" t="str">
        <f t="shared" si="22"/>
        <v>1VDSLPremiumnationaal3072/3072</v>
      </c>
      <c r="B41" s="142" t="str">
        <f t="shared" si="23"/>
        <v>1VDSL3072/3072Premium</v>
      </c>
      <c r="C41" s="198">
        <v>1</v>
      </c>
      <c r="D41" s="198" t="s">
        <v>77</v>
      </c>
      <c r="E41" s="198" t="s">
        <v>70</v>
      </c>
      <c r="F41" s="198" t="s">
        <v>115</v>
      </c>
      <c r="G41" s="199" t="s">
        <v>113</v>
      </c>
      <c r="H41" s="198" t="s">
        <v>82</v>
      </c>
      <c r="J41" s="142" t="str">
        <f t="shared" si="24"/>
        <v>VDSL3072/3072Premium</v>
      </c>
      <c r="L41" s="160">
        <f>INDEX(Mapping!$J:$J,MATCH(C$3&amp;C41,Mapping!$B:$B,0))</f>
        <v>1</v>
      </c>
      <c r="M41" s="148" t="str">
        <f>INDEX(Mapping!$H:$H,MATCH($E41,Mapping!$B:$B,0))</f>
        <v>WBA ZM Ethernet</v>
      </c>
      <c r="N41" s="148" t="str">
        <f>INDEX(Mapping!$I:$I,MATCH($E41&amp;$G41,Mapping!$B:$B,0))</f>
        <v>premium</v>
      </c>
      <c r="O41" s="148" t="str">
        <f>INDEX(Mapping!$I:$I,MATCH($D41,Mapping!$B:$B,0))</f>
        <v>VDSL</v>
      </c>
      <c r="P41" s="148" t="str">
        <f>INDEX(Mapping!$H:$H,MATCH($F41,Mapping!$B:$B,0))</f>
        <v>nvt</v>
      </c>
      <c r="Q41" s="148" t="str">
        <f>INDEX(Mapping!$J:$J,MATCH($E41&amp;$G41,Mapping!$B:$B,0))</f>
        <v>metro</v>
      </c>
      <c r="R41" s="148" t="str">
        <f>INDEX(Mapping!$I:$I,MATCH($J41,Mapping!$B:$B,0))</f>
        <v>5 Mbps/5 Mbps</v>
      </c>
      <c r="T41" s="148" t="str">
        <f>INDEX(Mapping!$K:$K,MATCH($E41&amp;$G41,Mapping!$B:$B,0))</f>
        <v>metro-nationaal</v>
      </c>
      <c r="U41" s="142" t="str">
        <f t="shared" si="25"/>
        <v>WBA ZM Ethernet5 Mbps/5 Mbpspremiummetro</v>
      </c>
      <c r="W41" s="160">
        <f>MATCH($J41,'Tarieven ZM'!$B:$B,0)</f>
        <v>45</v>
      </c>
      <c r="X41" s="148">
        <f>INDEX('Tarieven ZM'!$H:$H,$W41)</f>
        <v>1000</v>
      </c>
      <c r="Y41" s="161">
        <f>-INDEX(Parameters!$B:$B,MATCH(Y$3,Parameters!$A:$A,0))*$X41</f>
        <v>0</v>
      </c>
      <c r="Z41" s="149">
        <f>-INDEX(Parameters!$B:$B,MATCH(Z$3,Parameters!$A:$A,0))*$X41</f>
        <v>0</v>
      </c>
      <c r="AA41" s="148">
        <f t="shared" si="26"/>
        <v>1000</v>
      </c>
      <c r="AB41" s="148">
        <f>AA41/INDEX(Parameters!$B:$B,MATCH("AfschrijftermijnVVE"&amp;12*$C41,Parameters!$A:$A,0))</f>
        <v>27.777777777777779</v>
      </c>
      <c r="AC41" s="148">
        <f>INDEX('Tarieven ZM'!$G:$G,$W41)</f>
        <v>1000</v>
      </c>
      <c r="AD41" s="161">
        <f>-INDEX(Parameters!$B:$B,MATCH(AD$3,Parameters!$A:$A,0))*$AC41</f>
        <v>0</v>
      </c>
      <c r="AE41" s="161">
        <f>-INDEX(Parameters!$B:$B,MATCH(AE$3,Parameters!$A:$A,0))*$AC41</f>
        <v>0</v>
      </c>
      <c r="AF41" s="148">
        <f t="shared" si="27"/>
        <v>1000</v>
      </c>
      <c r="AG41" s="151">
        <f t="shared" si="28"/>
        <v>1027.7777777777778</v>
      </c>
      <c r="AH41" s="123"/>
      <c r="AI41" s="147">
        <f>IF(R41&lt;&gt;"n.a.",MATCH($U41,'Tarieven W&amp;O'!$B:$B,0),"nvt")</f>
        <v>140</v>
      </c>
      <c r="AJ41" s="148">
        <f>IF(AI41&lt;&gt;"nvt",INDEX('Tarieven W&amp;O'!$H:$H,$AI41),0)</f>
        <v>0</v>
      </c>
      <c r="AK41" s="148">
        <f>IF(AI41&lt;&gt;"nvt",INDEX('Tarieven W&amp;O'!$I:$I,$AI41),0)</f>
        <v>5</v>
      </c>
      <c r="AL41" s="277">
        <f>IF(AI41&lt;&gt;"nvt",-INDEX(Parameters!$B:$B,MATCH(AL$3&amp;$M41,Parameters!$A:$A,0))*(AJ41+AK41),0)</f>
        <v>0</v>
      </c>
      <c r="AM41" s="442"/>
      <c r="AN41" s="262">
        <f t="shared" si="29"/>
        <v>5</v>
      </c>
      <c r="AO41" s="262">
        <f>AN41/INDEX(Parameters!$B:$B,MATCH("AfschrijftermijnVVE"&amp;12*$C41,Parameters!$A:$A,0))</f>
        <v>0.1388888888888889</v>
      </c>
      <c r="AP41" s="179">
        <f t="shared" si="30"/>
        <v>140</v>
      </c>
      <c r="AQ41" s="202">
        <f>IF(AP41&lt;&gt;"nvt",INDEX('Tarieven W&amp;O'!$G:$G,$AP41),0)</f>
        <v>18.53</v>
      </c>
      <c r="AR41" s="277">
        <f>-INDEX(Parameters!$B:$B,MATCH(AR$3&amp;$M41&amp;O41,Parameters!$A:$A,0))*(AQ41)</f>
        <v>0</v>
      </c>
      <c r="AS41" s="262">
        <f>Parameters!$D$54</f>
        <v>2</v>
      </c>
      <c r="AT41" s="442">
        <f>IF(M41="WBA CM Ethernet",0,'EDC Minus'!$H$27)</f>
        <v>1</v>
      </c>
      <c r="AU41" s="150">
        <f t="shared" si="31"/>
        <v>21.53</v>
      </c>
      <c r="AV41" s="150">
        <f t="shared" si="32"/>
        <v>21.66888888888889</v>
      </c>
      <c r="AW41" s="150"/>
      <c r="AX41" s="150">
        <f>Parameters!$B$6*AV41</f>
        <v>0.2166888888888889</v>
      </c>
      <c r="AY41" s="202">
        <v>0</v>
      </c>
      <c r="AZ41" s="202"/>
      <c r="BA41" s="150">
        <f t="shared" si="33"/>
        <v>0.2166888888888889</v>
      </c>
      <c r="BB41" s="150"/>
      <c r="BC41" s="151">
        <f t="shared" si="34"/>
        <v>21.88557777777778</v>
      </c>
      <c r="BD41" s="209"/>
      <c r="BE41" s="140">
        <f t="shared" si="35"/>
        <v>1005.8922</v>
      </c>
      <c r="BF41" s="141">
        <f t="shared" si="36"/>
        <v>0.97870592432432424</v>
      </c>
      <c r="BG41" s="142" t="b">
        <f t="shared" si="37"/>
        <v>0</v>
      </c>
      <c r="BH41" s="148"/>
      <c r="BI41" s="188" t="s">
        <v>538</v>
      </c>
      <c r="BJ41" s="189"/>
      <c r="BK41">
        <f>VLOOKUP(J41,'Tarieven ZM'!$B$7:$I$146,8,0)</f>
        <v>0</v>
      </c>
      <c r="BL41" s="179" t="str">
        <f>INDEX(Mapping!$M:$M,MATCH($J41,Mapping!$B:$B,0))</f>
        <v>Premium &gt; 2/2Mbps</v>
      </c>
      <c r="BM41" s="282">
        <v>0</v>
      </c>
      <c r="BN41" s="262">
        <f>BM41/INDEX(Parameters!$B:$B,MATCH("AfschrijftermijnVVE"&amp;12*$C41,Parameters!$A:$A,0))</f>
        <v>0</v>
      </c>
      <c r="BO41" s="262">
        <f>Parameters!$D$59+INDEX('inkoop ULL tbv Epacity'!I:I,MATCH($BL41,'inkoop ULL tbv Epacity'!H:H,0))</f>
        <v>17.02</v>
      </c>
      <c r="BP41" s="263">
        <f t="shared" si="16"/>
        <v>17.02</v>
      </c>
      <c r="BQ41" s="203"/>
      <c r="BR41" s="262">
        <f>Parameters!$B$12*AG41</f>
        <v>102.77777777777779</v>
      </c>
      <c r="BS41" s="262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SUM(Distributievergoedingen!$F$12,Distributievergoedingen!$I$12,Distributievergoedingen!$L$12,Distributievergoedingen!$O$12)*AF41+SUM(Distributievergoedingen!$O$12*AA41+Distributievergoedingen!$R$12+Distributievergoedingen!$U$12+Distributievergoedingen!$X$12)/(MAX(36,12*L41))</f>
        <v>112.77777777777777</v>
      </c>
      <c r="BT41" s="202"/>
      <c r="BU41" s="202">
        <f t="shared" si="38"/>
        <v>215.55555555555554</v>
      </c>
      <c r="BW41" s="151">
        <f t="shared" si="39"/>
        <v>232.57555555555555</v>
      </c>
      <c r="BY41" s="140">
        <f t="shared" si="40"/>
        <v>795.2022222222223</v>
      </c>
      <c r="BZ41" s="141">
        <f t="shared" si="41"/>
        <v>0.77371027027027028</v>
      </c>
      <c r="CA41" s="142" t="b">
        <f t="shared" si="42"/>
        <v>0</v>
      </c>
    </row>
    <row r="42" spans="1:79">
      <c r="A42" s="160" t="str">
        <f t="shared" si="22"/>
        <v>1VDSLPremiumnationaal4096/1024</v>
      </c>
      <c r="B42" s="142" t="str">
        <f t="shared" si="23"/>
        <v>1VDSL4096/1024Premium</v>
      </c>
      <c r="C42" s="198">
        <v>1</v>
      </c>
      <c r="D42" s="198" t="s">
        <v>77</v>
      </c>
      <c r="E42" s="198" t="s">
        <v>70</v>
      </c>
      <c r="F42" s="198" t="s">
        <v>115</v>
      </c>
      <c r="G42" s="199" t="s">
        <v>113</v>
      </c>
      <c r="H42" s="198" t="s">
        <v>57</v>
      </c>
      <c r="J42" s="142" t="str">
        <f t="shared" si="24"/>
        <v>VDSL4096/1024Premium</v>
      </c>
      <c r="L42" s="160">
        <f>INDEX(Mapping!$J:$J,MATCH(C$3&amp;C42,Mapping!$B:$B,0))</f>
        <v>1</v>
      </c>
      <c r="M42" s="148" t="str">
        <f>INDEX(Mapping!$H:$H,MATCH($E42,Mapping!$B:$B,0))</f>
        <v>WBA ZM Ethernet</v>
      </c>
      <c r="N42" s="148" t="str">
        <f>INDEX(Mapping!$I:$I,MATCH($E42&amp;$G42,Mapping!$B:$B,0))</f>
        <v>premium</v>
      </c>
      <c r="O42" s="148" t="str">
        <f>INDEX(Mapping!$I:$I,MATCH($D42,Mapping!$B:$B,0))</f>
        <v>VDSL</v>
      </c>
      <c r="P42" s="148" t="str">
        <f>INDEX(Mapping!$H:$H,MATCH($F42,Mapping!$B:$B,0))</f>
        <v>nvt</v>
      </c>
      <c r="Q42" s="148" t="str">
        <f>INDEX(Mapping!$J:$J,MATCH($E42&amp;$G42,Mapping!$B:$B,0))</f>
        <v>metro</v>
      </c>
      <c r="R42" s="148" t="str">
        <f>INDEX(Mapping!$I:$I,MATCH($J42,Mapping!$B:$B,0))</f>
        <v>5 Mbps/1 Mbps</v>
      </c>
      <c r="T42" s="148" t="str">
        <f>INDEX(Mapping!$K:$K,MATCH($E42&amp;$G42,Mapping!$B:$B,0))</f>
        <v>metro-nationaal</v>
      </c>
      <c r="U42" s="142" t="str">
        <f t="shared" si="25"/>
        <v>WBA ZM Ethernet5 Mbps/1 Mbpspremiummetro</v>
      </c>
      <c r="W42" s="160">
        <f>MATCH($J42,'Tarieven ZM'!$B:$B,0)</f>
        <v>46</v>
      </c>
      <c r="X42" s="148">
        <f>INDEX('Tarieven ZM'!$H:$H,$W42)</f>
        <v>1000</v>
      </c>
      <c r="Y42" s="161">
        <f>-INDEX(Parameters!$B:$B,MATCH(Y$3,Parameters!$A:$A,0))*$X42</f>
        <v>0</v>
      </c>
      <c r="Z42" s="149">
        <f>-INDEX(Parameters!$B:$B,MATCH(Z$3,Parameters!$A:$A,0))*$X42</f>
        <v>0</v>
      </c>
      <c r="AA42" s="148">
        <f t="shared" si="26"/>
        <v>1000</v>
      </c>
      <c r="AB42" s="148">
        <f>AA42/INDEX(Parameters!$B:$B,MATCH("AfschrijftermijnVVE"&amp;12*$C42,Parameters!$A:$A,0))</f>
        <v>27.777777777777779</v>
      </c>
      <c r="AC42" s="148">
        <f>INDEX('Tarieven ZM'!$G:$G,$W42)</f>
        <v>1000</v>
      </c>
      <c r="AD42" s="161">
        <f>-INDEX(Parameters!$B:$B,MATCH(AD$3,Parameters!$A:$A,0))*$AC42</f>
        <v>0</v>
      </c>
      <c r="AE42" s="161">
        <f>-INDEX(Parameters!$B:$B,MATCH(AE$3,Parameters!$A:$A,0))*$AC42</f>
        <v>0</v>
      </c>
      <c r="AF42" s="148">
        <f t="shared" si="27"/>
        <v>1000</v>
      </c>
      <c r="AG42" s="151">
        <f t="shared" si="28"/>
        <v>1027.7777777777778</v>
      </c>
      <c r="AH42" s="123"/>
      <c r="AI42" s="147">
        <f>IF(R42&lt;&gt;"n.a.",MATCH($U42,'Tarieven W&amp;O'!$B:$B,0),"nvt")</f>
        <v>144</v>
      </c>
      <c r="AJ42" s="148">
        <f>IF(AI42&lt;&gt;"nvt",INDEX('Tarieven W&amp;O'!$H:$H,$AI42),0)</f>
        <v>0</v>
      </c>
      <c r="AK42" s="148">
        <f>IF(AI42&lt;&gt;"nvt",INDEX('Tarieven W&amp;O'!$I:$I,$AI42),0)</f>
        <v>5</v>
      </c>
      <c r="AL42" s="277">
        <f>IF(AI42&lt;&gt;"nvt",-INDEX(Parameters!$B:$B,MATCH(AL$3&amp;$M42,Parameters!$A:$A,0))*(AJ42+AK42),0)</f>
        <v>0</v>
      </c>
      <c r="AM42" s="442"/>
      <c r="AN42" s="262">
        <f t="shared" si="29"/>
        <v>5</v>
      </c>
      <c r="AO42" s="262">
        <f>AN42/INDEX(Parameters!$B:$B,MATCH("AfschrijftermijnVVE"&amp;12*$C42,Parameters!$A:$A,0))</f>
        <v>0.1388888888888889</v>
      </c>
      <c r="AP42" s="179">
        <f t="shared" si="30"/>
        <v>144</v>
      </c>
      <c r="AQ42" s="202">
        <f>IF(AP42&lt;&gt;"nvt",INDEX('Tarieven W&amp;O'!$G:$G,$AP42),0)</f>
        <v>17.29</v>
      </c>
      <c r="AR42" s="277">
        <f>-INDEX(Parameters!$B:$B,MATCH(AR$3&amp;$M42&amp;O42,Parameters!$A:$A,0))*(AQ42)</f>
        <v>0</v>
      </c>
      <c r="AS42" s="262">
        <f>Parameters!$D$54</f>
        <v>2</v>
      </c>
      <c r="AT42" s="442">
        <f>IF(M42="WBA CM Ethernet",0,'EDC Minus'!$H$27)</f>
        <v>1</v>
      </c>
      <c r="AU42" s="150">
        <f t="shared" si="31"/>
        <v>20.29</v>
      </c>
      <c r="AV42" s="150">
        <f t="shared" si="32"/>
        <v>20.428888888888888</v>
      </c>
      <c r="AW42" s="150"/>
      <c r="AX42" s="150">
        <f>Parameters!$B$6*AV42</f>
        <v>0.20428888888888888</v>
      </c>
      <c r="AY42" s="202">
        <v>0</v>
      </c>
      <c r="AZ42" s="202"/>
      <c r="BA42" s="150">
        <f t="shared" si="33"/>
        <v>0.20428888888888888</v>
      </c>
      <c r="BB42" s="150"/>
      <c r="BC42" s="151">
        <f t="shared" si="34"/>
        <v>20.633177777777778</v>
      </c>
      <c r="BD42" s="209"/>
      <c r="BE42" s="140">
        <f t="shared" si="35"/>
        <v>1007.1446000000001</v>
      </c>
      <c r="BF42" s="141">
        <f t="shared" si="36"/>
        <v>0.97992447567567575</v>
      </c>
      <c r="BG42" s="142" t="b">
        <f t="shared" si="37"/>
        <v>0</v>
      </c>
      <c r="BH42" s="148"/>
      <c r="BI42" s="188" t="s">
        <v>538</v>
      </c>
      <c r="BJ42" s="189"/>
      <c r="BK42">
        <f>VLOOKUP(J42,'Tarieven ZM'!$B$7:$I$146,8,0)</f>
        <v>0</v>
      </c>
      <c r="BL42" s="179" t="str">
        <f>INDEX(Mapping!$M:$M,MATCH($J42,Mapping!$B:$B,0))</f>
        <v>Premium &gt; 2/2Mbps</v>
      </c>
      <c r="BM42" s="282">
        <v>0</v>
      </c>
      <c r="BN42" s="262">
        <f>BM42/INDEX(Parameters!$B:$B,MATCH("AfschrijftermijnVVE"&amp;12*$C42,Parameters!$A:$A,0))</f>
        <v>0</v>
      </c>
      <c r="BO42" s="262">
        <f>Parameters!$D$59+INDEX('inkoop ULL tbv Epacity'!I:I,MATCH($BL42,'inkoop ULL tbv Epacity'!H:H,0))</f>
        <v>17.02</v>
      </c>
      <c r="BP42" s="263">
        <f t="shared" si="16"/>
        <v>17.02</v>
      </c>
      <c r="BQ42" s="203"/>
      <c r="BR42" s="262">
        <f>Parameters!$B$12*AG42</f>
        <v>102.77777777777779</v>
      </c>
      <c r="BS42" s="262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SUM(Distributievergoedingen!$F$12,Distributievergoedingen!$I$12,Distributievergoedingen!$L$12,Distributievergoedingen!$O$12)*AF42+SUM(Distributievergoedingen!$O$12*AA42+Distributievergoedingen!$R$12+Distributievergoedingen!$U$12+Distributievergoedingen!$X$12)/(MAX(36,12*L42))</f>
        <v>112.77777777777777</v>
      </c>
      <c r="BT42" s="202"/>
      <c r="BU42" s="202">
        <f t="shared" si="38"/>
        <v>215.55555555555554</v>
      </c>
      <c r="BW42" s="151">
        <f t="shared" si="39"/>
        <v>232.57555555555555</v>
      </c>
      <c r="BY42" s="140">
        <f t="shared" si="40"/>
        <v>795.2022222222223</v>
      </c>
      <c r="BZ42" s="141">
        <f t="shared" si="41"/>
        <v>0.77371027027027028</v>
      </c>
      <c r="CA42" s="142" t="b">
        <f t="shared" si="42"/>
        <v>0</v>
      </c>
    </row>
    <row r="43" spans="1:79">
      <c r="A43" s="160" t="str">
        <f t="shared" si="22"/>
        <v>1VDSLPremiumnationaal4096/4096</v>
      </c>
      <c r="B43" s="142" t="str">
        <f t="shared" si="23"/>
        <v>1VDSL4096/4096Premium</v>
      </c>
      <c r="C43" s="198">
        <v>1</v>
      </c>
      <c r="D43" s="198" t="s">
        <v>77</v>
      </c>
      <c r="E43" s="198" t="s">
        <v>70</v>
      </c>
      <c r="F43" s="198" t="s">
        <v>115</v>
      </c>
      <c r="G43" s="199" t="s">
        <v>113</v>
      </c>
      <c r="H43" s="198" t="s">
        <v>83</v>
      </c>
      <c r="J43" s="142" t="str">
        <f t="shared" si="24"/>
        <v>VDSL4096/4096Premium</v>
      </c>
      <c r="L43" s="160">
        <f>INDEX(Mapping!$J:$J,MATCH(C$3&amp;C43,Mapping!$B:$B,0))</f>
        <v>1</v>
      </c>
      <c r="M43" s="148" t="str">
        <f>INDEX(Mapping!$H:$H,MATCH($E43,Mapping!$B:$B,0))</f>
        <v>WBA ZM Ethernet</v>
      </c>
      <c r="N43" s="148" t="str">
        <f>INDEX(Mapping!$I:$I,MATCH($E43&amp;$G43,Mapping!$B:$B,0))</f>
        <v>premium</v>
      </c>
      <c r="O43" s="148" t="str">
        <f>INDEX(Mapping!$I:$I,MATCH($D43,Mapping!$B:$B,0))</f>
        <v>VDSL</v>
      </c>
      <c r="P43" s="148" t="str">
        <f>INDEX(Mapping!$H:$H,MATCH($F43,Mapping!$B:$B,0))</f>
        <v>nvt</v>
      </c>
      <c r="Q43" s="148" t="str">
        <f>INDEX(Mapping!$J:$J,MATCH($E43&amp;$G43,Mapping!$B:$B,0))</f>
        <v>metro</v>
      </c>
      <c r="R43" s="148" t="str">
        <f>INDEX(Mapping!$I:$I,MATCH($J43,Mapping!$B:$B,0))</f>
        <v>5 Mbps/5 Mbps</v>
      </c>
      <c r="T43" s="148" t="str">
        <f>INDEX(Mapping!$K:$K,MATCH($E43&amp;$G43,Mapping!$B:$B,0))</f>
        <v>metro-nationaal</v>
      </c>
      <c r="U43" s="142" t="str">
        <f t="shared" si="25"/>
        <v>WBA ZM Ethernet5 Mbps/5 Mbpspremiummetro</v>
      </c>
      <c r="W43" s="160">
        <f>MATCH($J43,'Tarieven ZM'!$B:$B,0)</f>
        <v>47</v>
      </c>
      <c r="X43" s="148">
        <f>INDEX('Tarieven ZM'!$H:$H,$W43)</f>
        <v>1000</v>
      </c>
      <c r="Y43" s="161">
        <f>-INDEX(Parameters!$B:$B,MATCH(Y$3,Parameters!$A:$A,0))*$X43</f>
        <v>0</v>
      </c>
      <c r="Z43" s="149">
        <f>-INDEX(Parameters!$B:$B,MATCH(Z$3,Parameters!$A:$A,0))*$X43</f>
        <v>0</v>
      </c>
      <c r="AA43" s="148">
        <f t="shared" si="26"/>
        <v>1000</v>
      </c>
      <c r="AB43" s="148">
        <f>AA43/INDEX(Parameters!$B:$B,MATCH("AfschrijftermijnVVE"&amp;12*$C43,Parameters!$A:$A,0))</f>
        <v>27.777777777777779</v>
      </c>
      <c r="AC43" s="148">
        <f>INDEX('Tarieven ZM'!$G:$G,$W43)</f>
        <v>1000</v>
      </c>
      <c r="AD43" s="161">
        <f>-INDEX(Parameters!$B:$B,MATCH(AD$3,Parameters!$A:$A,0))*$AC43</f>
        <v>0</v>
      </c>
      <c r="AE43" s="161">
        <f>-INDEX(Parameters!$B:$B,MATCH(AE$3,Parameters!$A:$A,0))*$AC43</f>
        <v>0</v>
      </c>
      <c r="AF43" s="148">
        <f t="shared" si="27"/>
        <v>1000</v>
      </c>
      <c r="AG43" s="151">
        <f t="shared" si="28"/>
        <v>1027.7777777777778</v>
      </c>
      <c r="AH43" s="123"/>
      <c r="AI43" s="147">
        <f>IF(R43&lt;&gt;"n.a.",MATCH($U43,'Tarieven W&amp;O'!$B:$B,0),"nvt")</f>
        <v>140</v>
      </c>
      <c r="AJ43" s="148">
        <f>IF(AI43&lt;&gt;"nvt",INDEX('Tarieven W&amp;O'!$H:$H,$AI43),0)</f>
        <v>0</v>
      </c>
      <c r="AK43" s="148">
        <f>IF(AI43&lt;&gt;"nvt",INDEX('Tarieven W&amp;O'!$I:$I,$AI43),0)</f>
        <v>5</v>
      </c>
      <c r="AL43" s="277">
        <f>IF(AI43&lt;&gt;"nvt",-INDEX(Parameters!$B:$B,MATCH(AL$3&amp;$M43,Parameters!$A:$A,0))*(AJ43+AK43),0)</f>
        <v>0</v>
      </c>
      <c r="AM43" s="442"/>
      <c r="AN43" s="262">
        <f t="shared" si="29"/>
        <v>5</v>
      </c>
      <c r="AO43" s="262">
        <f>AN43/INDEX(Parameters!$B:$B,MATCH("AfschrijftermijnVVE"&amp;12*$C43,Parameters!$A:$A,0))</f>
        <v>0.1388888888888889</v>
      </c>
      <c r="AP43" s="179">
        <f t="shared" si="30"/>
        <v>140</v>
      </c>
      <c r="AQ43" s="202">
        <f>IF(AP43&lt;&gt;"nvt",INDEX('Tarieven W&amp;O'!$G:$G,$AP43),0)</f>
        <v>18.53</v>
      </c>
      <c r="AR43" s="277">
        <f>-INDEX(Parameters!$B:$B,MATCH(AR$3&amp;$M43&amp;O43,Parameters!$A:$A,0))*(AQ43)</f>
        <v>0</v>
      </c>
      <c r="AS43" s="262">
        <f>Parameters!$D$54</f>
        <v>2</v>
      </c>
      <c r="AT43" s="442">
        <f>IF(M43="WBA CM Ethernet",0,'EDC Minus'!$H$27)</f>
        <v>1</v>
      </c>
      <c r="AU43" s="150">
        <f t="shared" si="31"/>
        <v>21.53</v>
      </c>
      <c r="AV43" s="150">
        <f t="shared" si="32"/>
        <v>21.66888888888889</v>
      </c>
      <c r="AW43" s="150"/>
      <c r="AX43" s="150">
        <f>Parameters!$B$6*AV43</f>
        <v>0.2166888888888889</v>
      </c>
      <c r="AY43" s="202">
        <v>0</v>
      </c>
      <c r="AZ43" s="202"/>
      <c r="BA43" s="150">
        <f t="shared" si="33"/>
        <v>0.2166888888888889</v>
      </c>
      <c r="BB43" s="150"/>
      <c r="BC43" s="151">
        <f t="shared" si="34"/>
        <v>21.88557777777778</v>
      </c>
      <c r="BD43" s="209"/>
      <c r="BE43" s="140">
        <f t="shared" si="35"/>
        <v>1005.8922</v>
      </c>
      <c r="BF43" s="141">
        <f t="shared" si="36"/>
        <v>0.97870592432432424</v>
      </c>
      <c r="BG43" s="142" t="b">
        <f t="shared" si="37"/>
        <v>0</v>
      </c>
      <c r="BH43" s="148"/>
      <c r="BI43" s="188" t="s">
        <v>538</v>
      </c>
      <c r="BJ43" s="189"/>
      <c r="BK43">
        <f>VLOOKUP(J43,'Tarieven ZM'!$B$7:$I$146,8,0)</f>
        <v>0</v>
      </c>
      <c r="BL43" s="179" t="str">
        <f>INDEX(Mapping!$M:$M,MATCH($J43,Mapping!$B:$B,0))</f>
        <v>Premium &gt; 2/2Mbps</v>
      </c>
      <c r="BM43" s="282">
        <v>0</v>
      </c>
      <c r="BN43" s="262">
        <f>BM43/INDEX(Parameters!$B:$B,MATCH("AfschrijftermijnVVE"&amp;12*$C43,Parameters!$A:$A,0))</f>
        <v>0</v>
      </c>
      <c r="BO43" s="262">
        <f>Parameters!$D$59+INDEX('inkoop ULL tbv Epacity'!I:I,MATCH($BL43,'inkoop ULL tbv Epacity'!H:H,0))</f>
        <v>17.02</v>
      </c>
      <c r="BP43" s="263">
        <f t="shared" si="16"/>
        <v>17.02</v>
      </c>
      <c r="BQ43" s="203"/>
      <c r="BR43" s="262">
        <f>Parameters!$B$12*AG43</f>
        <v>102.77777777777779</v>
      </c>
      <c r="BS43" s="262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SUM(Distributievergoedingen!$F$12,Distributievergoedingen!$I$12,Distributievergoedingen!$L$12,Distributievergoedingen!$O$12)*AF43+SUM(Distributievergoedingen!$O$12*AA43+Distributievergoedingen!$R$12+Distributievergoedingen!$U$12+Distributievergoedingen!$X$12)/(MAX(36,12*L43))</f>
        <v>112.77777777777777</v>
      </c>
      <c r="BT43" s="202"/>
      <c r="BU43" s="202">
        <f t="shared" si="38"/>
        <v>215.55555555555554</v>
      </c>
      <c r="BW43" s="151">
        <f t="shared" si="39"/>
        <v>232.57555555555555</v>
      </c>
      <c r="BY43" s="140">
        <f t="shared" si="40"/>
        <v>795.2022222222223</v>
      </c>
      <c r="BZ43" s="141">
        <f t="shared" si="41"/>
        <v>0.77371027027027028</v>
      </c>
      <c r="CA43" s="142" t="b">
        <f t="shared" si="42"/>
        <v>0</v>
      </c>
    </row>
    <row r="44" spans="1:79">
      <c r="A44" s="160" t="str">
        <f t="shared" si="22"/>
        <v>1VDSLPremiumnationaal8192/1024</v>
      </c>
      <c r="B44" s="142" t="str">
        <f t="shared" si="23"/>
        <v>1VDSL8192/1024Premium</v>
      </c>
      <c r="C44" s="198">
        <v>1</v>
      </c>
      <c r="D44" s="198" t="s">
        <v>77</v>
      </c>
      <c r="E44" s="198" t="s">
        <v>70</v>
      </c>
      <c r="F44" s="198" t="s">
        <v>115</v>
      </c>
      <c r="G44" s="199" t="s">
        <v>113</v>
      </c>
      <c r="H44" s="198" t="s">
        <v>84</v>
      </c>
      <c r="J44" s="142" t="str">
        <f t="shared" si="24"/>
        <v>VDSL8192/1024Premium</v>
      </c>
      <c r="L44" s="160">
        <f>INDEX(Mapping!$J:$J,MATCH(C$3&amp;C44,Mapping!$B:$B,0))</f>
        <v>1</v>
      </c>
      <c r="M44" s="148" t="str">
        <f>INDEX(Mapping!$H:$H,MATCH($E44,Mapping!$B:$B,0))</f>
        <v>WBA ZM Ethernet</v>
      </c>
      <c r="N44" s="148" t="str">
        <f>INDEX(Mapping!$I:$I,MATCH($E44&amp;$G44,Mapping!$B:$B,0))</f>
        <v>premium</v>
      </c>
      <c r="O44" s="148" t="str">
        <f>INDEX(Mapping!$I:$I,MATCH($D44,Mapping!$B:$B,0))</f>
        <v>VDSL</v>
      </c>
      <c r="P44" s="148" t="str">
        <f>INDEX(Mapping!$H:$H,MATCH($F44,Mapping!$B:$B,0))</f>
        <v>nvt</v>
      </c>
      <c r="Q44" s="148" t="str">
        <f>INDEX(Mapping!$J:$J,MATCH($E44&amp;$G44,Mapping!$B:$B,0))</f>
        <v>metro</v>
      </c>
      <c r="R44" s="148" t="str">
        <f>INDEX(Mapping!$I:$I,MATCH($J44,Mapping!$B:$B,0))</f>
        <v>10 Mbps/5 Mbps</v>
      </c>
      <c r="T44" s="148" t="str">
        <f>INDEX(Mapping!$K:$K,MATCH($E44&amp;$G44,Mapping!$B:$B,0))</f>
        <v>metro-nationaal</v>
      </c>
      <c r="U44" s="142" t="str">
        <f t="shared" si="25"/>
        <v>WBA ZM Ethernet10 Mbps/5 Mbpspremiummetro</v>
      </c>
      <c r="W44" s="160">
        <f>MATCH($J44,'Tarieven ZM'!$B:$B,0)</f>
        <v>48</v>
      </c>
      <c r="X44" s="148">
        <f>INDEX('Tarieven ZM'!$H:$H,$W44)</f>
        <v>1000</v>
      </c>
      <c r="Y44" s="161">
        <f>-INDEX(Parameters!$B:$B,MATCH(Y$3,Parameters!$A:$A,0))*$X44</f>
        <v>0</v>
      </c>
      <c r="Z44" s="149">
        <f>-INDEX(Parameters!$B:$B,MATCH(Z$3,Parameters!$A:$A,0))*$X44</f>
        <v>0</v>
      </c>
      <c r="AA44" s="148">
        <f t="shared" si="26"/>
        <v>1000</v>
      </c>
      <c r="AB44" s="148">
        <f>AA44/INDEX(Parameters!$B:$B,MATCH("AfschrijftermijnVVE"&amp;12*$C44,Parameters!$A:$A,0))</f>
        <v>27.777777777777779</v>
      </c>
      <c r="AC44" s="148">
        <f>INDEX('Tarieven ZM'!$G:$G,$W44)</f>
        <v>1000</v>
      </c>
      <c r="AD44" s="161">
        <f>-INDEX(Parameters!$B:$B,MATCH(AD$3,Parameters!$A:$A,0))*$AC44</f>
        <v>0</v>
      </c>
      <c r="AE44" s="161">
        <f>-INDEX(Parameters!$B:$B,MATCH(AE$3,Parameters!$A:$A,0))*$AC44</f>
        <v>0</v>
      </c>
      <c r="AF44" s="148">
        <f t="shared" si="27"/>
        <v>1000</v>
      </c>
      <c r="AG44" s="151">
        <f t="shared" si="28"/>
        <v>1027.7777777777778</v>
      </c>
      <c r="AH44" s="123"/>
      <c r="AI44" s="147">
        <f>IF(R44&lt;&gt;"n.a.",MATCH($U44,'Tarieven W&amp;O'!$B:$B,0),"nvt")</f>
        <v>145</v>
      </c>
      <c r="AJ44" s="148">
        <f>IF(AI44&lt;&gt;"nvt",INDEX('Tarieven W&amp;O'!$H:$H,$AI44),0)</f>
        <v>0</v>
      </c>
      <c r="AK44" s="148">
        <f>IF(AI44&lt;&gt;"nvt",INDEX('Tarieven W&amp;O'!$I:$I,$AI44),0)</f>
        <v>5</v>
      </c>
      <c r="AL44" s="277">
        <f>IF(AI44&lt;&gt;"nvt",-INDEX(Parameters!$B:$B,MATCH(AL$3&amp;$M44,Parameters!$A:$A,0))*(AJ44+AK44),0)</f>
        <v>0</v>
      </c>
      <c r="AM44" s="442"/>
      <c r="AN44" s="262">
        <f t="shared" si="29"/>
        <v>5</v>
      </c>
      <c r="AO44" s="262">
        <f>AN44/INDEX(Parameters!$B:$B,MATCH("AfschrijftermijnVVE"&amp;12*$C44,Parameters!$A:$A,0))</f>
        <v>0.1388888888888889</v>
      </c>
      <c r="AP44" s="179">
        <f t="shared" si="30"/>
        <v>145</v>
      </c>
      <c r="AQ44" s="202">
        <f>IF(AP44&lt;&gt;"nvt",INDEX('Tarieven W&amp;O'!$G:$G,$AP44),0)</f>
        <v>22.24</v>
      </c>
      <c r="AR44" s="277">
        <f>-INDEX(Parameters!$B:$B,MATCH(AR$3&amp;$M44&amp;O44,Parameters!$A:$A,0))*(AQ44)</f>
        <v>0</v>
      </c>
      <c r="AS44" s="262">
        <f>Parameters!$D$54</f>
        <v>2</v>
      </c>
      <c r="AT44" s="442">
        <f>IF(M44="WBA CM Ethernet",0,'EDC Minus'!$H$27)</f>
        <v>1</v>
      </c>
      <c r="AU44" s="150">
        <f t="shared" si="31"/>
        <v>25.24</v>
      </c>
      <c r="AV44" s="150">
        <f t="shared" si="32"/>
        <v>25.378888888888888</v>
      </c>
      <c r="AW44" s="150"/>
      <c r="AX44" s="150">
        <f>Parameters!$B$6*AV44</f>
        <v>0.2537888888888889</v>
      </c>
      <c r="AY44" s="202">
        <v>0</v>
      </c>
      <c r="AZ44" s="202"/>
      <c r="BA44" s="150">
        <f t="shared" si="33"/>
        <v>0.2537888888888889</v>
      </c>
      <c r="BB44" s="150"/>
      <c r="BC44" s="151">
        <f t="shared" si="34"/>
        <v>25.632677777777776</v>
      </c>
      <c r="BD44" s="209"/>
      <c r="BE44" s="140">
        <f t="shared" si="35"/>
        <v>1002.1451000000001</v>
      </c>
      <c r="BF44" s="141">
        <f t="shared" si="36"/>
        <v>0.97506009729729737</v>
      </c>
      <c r="BG44" s="142" t="b">
        <f t="shared" si="37"/>
        <v>0</v>
      </c>
      <c r="BH44" s="148"/>
      <c r="BI44" s="188" t="s">
        <v>538</v>
      </c>
      <c r="BJ44" s="189"/>
      <c r="BK44">
        <f>VLOOKUP(J44,'Tarieven ZM'!$B$7:$I$146,8,0)</f>
        <v>0</v>
      </c>
      <c r="BL44" s="179" t="str">
        <f>INDEX(Mapping!$M:$M,MATCH($J44,Mapping!$B:$B,0))</f>
        <v>Premium &gt; 2/2Mbps</v>
      </c>
      <c r="BM44" s="282">
        <v>0</v>
      </c>
      <c r="BN44" s="262">
        <f>BM44/INDEX(Parameters!$B:$B,MATCH("AfschrijftermijnVVE"&amp;12*$C44,Parameters!$A:$A,0))</f>
        <v>0</v>
      </c>
      <c r="BO44" s="262">
        <f>Parameters!$D$59+INDEX('inkoop ULL tbv Epacity'!I:I,MATCH($BL44,'inkoop ULL tbv Epacity'!H:H,0))</f>
        <v>17.02</v>
      </c>
      <c r="BP44" s="263">
        <f t="shared" si="16"/>
        <v>17.02</v>
      </c>
      <c r="BQ44" s="203"/>
      <c r="BR44" s="262">
        <f>Parameters!$B$12*AG44</f>
        <v>102.77777777777779</v>
      </c>
      <c r="BS44" s="262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SUM(Distributievergoedingen!$F$12,Distributievergoedingen!$I$12,Distributievergoedingen!$L$12,Distributievergoedingen!$O$12)*AF44+SUM(Distributievergoedingen!$O$12*AA44+Distributievergoedingen!$R$12+Distributievergoedingen!$U$12+Distributievergoedingen!$X$12)/(MAX(36,12*L44))</f>
        <v>112.77777777777777</v>
      </c>
      <c r="BT44" s="202"/>
      <c r="BU44" s="202">
        <f t="shared" si="38"/>
        <v>215.55555555555554</v>
      </c>
      <c r="BW44" s="151">
        <f t="shared" si="39"/>
        <v>232.57555555555555</v>
      </c>
      <c r="BY44" s="140">
        <f t="shared" si="40"/>
        <v>795.2022222222223</v>
      </c>
      <c r="BZ44" s="141">
        <f t="shared" si="41"/>
        <v>0.77371027027027028</v>
      </c>
      <c r="CA44" s="142" t="b">
        <f t="shared" si="42"/>
        <v>0</v>
      </c>
    </row>
    <row r="45" spans="1:79" s="203" customFormat="1">
      <c r="A45" s="273" t="str">
        <f t="shared" si="22"/>
        <v>1SA IPVPNEntrynationaal1024/1024 tbv alarm</v>
      </c>
      <c r="B45" s="274" t="str">
        <f t="shared" si="23"/>
        <v>1SA IPVPN1024/1024 tbv alarmEntry</v>
      </c>
      <c r="C45" s="275">
        <v>1</v>
      </c>
      <c r="D45" s="275" t="s">
        <v>93</v>
      </c>
      <c r="E45" s="275" t="s">
        <v>78</v>
      </c>
      <c r="F45" s="275" t="s">
        <v>115</v>
      </c>
      <c r="G45" s="201" t="s">
        <v>113</v>
      </c>
      <c r="H45" s="438" t="s">
        <v>1249</v>
      </c>
      <c r="J45" s="274" t="str">
        <f t="shared" si="24"/>
        <v>SA IPVPN1024/1024 tbv alarmEntry</v>
      </c>
      <c r="L45" s="273">
        <f>INDEX(Mapping!$J:$J,MATCH(C$3&amp;C45,Mapping!$B:$B,0))</f>
        <v>1</v>
      </c>
      <c r="M45" s="179" t="str">
        <f>INDEX(Mapping!$H:$H,MATCH($E45,Mapping!$B:$B,0))</f>
        <v>WBA CM Ethernet</v>
      </c>
      <c r="N45" s="179" t="str">
        <f>INDEX(Mapping!$I:$I,MATCH($E45&amp;$G45,Mapping!$B:$B,0))</f>
        <v>entry</v>
      </c>
      <c r="O45" s="179" t="str">
        <f>INDEX(Mapping!$I:$I,MATCH($D45,Mapping!$B:$B,0))</f>
        <v>FttH</v>
      </c>
      <c r="P45" s="179" t="str">
        <f>INDEX(Mapping!$H:$H,MATCH($F45,Mapping!$B:$B,0))</f>
        <v>nvt</v>
      </c>
      <c r="Q45" s="179" t="str">
        <f>INDEX(Mapping!$J:$J,MATCH($E45&amp;$G45,Mapping!$B:$B,0))</f>
        <v>national</v>
      </c>
      <c r="R45" s="179" t="str">
        <f>INDEX(Mapping!$I:$I,MATCH($J45,Mapping!$B:$B,0))</f>
        <v>≤50/50 Mbps</v>
      </c>
      <c r="T45" s="179" t="str">
        <f>INDEX(Mapping!$K:$K,MATCH($E45&amp;$G45,Mapping!$B:$B,0))</f>
        <v>nvt</v>
      </c>
      <c r="U45" s="274" t="str">
        <f t="shared" si="25"/>
        <v>WBA CM Ethernet≤50/50 Mbpsentrynational</v>
      </c>
      <c r="W45" s="273">
        <f>MATCH($J45,'Tarieven ZM'!$B:$B,0)</f>
        <v>49</v>
      </c>
      <c r="X45" s="179">
        <f>INDEX('Tarieven ZM'!$H:$H,$W45)</f>
        <v>1000</v>
      </c>
      <c r="Y45" s="276">
        <f>-INDEX(Parameters!$B:$B,MATCH(Y$3,Parameters!$A:$A,0))*$X45</f>
        <v>0</v>
      </c>
      <c r="Z45" s="277">
        <f>-INDEX(Parameters!$B:$B,MATCH(Z$3,Parameters!$A:$A,0))*$X45</f>
        <v>0</v>
      </c>
      <c r="AA45" s="179">
        <f t="shared" si="26"/>
        <v>1000</v>
      </c>
      <c r="AB45" s="179">
        <f>AA45/INDEX(Parameters!$B:$B,MATCH("AfschrijftermijnVVE"&amp;12*$C45,Parameters!$A:$A,0))</f>
        <v>27.777777777777779</v>
      </c>
      <c r="AC45" s="179">
        <f>INDEX('Tarieven ZM'!$G:$G,$W45)</f>
        <v>1000</v>
      </c>
      <c r="AD45" s="276">
        <f>-INDEX(Parameters!$B:$B,MATCH(AD$3,Parameters!$A:$A,0))*$AC45</f>
        <v>0</v>
      </c>
      <c r="AE45" s="276">
        <f>-INDEX(Parameters!$B:$B,MATCH(AE$3,Parameters!$A:$A,0))*$AC45</f>
        <v>0</v>
      </c>
      <c r="AF45" s="179">
        <f t="shared" si="27"/>
        <v>1000</v>
      </c>
      <c r="AG45" s="278">
        <f t="shared" si="28"/>
        <v>1027.7777777777778</v>
      </c>
      <c r="AH45" s="209"/>
      <c r="AI45" s="279">
        <f>IF(R45&lt;&gt;"n.a.",MATCH($U45,'Tarieven W&amp;O'!$B:$B,0),"nvt")</f>
        <v>126</v>
      </c>
      <c r="AJ45" s="179">
        <f>IF(AI45&lt;&gt;"nvt",INDEX('Tarieven W&amp;O'!$H:$H,$AI45),0)</f>
        <v>0</v>
      </c>
      <c r="AK45" s="179">
        <f>IF(AI45&lt;&gt;"nvt",INDEX('Tarieven W&amp;O'!$I:$I,$AI45),0)</f>
        <v>5</v>
      </c>
      <c r="AL45" s="277">
        <f>IF(AI45&lt;&gt;"nvt",-INDEX(Parameters!$B:$B,MATCH(AL$3&amp;$M45,Parameters!$A:$A,0))*(AJ45+AK45),0)</f>
        <v>0</v>
      </c>
      <c r="AM45" s="442"/>
      <c r="AN45" s="262">
        <f t="shared" si="29"/>
        <v>5</v>
      </c>
      <c r="AO45" s="262">
        <f>AN45/INDEX(Parameters!$B:$B,MATCH("AfschrijftermijnVVE"&amp;12*$C45,Parameters!$A:$A,0))</f>
        <v>0.1388888888888889</v>
      </c>
      <c r="AP45" s="179">
        <f t="shared" si="30"/>
        <v>126</v>
      </c>
      <c r="AQ45" s="202">
        <f>IF(AP45&lt;&gt;"nvt",INDEX('Tarieven W&amp;O'!$G:$G,$AP45),0)</f>
        <v>7.43</v>
      </c>
      <c r="AR45" s="277">
        <f>-INDEX(Parameters!$B:$B,MATCH(AR$3&amp;$M45&amp;O45,Parameters!$A:$A,0))*(AQ45)</f>
        <v>0</v>
      </c>
      <c r="AS45" s="262">
        <f>Parameters!$D$54</f>
        <v>2</v>
      </c>
      <c r="AT45" s="442">
        <f>IF(M45="WBA CM Ethernet",0,'EDC Minus'!$H$27)</f>
        <v>0</v>
      </c>
      <c r="AU45" s="202">
        <f t="shared" si="31"/>
        <v>9.43</v>
      </c>
      <c r="AV45" s="202">
        <f t="shared" si="32"/>
        <v>9.568888888888889</v>
      </c>
      <c r="AW45" s="202"/>
      <c r="AX45" s="202">
        <f>Parameters!$B$6*AV45</f>
        <v>9.5688888888888893E-2</v>
      </c>
      <c r="AY45" s="202">
        <v>0</v>
      </c>
      <c r="AZ45" s="202"/>
      <c r="BA45" s="202">
        <f t="shared" si="33"/>
        <v>9.5688888888888893E-2</v>
      </c>
      <c r="BB45" s="202"/>
      <c r="BC45" s="278">
        <f t="shared" si="34"/>
        <v>9.6645777777777777</v>
      </c>
      <c r="BD45" s="209"/>
      <c r="BE45" s="280">
        <f t="shared" si="35"/>
        <v>1018.1132</v>
      </c>
      <c r="BF45" s="264">
        <f t="shared" si="36"/>
        <v>0.990596627027027</v>
      </c>
      <c r="BG45" s="274" t="b">
        <f t="shared" si="37"/>
        <v>0</v>
      </c>
      <c r="BH45" s="179"/>
      <c r="BI45" s="443" t="s">
        <v>538</v>
      </c>
      <c r="BJ45" s="281"/>
      <c r="BK45" s="203">
        <f>VLOOKUP(J45,'Tarieven ZM'!$B$7:$I$146,8,0)</f>
        <v>0</v>
      </c>
      <c r="BL45" s="179" t="str">
        <f>INDEX(Mapping!$M:$M,MATCH($J45,Mapping!$B:$B,0))</f>
        <v>nvt</v>
      </c>
      <c r="BM45" s="282">
        <v>0</v>
      </c>
      <c r="BN45" s="262">
        <f>BM45/INDEX(Parameters!$B:$B,MATCH("AfschrijftermijnVVE"&amp;12*$C45,Parameters!$A:$A,0))</f>
        <v>0</v>
      </c>
      <c r="BO45" s="262">
        <f>Parameters!$D$59+INDEX('inkoop ULL tbv Epacity'!I:I,MATCH($BL45,'inkoop ULL tbv Epacity'!H:H,0))</f>
        <v>1</v>
      </c>
      <c r="BP45" s="263">
        <f t="shared" si="16"/>
        <v>1</v>
      </c>
      <c r="BR45" s="262">
        <f>Parameters!$B$12*AG45</f>
        <v>102.77777777777779</v>
      </c>
      <c r="BS45" s="262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SUM(Distributievergoedingen!$F$12,Distributievergoedingen!$I$12,Distributievergoedingen!$L$12,Distributievergoedingen!$O$12)*AF45+SUM(Distributievergoedingen!$O$12*AA45+Distributievergoedingen!$R$12+Distributievergoedingen!$U$12+Distributievergoedingen!$X$12)/(MAX(36,12*L45))</f>
        <v>112.77777777777777</v>
      </c>
      <c r="BT45" s="202"/>
      <c r="BU45" s="202">
        <f t="shared" si="38"/>
        <v>215.55555555555554</v>
      </c>
      <c r="BW45" s="278">
        <f t="shared" si="39"/>
        <v>216.55555555555554</v>
      </c>
      <c r="BY45" s="280">
        <f t="shared" si="40"/>
        <v>811.22222222222229</v>
      </c>
      <c r="BZ45" s="264">
        <f t="shared" si="41"/>
        <v>0.78929729729729736</v>
      </c>
      <c r="CA45" s="274" t="b">
        <f t="shared" si="42"/>
        <v>0</v>
      </c>
    </row>
    <row r="46" spans="1:79">
      <c r="A46" s="160" t="str">
        <f t="shared" si="22"/>
        <v>1SA IPVPNEntrynationaal51200/51200</v>
      </c>
      <c r="B46" s="142" t="str">
        <f t="shared" si="23"/>
        <v>1SA IPVPN51200/51200Entry</v>
      </c>
      <c r="C46" s="198">
        <v>1</v>
      </c>
      <c r="D46" s="198" t="s">
        <v>93</v>
      </c>
      <c r="E46" s="198" t="s">
        <v>78</v>
      </c>
      <c r="F46" s="198" t="s">
        <v>115</v>
      </c>
      <c r="G46" s="199" t="s">
        <v>113</v>
      </c>
      <c r="H46" s="198" t="s">
        <v>100</v>
      </c>
      <c r="J46" s="142" t="str">
        <f t="shared" si="24"/>
        <v>SA IPVPN51200/51200Entry</v>
      </c>
      <c r="L46" s="160">
        <f>INDEX(Mapping!$J:$J,MATCH(C$3&amp;C46,Mapping!$B:$B,0))</f>
        <v>1</v>
      </c>
      <c r="M46" s="148" t="str">
        <f>INDEX(Mapping!$H:$H,MATCH($E46,Mapping!$B:$B,0))</f>
        <v>WBA CM Ethernet</v>
      </c>
      <c r="N46" s="148" t="str">
        <f>INDEX(Mapping!$I:$I,MATCH($E46&amp;$G46,Mapping!$B:$B,0))</f>
        <v>entry</v>
      </c>
      <c r="O46" s="148" t="str">
        <f>INDEX(Mapping!$I:$I,MATCH($D46,Mapping!$B:$B,0))</f>
        <v>FttH</v>
      </c>
      <c r="P46" s="148" t="str">
        <f>INDEX(Mapping!$H:$H,MATCH($F46,Mapping!$B:$B,0))</f>
        <v>nvt</v>
      </c>
      <c r="Q46" s="148" t="str">
        <f>INDEX(Mapping!$J:$J,MATCH($E46&amp;$G46,Mapping!$B:$B,0))</f>
        <v>national</v>
      </c>
      <c r="R46" s="148" t="str">
        <f>INDEX(Mapping!$I:$I,MATCH($J46,Mapping!$B:$B,0))</f>
        <v>≤50/50 Mbps</v>
      </c>
      <c r="T46" s="148" t="str">
        <f>INDEX(Mapping!$K:$K,MATCH($E46&amp;$G46,Mapping!$B:$B,0))</f>
        <v>nvt</v>
      </c>
      <c r="U46" s="142" t="str">
        <f t="shared" si="25"/>
        <v>WBA CM Ethernet≤50/50 Mbpsentrynational</v>
      </c>
      <c r="W46" s="160">
        <f>MATCH($J46,'Tarieven ZM'!$B:$B,0)</f>
        <v>50</v>
      </c>
      <c r="X46" s="148">
        <f>INDEX('Tarieven ZM'!$H:$H,$W46)</f>
        <v>1000</v>
      </c>
      <c r="Y46" s="161">
        <f>-INDEX(Parameters!$B:$B,MATCH(Y$3,Parameters!$A:$A,0))*$X46</f>
        <v>0</v>
      </c>
      <c r="Z46" s="149">
        <f>-INDEX(Parameters!$B:$B,MATCH(Z$3,Parameters!$A:$A,0))*$X46</f>
        <v>0</v>
      </c>
      <c r="AA46" s="148">
        <f t="shared" si="26"/>
        <v>1000</v>
      </c>
      <c r="AB46" s="148">
        <f>AA46/INDEX(Parameters!$B:$B,MATCH("AfschrijftermijnVVE"&amp;12*$C46,Parameters!$A:$A,0))</f>
        <v>27.777777777777779</v>
      </c>
      <c r="AC46" s="148">
        <f>INDEX('Tarieven ZM'!$G:$G,$W46)</f>
        <v>1000</v>
      </c>
      <c r="AD46" s="161">
        <f>-INDEX(Parameters!$B:$B,MATCH(AD$3,Parameters!$A:$A,0))*$AC46</f>
        <v>0</v>
      </c>
      <c r="AE46" s="161">
        <f>-INDEX(Parameters!$B:$B,MATCH(AE$3,Parameters!$A:$A,0))*$AC46</f>
        <v>0</v>
      </c>
      <c r="AF46" s="148">
        <f t="shared" si="27"/>
        <v>1000</v>
      </c>
      <c r="AG46" s="151">
        <f t="shared" si="28"/>
        <v>1027.7777777777778</v>
      </c>
      <c r="AH46" s="123"/>
      <c r="AI46" s="147">
        <f>IF(R46&lt;&gt;"n.a.",MATCH($U46,'Tarieven W&amp;O'!$B:$B,0),"nvt")</f>
        <v>126</v>
      </c>
      <c r="AJ46" s="148">
        <f>IF(AI46&lt;&gt;"nvt",INDEX('Tarieven W&amp;O'!$H:$H,$AI46),0)</f>
        <v>0</v>
      </c>
      <c r="AK46" s="148">
        <f>IF(AI46&lt;&gt;"nvt",INDEX('Tarieven W&amp;O'!$I:$I,$AI46),0)</f>
        <v>5</v>
      </c>
      <c r="AL46" s="277">
        <f>IF(AI46&lt;&gt;"nvt",-INDEX(Parameters!$B:$B,MATCH(AL$3&amp;$M46,Parameters!$A:$A,0))*(AJ46+AK46),0)</f>
        <v>0</v>
      </c>
      <c r="AM46" s="442"/>
      <c r="AN46" s="262">
        <f t="shared" si="29"/>
        <v>5</v>
      </c>
      <c r="AO46" s="262">
        <f>AN46/INDEX(Parameters!$B:$B,MATCH("AfschrijftermijnVVE"&amp;12*$C46,Parameters!$A:$A,0))</f>
        <v>0.1388888888888889</v>
      </c>
      <c r="AP46" s="179">
        <f t="shared" si="30"/>
        <v>126</v>
      </c>
      <c r="AQ46" s="202">
        <f>IF(AP46&lt;&gt;"nvt",INDEX('Tarieven W&amp;O'!$G:$G,$AP46),0)</f>
        <v>7.43</v>
      </c>
      <c r="AR46" s="277">
        <f>-INDEX(Parameters!$B:$B,MATCH(AR$3&amp;$M46&amp;O46,Parameters!$A:$A,0))*(AQ46)</f>
        <v>0</v>
      </c>
      <c r="AS46" s="262">
        <f>Parameters!$D$54</f>
        <v>2</v>
      </c>
      <c r="AT46" s="442">
        <f>IF(M46="WBA CM Ethernet",0,'EDC Minus'!$H$27)</f>
        <v>0</v>
      </c>
      <c r="AU46" s="150">
        <f t="shared" si="31"/>
        <v>9.43</v>
      </c>
      <c r="AV46" s="150">
        <f t="shared" si="32"/>
        <v>9.568888888888889</v>
      </c>
      <c r="AW46" s="150"/>
      <c r="AX46" s="150">
        <f>Parameters!$B$6*AV46</f>
        <v>9.5688888888888893E-2</v>
      </c>
      <c r="AY46" s="202">
        <v>0</v>
      </c>
      <c r="AZ46" s="202"/>
      <c r="BA46" s="150">
        <f t="shared" si="33"/>
        <v>9.5688888888888893E-2</v>
      </c>
      <c r="BB46" s="150"/>
      <c r="BC46" s="151">
        <f t="shared" si="34"/>
        <v>9.6645777777777777</v>
      </c>
      <c r="BD46" s="209"/>
      <c r="BE46" s="140">
        <f t="shared" si="35"/>
        <v>1018.1132</v>
      </c>
      <c r="BF46" s="141">
        <f t="shared" si="36"/>
        <v>0.990596627027027</v>
      </c>
      <c r="BG46" s="142" t="b">
        <f t="shared" si="37"/>
        <v>0</v>
      </c>
      <c r="BH46" s="148"/>
      <c r="BI46" s="188" t="s">
        <v>538</v>
      </c>
      <c r="BJ46" s="189"/>
      <c r="BK46">
        <f>VLOOKUP(J46,'Tarieven ZM'!$B$7:$I$146,8,0)</f>
        <v>0</v>
      </c>
      <c r="BL46" s="179" t="str">
        <f>INDEX(Mapping!$M:$M,MATCH($J46,Mapping!$B:$B,0))</f>
        <v>nvt</v>
      </c>
      <c r="BM46" s="282">
        <v>0</v>
      </c>
      <c r="BN46" s="262">
        <f>BM46/INDEX(Parameters!$B:$B,MATCH("AfschrijftermijnVVE"&amp;12*$C46,Parameters!$A:$A,0))</f>
        <v>0</v>
      </c>
      <c r="BO46" s="262">
        <f>Parameters!$D$59+INDEX('inkoop ULL tbv Epacity'!I:I,MATCH($BL46,'inkoop ULL tbv Epacity'!H:H,0))</f>
        <v>1</v>
      </c>
      <c r="BP46" s="263">
        <f t="shared" si="16"/>
        <v>1</v>
      </c>
      <c r="BQ46" s="203"/>
      <c r="BR46" s="262">
        <f>Parameters!$B$12*AG46</f>
        <v>102.77777777777779</v>
      </c>
      <c r="BS46" s="262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SUM(Distributievergoedingen!$F$12,Distributievergoedingen!$I$12,Distributievergoedingen!$L$12,Distributievergoedingen!$O$12)*AF46+SUM(Distributievergoedingen!$O$12*AA46+Distributievergoedingen!$R$12+Distributievergoedingen!$U$12+Distributievergoedingen!$X$12)/(MAX(36,12*L46))</f>
        <v>112.77777777777777</v>
      </c>
      <c r="BT46" s="202"/>
      <c r="BU46" s="202">
        <f t="shared" si="38"/>
        <v>215.55555555555554</v>
      </c>
      <c r="BW46" s="151">
        <f t="shared" si="39"/>
        <v>216.55555555555554</v>
      </c>
      <c r="BY46" s="140">
        <f t="shared" si="40"/>
        <v>811.22222222222229</v>
      </c>
      <c r="BZ46" s="141">
        <f t="shared" si="41"/>
        <v>0.78929729729729736</v>
      </c>
      <c r="CA46" s="142" t="b">
        <f t="shared" si="42"/>
        <v>0</v>
      </c>
    </row>
    <row r="47" spans="1:79">
      <c r="A47" s="160" t="str">
        <f t="shared" si="22"/>
        <v>1SA IPVPNEntrynationaal100000/100000</v>
      </c>
      <c r="B47" s="142" t="str">
        <f t="shared" si="23"/>
        <v>1SA IPVPN100000/100000Entry</v>
      </c>
      <c r="C47" s="198">
        <v>1</v>
      </c>
      <c r="D47" s="198" t="s">
        <v>93</v>
      </c>
      <c r="E47" s="198" t="s">
        <v>78</v>
      </c>
      <c r="F47" s="198" t="s">
        <v>115</v>
      </c>
      <c r="G47" s="199" t="s">
        <v>113</v>
      </c>
      <c r="H47" s="198" t="s">
        <v>101</v>
      </c>
      <c r="J47" s="142" t="str">
        <f t="shared" si="24"/>
        <v>SA IPVPN100000/100000Entry</v>
      </c>
      <c r="L47" s="160">
        <f>INDEX(Mapping!$J:$J,MATCH(C$3&amp;C47,Mapping!$B:$B,0))</f>
        <v>1</v>
      </c>
      <c r="M47" s="148" t="str">
        <f>INDEX(Mapping!$H:$H,MATCH($E47,Mapping!$B:$B,0))</f>
        <v>WBA CM Ethernet</v>
      </c>
      <c r="N47" s="148" t="str">
        <f>INDEX(Mapping!$I:$I,MATCH($E47&amp;$G47,Mapping!$B:$B,0))</f>
        <v>entry</v>
      </c>
      <c r="O47" s="148" t="str">
        <f>INDEX(Mapping!$I:$I,MATCH($D47,Mapping!$B:$B,0))</f>
        <v>FttH</v>
      </c>
      <c r="P47" s="148" t="str">
        <f>INDEX(Mapping!$H:$H,MATCH($F47,Mapping!$B:$B,0))</f>
        <v>nvt</v>
      </c>
      <c r="Q47" s="148" t="str">
        <f>INDEX(Mapping!$J:$J,MATCH($E47&amp;$G47,Mapping!$B:$B,0))</f>
        <v>national</v>
      </c>
      <c r="R47" s="148" t="str">
        <f>INDEX(Mapping!$I:$I,MATCH($J47,Mapping!$B:$B,0))</f>
        <v>≤100/100 Mbps</v>
      </c>
      <c r="T47" s="148" t="str">
        <f>INDEX(Mapping!$K:$K,MATCH($E47&amp;$G47,Mapping!$B:$B,0))</f>
        <v>nvt</v>
      </c>
      <c r="U47" s="142" t="str">
        <f t="shared" si="25"/>
        <v>WBA CM Ethernet≤100/100 Mbpsentrynational</v>
      </c>
      <c r="W47" s="160">
        <f>MATCH($J47,'Tarieven ZM'!$B:$B,0)</f>
        <v>51</v>
      </c>
      <c r="X47" s="148">
        <f>INDEX('Tarieven ZM'!$H:$H,$W47)</f>
        <v>1000</v>
      </c>
      <c r="Y47" s="161">
        <f>-INDEX(Parameters!$B:$B,MATCH(Y$3,Parameters!$A:$A,0))*$X47</f>
        <v>0</v>
      </c>
      <c r="Z47" s="149">
        <f>-INDEX(Parameters!$B:$B,MATCH(Z$3,Parameters!$A:$A,0))*$X47</f>
        <v>0</v>
      </c>
      <c r="AA47" s="148">
        <f t="shared" si="26"/>
        <v>1000</v>
      </c>
      <c r="AB47" s="148">
        <f>AA47/INDEX(Parameters!$B:$B,MATCH("AfschrijftermijnVVE"&amp;12*$C47,Parameters!$A:$A,0))</f>
        <v>27.777777777777779</v>
      </c>
      <c r="AC47" s="148">
        <f>INDEX('Tarieven ZM'!$G:$G,$W47)</f>
        <v>1000</v>
      </c>
      <c r="AD47" s="161">
        <f>-INDEX(Parameters!$B:$B,MATCH(AD$3,Parameters!$A:$A,0))*$AC47</f>
        <v>0</v>
      </c>
      <c r="AE47" s="161">
        <f>-INDEX(Parameters!$B:$B,MATCH(AE$3,Parameters!$A:$A,0))*$AC47</f>
        <v>0</v>
      </c>
      <c r="AF47" s="148">
        <f t="shared" si="27"/>
        <v>1000</v>
      </c>
      <c r="AG47" s="151">
        <f t="shared" si="28"/>
        <v>1027.7777777777778</v>
      </c>
      <c r="AH47" s="123"/>
      <c r="AI47" s="147">
        <f>IF(R47&lt;&gt;"n.a.",MATCH($U47,'Tarieven W&amp;O'!$B:$B,0),"nvt")</f>
        <v>127</v>
      </c>
      <c r="AJ47" s="148">
        <f>IF(AI47&lt;&gt;"nvt",INDEX('Tarieven W&amp;O'!$H:$H,$AI47),0)</f>
        <v>0</v>
      </c>
      <c r="AK47" s="148">
        <f>IF(AI47&lt;&gt;"nvt",INDEX('Tarieven W&amp;O'!$I:$I,$AI47),0)</f>
        <v>5</v>
      </c>
      <c r="AL47" s="277">
        <f>IF(AI47&lt;&gt;"nvt",-INDEX(Parameters!$B:$B,MATCH(AL$3&amp;$M47,Parameters!$A:$A,0))*(AJ47+AK47),0)</f>
        <v>0</v>
      </c>
      <c r="AM47" s="442"/>
      <c r="AN47" s="262">
        <f t="shared" si="29"/>
        <v>5</v>
      </c>
      <c r="AO47" s="262">
        <f>AN47/INDEX(Parameters!$B:$B,MATCH("AfschrijftermijnVVE"&amp;12*$C47,Parameters!$A:$A,0))</f>
        <v>0.1388888888888889</v>
      </c>
      <c r="AP47" s="179">
        <f t="shared" si="30"/>
        <v>127</v>
      </c>
      <c r="AQ47" s="202">
        <f>IF(AP47&lt;&gt;"nvt",INDEX('Tarieven W&amp;O'!$G:$G,$AP47),0)</f>
        <v>11.08</v>
      </c>
      <c r="AR47" s="277">
        <f>-INDEX(Parameters!$B:$B,MATCH(AR$3&amp;$M47&amp;O47,Parameters!$A:$A,0))*(AQ47)</f>
        <v>0</v>
      </c>
      <c r="AS47" s="262">
        <f>Parameters!$D$54</f>
        <v>2</v>
      </c>
      <c r="AT47" s="442">
        <f>IF(M47="WBA CM Ethernet",0,'EDC Minus'!$H$27)</f>
        <v>0</v>
      </c>
      <c r="AU47" s="150">
        <f t="shared" si="31"/>
        <v>13.08</v>
      </c>
      <c r="AV47" s="150">
        <f t="shared" si="32"/>
        <v>13.218888888888889</v>
      </c>
      <c r="AW47" s="150"/>
      <c r="AX47" s="150">
        <f>Parameters!$B$6*AV47</f>
        <v>0.13218888888888888</v>
      </c>
      <c r="AY47" s="202">
        <v>0</v>
      </c>
      <c r="AZ47" s="202"/>
      <c r="BA47" s="150">
        <f t="shared" si="33"/>
        <v>0.13218888888888888</v>
      </c>
      <c r="BB47" s="150"/>
      <c r="BC47" s="151">
        <f t="shared" si="34"/>
        <v>13.351077777777778</v>
      </c>
      <c r="BD47" s="209"/>
      <c r="BE47" s="140">
        <f t="shared" si="35"/>
        <v>1014.4267000000001</v>
      </c>
      <c r="BF47" s="141">
        <f t="shared" si="36"/>
        <v>0.98700976216216219</v>
      </c>
      <c r="BG47" s="142" t="b">
        <f t="shared" si="37"/>
        <v>0</v>
      </c>
      <c r="BH47" s="148"/>
      <c r="BI47" s="188" t="s">
        <v>538</v>
      </c>
      <c r="BJ47" s="189"/>
      <c r="BK47">
        <f>VLOOKUP(J47,'Tarieven ZM'!$B$7:$I$146,8,0)</f>
        <v>0</v>
      </c>
      <c r="BL47" s="179" t="str">
        <f>INDEX(Mapping!$M:$M,MATCH($J47,Mapping!$B:$B,0))</f>
        <v>nvt</v>
      </c>
      <c r="BM47" s="282">
        <v>0</v>
      </c>
      <c r="BN47" s="262">
        <f>BM47/INDEX(Parameters!$B:$B,MATCH("AfschrijftermijnVVE"&amp;12*$C47,Parameters!$A:$A,0))</f>
        <v>0</v>
      </c>
      <c r="BO47" s="262">
        <f>Parameters!$D$59+INDEX('inkoop ULL tbv Epacity'!I:I,MATCH($BL47,'inkoop ULL tbv Epacity'!H:H,0))</f>
        <v>1</v>
      </c>
      <c r="BP47" s="263">
        <f t="shared" si="16"/>
        <v>1</v>
      </c>
      <c r="BQ47" s="203"/>
      <c r="BR47" s="262">
        <f>Parameters!$B$12*AG47</f>
        <v>102.77777777777779</v>
      </c>
      <c r="BS47" s="262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SUM(Distributievergoedingen!$F$12,Distributievergoedingen!$I$12,Distributievergoedingen!$L$12,Distributievergoedingen!$O$12)*AF47+SUM(Distributievergoedingen!$O$12*AA47+Distributievergoedingen!$R$12+Distributievergoedingen!$U$12+Distributievergoedingen!$X$12)/(MAX(36,12*L47))</f>
        <v>112.77777777777777</v>
      </c>
      <c r="BT47" s="202"/>
      <c r="BU47" s="202">
        <f t="shared" si="38"/>
        <v>215.55555555555554</v>
      </c>
      <c r="BW47" s="151">
        <f t="shared" si="39"/>
        <v>216.55555555555554</v>
      </c>
      <c r="BY47" s="140">
        <f t="shared" si="40"/>
        <v>811.22222222222229</v>
      </c>
      <c r="BZ47" s="141">
        <f t="shared" si="41"/>
        <v>0.78929729729729736</v>
      </c>
      <c r="CA47" s="142" t="b">
        <f t="shared" si="42"/>
        <v>0</v>
      </c>
    </row>
    <row r="48" spans="1:79">
      <c r="A48" s="160" t="str">
        <f t="shared" si="22"/>
        <v>1SA IPVPNPremiumnationaal1024/1024</v>
      </c>
      <c r="B48" s="142" t="str">
        <f t="shared" si="23"/>
        <v>1SA IPVPN1024/1024Premium</v>
      </c>
      <c r="C48" s="198">
        <v>1</v>
      </c>
      <c r="D48" s="198" t="s">
        <v>93</v>
      </c>
      <c r="E48" s="198" t="s">
        <v>70</v>
      </c>
      <c r="F48" s="198" t="s">
        <v>115</v>
      </c>
      <c r="G48" s="199" t="s">
        <v>113</v>
      </c>
      <c r="H48" s="198" t="s">
        <v>66</v>
      </c>
      <c r="J48" s="142" t="str">
        <f t="shared" si="24"/>
        <v>SA IPVPN1024/1024Premium</v>
      </c>
      <c r="L48" s="160">
        <f>INDEX(Mapping!$J:$J,MATCH(C$3&amp;C48,Mapping!$B:$B,0))</f>
        <v>1</v>
      </c>
      <c r="M48" s="148" t="str">
        <f>INDEX(Mapping!$H:$H,MATCH($E48,Mapping!$B:$B,0))</f>
        <v>WBA ZM Ethernet</v>
      </c>
      <c r="N48" s="148" t="str">
        <f>INDEX(Mapping!$I:$I,MATCH($E48&amp;$G48,Mapping!$B:$B,0))</f>
        <v>premium</v>
      </c>
      <c r="O48" s="148" t="str">
        <f>INDEX(Mapping!$I:$I,MATCH($D48,Mapping!$B:$B,0))</f>
        <v>FttH</v>
      </c>
      <c r="P48" s="148" t="str">
        <f>INDEX(Mapping!$H:$H,MATCH($F48,Mapping!$B:$B,0))</f>
        <v>nvt</v>
      </c>
      <c r="Q48" s="148" t="str">
        <f>INDEX(Mapping!$J:$J,MATCH($E48&amp;$G48,Mapping!$B:$B,0))</f>
        <v>metro</v>
      </c>
      <c r="R48" s="148" t="str">
        <f>INDEX(Mapping!$I:$I,MATCH($J48,Mapping!$B:$B,0))</f>
        <v>1 Mbps/1 Mbps</v>
      </c>
      <c r="T48" s="148" t="str">
        <f>INDEX(Mapping!$K:$K,MATCH($E48&amp;$G48,Mapping!$B:$B,0))</f>
        <v>metro-nationaal</v>
      </c>
      <c r="U48" s="142" t="str">
        <f t="shared" si="25"/>
        <v>WBA ZM Ethernet1 Mbps/1 Mbpspremiummetro</v>
      </c>
      <c r="W48" s="160">
        <f>MATCH($J48,'Tarieven ZM'!$B:$B,0)</f>
        <v>52</v>
      </c>
      <c r="X48" s="148">
        <f>INDEX('Tarieven ZM'!$H:$H,$W48)</f>
        <v>1000</v>
      </c>
      <c r="Y48" s="161">
        <f>-INDEX(Parameters!$B:$B,MATCH(Y$3,Parameters!$A:$A,0))*$X48</f>
        <v>0</v>
      </c>
      <c r="Z48" s="149">
        <f>-INDEX(Parameters!$B:$B,MATCH(Z$3,Parameters!$A:$A,0))*$X48</f>
        <v>0</v>
      </c>
      <c r="AA48" s="148">
        <f t="shared" si="26"/>
        <v>1000</v>
      </c>
      <c r="AB48" s="148">
        <f>AA48/INDEX(Parameters!$B:$B,MATCH("AfschrijftermijnVVE"&amp;12*$C48,Parameters!$A:$A,0))</f>
        <v>27.777777777777779</v>
      </c>
      <c r="AC48" s="148">
        <f>INDEX('Tarieven ZM'!$G:$G,$W48)</f>
        <v>1000</v>
      </c>
      <c r="AD48" s="161">
        <f>-INDEX(Parameters!$B:$B,MATCH(AD$3,Parameters!$A:$A,0))*$AC48</f>
        <v>0</v>
      </c>
      <c r="AE48" s="161">
        <f>-INDEX(Parameters!$B:$B,MATCH(AE$3,Parameters!$A:$A,0))*$AC48</f>
        <v>0</v>
      </c>
      <c r="AF48" s="148">
        <f t="shared" si="27"/>
        <v>1000</v>
      </c>
      <c r="AG48" s="151">
        <f t="shared" si="28"/>
        <v>1027.7777777777778</v>
      </c>
      <c r="AH48" s="123"/>
      <c r="AI48" s="147">
        <f>IF(R48&lt;&gt;"n.a.",MATCH($U48,'Tarieven W&amp;O'!$B:$B,0),"nvt")</f>
        <v>138</v>
      </c>
      <c r="AJ48" s="148">
        <f>IF(AI48&lt;&gt;"nvt",INDEX('Tarieven W&amp;O'!$H:$H,$AI48),0)</f>
        <v>0</v>
      </c>
      <c r="AK48" s="148">
        <f>IF(AI48&lt;&gt;"nvt",INDEX('Tarieven W&amp;O'!$I:$I,$AI48),0)</f>
        <v>5</v>
      </c>
      <c r="AL48" s="277">
        <f>IF(AI48&lt;&gt;"nvt",-INDEX(Parameters!$B:$B,MATCH(AL$3&amp;$M48,Parameters!$A:$A,0))*(AJ48+AK48),0)</f>
        <v>0</v>
      </c>
      <c r="AM48" s="442"/>
      <c r="AN48" s="262">
        <f t="shared" si="29"/>
        <v>5</v>
      </c>
      <c r="AO48" s="262">
        <f>AN48/INDEX(Parameters!$B:$B,MATCH("AfschrijftermijnVVE"&amp;12*$C48,Parameters!$A:$A,0))</f>
        <v>0.1388888888888889</v>
      </c>
      <c r="AP48" s="179">
        <f t="shared" si="30"/>
        <v>138</v>
      </c>
      <c r="AQ48" s="202">
        <f>IF(AP48&lt;&gt;"nvt",INDEX('Tarieven W&amp;O'!$G:$G,$AP48),0)</f>
        <v>7.41</v>
      </c>
      <c r="AR48" s="277">
        <f>-INDEX(Parameters!$B:$B,MATCH(AR$3&amp;$M48&amp;O48,Parameters!$A:$A,0))*(AQ48)</f>
        <v>0</v>
      </c>
      <c r="AS48" s="262">
        <f>Parameters!$D$54</f>
        <v>2</v>
      </c>
      <c r="AT48" s="442">
        <f>IF(M48="WBA CM Ethernet",0,'EDC Minus'!$H$27)</f>
        <v>1</v>
      </c>
      <c r="AU48" s="150">
        <f t="shared" si="31"/>
        <v>10.41</v>
      </c>
      <c r="AV48" s="150">
        <f t="shared" si="32"/>
        <v>10.548888888888889</v>
      </c>
      <c r="AW48" s="150"/>
      <c r="AX48" s="150">
        <f>Parameters!$B$6*AV48</f>
        <v>0.1054888888888889</v>
      </c>
      <c r="AY48" s="202">
        <v>0</v>
      </c>
      <c r="AZ48" s="202"/>
      <c r="BA48" s="150">
        <f t="shared" si="33"/>
        <v>0.1054888888888889</v>
      </c>
      <c r="BB48" s="150"/>
      <c r="BC48" s="151">
        <f t="shared" si="34"/>
        <v>10.654377777777778</v>
      </c>
      <c r="BD48" s="209"/>
      <c r="BE48" s="140">
        <f t="shared" si="35"/>
        <v>1017.1234000000001</v>
      </c>
      <c r="BF48" s="141">
        <f t="shared" si="36"/>
        <v>0.9896335783783784</v>
      </c>
      <c r="BG48" s="142" t="b">
        <f t="shared" si="37"/>
        <v>0</v>
      </c>
      <c r="BH48" s="148"/>
      <c r="BI48" s="188" t="s">
        <v>538</v>
      </c>
      <c r="BJ48" s="189"/>
      <c r="BK48">
        <f>VLOOKUP(J48,'Tarieven ZM'!$B$7:$I$146,8,0)</f>
        <v>0</v>
      </c>
      <c r="BL48" s="179" t="str">
        <f>INDEX(Mapping!$M:$M,MATCH($J48,Mapping!$B:$B,0))</f>
        <v>nvt</v>
      </c>
      <c r="BM48" s="282">
        <v>0</v>
      </c>
      <c r="BN48" s="262">
        <f>BM48/INDEX(Parameters!$B:$B,MATCH("AfschrijftermijnVVE"&amp;12*$C48,Parameters!$A:$A,0))</f>
        <v>0</v>
      </c>
      <c r="BO48" s="262">
        <f>Parameters!$D$59+INDEX('inkoop ULL tbv Epacity'!I:I,MATCH($BL48,'inkoop ULL tbv Epacity'!H:H,0))</f>
        <v>1</v>
      </c>
      <c r="BP48" s="263">
        <f t="shared" si="16"/>
        <v>1</v>
      </c>
      <c r="BQ48" s="203"/>
      <c r="BR48" s="262">
        <f>Parameters!$B$12*AG48</f>
        <v>102.77777777777779</v>
      </c>
      <c r="BS48" s="262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SUM(Distributievergoedingen!$F$12,Distributievergoedingen!$I$12,Distributievergoedingen!$L$12,Distributievergoedingen!$O$12)*AF48+SUM(Distributievergoedingen!$O$12*AA48+Distributievergoedingen!$R$12+Distributievergoedingen!$U$12+Distributievergoedingen!$X$12)/(MAX(36,12*L48))</f>
        <v>112.77777777777777</v>
      </c>
      <c r="BT48" s="202"/>
      <c r="BU48" s="202">
        <f t="shared" si="38"/>
        <v>215.55555555555554</v>
      </c>
      <c r="BW48" s="151">
        <f t="shared" si="39"/>
        <v>216.55555555555554</v>
      </c>
      <c r="BY48" s="140">
        <f t="shared" si="40"/>
        <v>811.22222222222229</v>
      </c>
      <c r="BZ48" s="141">
        <f t="shared" si="41"/>
        <v>0.78929729729729736</v>
      </c>
      <c r="CA48" s="142" t="b">
        <f t="shared" si="42"/>
        <v>0</v>
      </c>
    </row>
    <row r="49" spans="1:79">
      <c r="A49" s="160" t="str">
        <f t="shared" si="22"/>
        <v>1SA IPVPNPremiumnationaal2048/2048</v>
      </c>
      <c r="B49" s="142" t="str">
        <f t="shared" si="23"/>
        <v>1SA IPVPN2048/2048Premium</v>
      </c>
      <c r="C49" s="198">
        <v>1</v>
      </c>
      <c r="D49" s="198" t="s">
        <v>93</v>
      </c>
      <c r="E49" s="198" t="s">
        <v>70</v>
      </c>
      <c r="F49" s="198" t="s">
        <v>115</v>
      </c>
      <c r="G49" s="199" t="s">
        <v>113</v>
      </c>
      <c r="H49" s="198" t="s">
        <v>68</v>
      </c>
      <c r="J49" s="142" t="str">
        <f t="shared" si="24"/>
        <v>SA IPVPN2048/2048Premium</v>
      </c>
      <c r="L49" s="160">
        <f>INDEX(Mapping!$J:$J,MATCH(C$3&amp;C49,Mapping!$B:$B,0))</f>
        <v>1</v>
      </c>
      <c r="M49" s="148" t="str">
        <f>INDEX(Mapping!$H:$H,MATCH($E49,Mapping!$B:$B,0))</f>
        <v>WBA ZM Ethernet</v>
      </c>
      <c r="N49" s="148" t="str">
        <f>INDEX(Mapping!$I:$I,MATCH($E49&amp;$G49,Mapping!$B:$B,0))</f>
        <v>premium</v>
      </c>
      <c r="O49" s="148" t="str">
        <f>INDEX(Mapping!$I:$I,MATCH($D49,Mapping!$B:$B,0))</f>
        <v>FttH</v>
      </c>
      <c r="P49" s="148" t="str">
        <f>INDEX(Mapping!$H:$H,MATCH($F49,Mapping!$B:$B,0))</f>
        <v>nvt</v>
      </c>
      <c r="Q49" s="148" t="str">
        <f>INDEX(Mapping!$J:$J,MATCH($E49&amp;$G49,Mapping!$B:$B,0))</f>
        <v>metro</v>
      </c>
      <c r="R49" s="148" t="str">
        <f>INDEX(Mapping!$I:$I,MATCH($J49,Mapping!$B:$B,0))</f>
        <v>2 Mbps/2 Mbps</v>
      </c>
      <c r="T49" s="148" t="str">
        <f>INDEX(Mapping!$K:$K,MATCH($E49&amp;$G49,Mapping!$B:$B,0))</f>
        <v>metro-nationaal</v>
      </c>
      <c r="U49" s="142" t="str">
        <f t="shared" si="25"/>
        <v>WBA ZM Ethernet2 Mbps/2 Mbpspremiummetro</v>
      </c>
      <c r="W49" s="160">
        <f>MATCH($J49,'Tarieven ZM'!$B:$B,0)</f>
        <v>53</v>
      </c>
      <c r="X49" s="148">
        <f>INDEX('Tarieven ZM'!$H:$H,$W49)</f>
        <v>1000</v>
      </c>
      <c r="Y49" s="161">
        <f>-INDEX(Parameters!$B:$B,MATCH(Y$3,Parameters!$A:$A,0))*$X49</f>
        <v>0</v>
      </c>
      <c r="Z49" s="149">
        <f>-INDEX(Parameters!$B:$B,MATCH(Z$3,Parameters!$A:$A,0))*$X49</f>
        <v>0</v>
      </c>
      <c r="AA49" s="148">
        <f t="shared" si="26"/>
        <v>1000</v>
      </c>
      <c r="AB49" s="148">
        <f>AA49/INDEX(Parameters!$B:$B,MATCH("AfschrijftermijnVVE"&amp;12*$C49,Parameters!$A:$A,0))</f>
        <v>27.777777777777779</v>
      </c>
      <c r="AC49" s="148">
        <f>INDEX('Tarieven ZM'!$G:$G,$W49)</f>
        <v>1000</v>
      </c>
      <c r="AD49" s="161">
        <f>-INDEX(Parameters!$B:$B,MATCH(AD$3,Parameters!$A:$A,0))*$AC49</f>
        <v>0</v>
      </c>
      <c r="AE49" s="161">
        <f>-INDEX(Parameters!$B:$B,MATCH(AE$3,Parameters!$A:$A,0))*$AC49</f>
        <v>0</v>
      </c>
      <c r="AF49" s="148">
        <f t="shared" si="27"/>
        <v>1000</v>
      </c>
      <c r="AG49" s="151">
        <f t="shared" si="28"/>
        <v>1027.7777777777778</v>
      </c>
      <c r="AH49" s="123"/>
      <c r="AI49" s="147">
        <f>IF(R49&lt;&gt;"n.a.",MATCH($U49,'Tarieven W&amp;O'!$B:$B,0),"nvt")</f>
        <v>139</v>
      </c>
      <c r="AJ49" s="148">
        <f>IF(AI49&lt;&gt;"nvt",INDEX('Tarieven W&amp;O'!$H:$H,$AI49),0)</f>
        <v>0</v>
      </c>
      <c r="AK49" s="148">
        <f>IF(AI49&lt;&gt;"nvt",INDEX('Tarieven W&amp;O'!$I:$I,$AI49),0)</f>
        <v>5</v>
      </c>
      <c r="AL49" s="277">
        <f>IF(AI49&lt;&gt;"nvt",-INDEX(Parameters!$B:$B,MATCH(AL$3&amp;$M49,Parameters!$A:$A,0))*(AJ49+AK49),0)</f>
        <v>0</v>
      </c>
      <c r="AM49" s="442"/>
      <c r="AN49" s="262">
        <f t="shared" si="29"/>
        <v>5</v>
      </c>
      <c r="AO49" s="262">
        <f>AN49/INDEX(Parameters!$B:$B,MATCH("AfschrijftermijnVVE"&amp;12*$C49,Parameters!$A:$A,0))</f>
        <v>0.1388888888888889</v>
      </c>
      <c r="AP49" s="179">
        <f t="shared" si="30"/>
        <v>139</v>
      </c>
      <c r="AQ49" s="202">
        <f>IF(AP49&lt;&gt;"nvt",INDEX('Tarieven W&amp;O'!$G:$G,$AP49),0)</f>
        <v>14.82</v>
      </c>
      <c r="AR49" s="277">
        <f>-INDEX(Parameters!$B:$B,MATCH(AR$3&amp;$M49&amp;O49,Parameters!$A:$A,0))*(AQ49)</f>
        <v>0</v>
      </c>
      <c r="AS49" s="262">
        <f>Parameters!$D$54</f>
        <v>2</v>
      </c>
      <c r="AT49" s="442">
        <f>IF(M49="WBA CM Ethernet",0,'EDC Minus'!$H$27)</f>
        <v>1</v>
      </c>
      <c r="AU49" s="150">
        <f t="shared" si="31"/>
        <v>17.82</v>
      </c>
      <c r="AV49" s="150">
        <f t="shared" si="32"/>
        <v>17.95888888888889</v>
      </c>
      <c r="AW49" s="150"/>
      <c r="AX49" s="150">
        <f>Parameters!$B$6*AV49</f>
        <v>0.17958888888888891</v>
      </c>
      <c r="AY49" s="202">
        <v>0</v>
      </c>
      <c r="AZ49" s="202"/>
      <c r="BA49" s="150">
        <f t="shared" si="33"/>
        <v>0.17958888888888891</v>
      </c>
      <c r="BB49" s="150"/>
      <c r="BC49" s="151">
        <f t="shared" si="34"/>
        <v>18.13847777777778</v>
      </c>
      <c r="BD49" s="209"/>
      <c r="BE49" s="140">
        <f t="shared" si="35"/>
        <v>1009.6393</v>
      </c>
      <c r="BF49" s="141">
        <f t="shared" si="36"/>
        <v>0.98235175135135133</v>
      </c>
      <c r="BG49" s="142" t="b">
        <f t="shared" si="37"/>
        <v>0</v>
      </c>
      <c r="BH49" s="148"/>
      <c r="BI49" s="188" t="s">
        <v>538</v>
      </c>
      <c r="BJ49" s="189"/>
      <c r="BK49">
        <f>VLOOKUP(J49,'Tarieven ZM'!$B$7:$I$146,8,0)</f>
        <v>0</v>
      </c>
      <c r="BL49" s="179" t="str">
        <f>INDEX(Mapping!$M:$M,MATCH($J49,Mapping!$B:$B,0))</f>
        <v>nvt</v>
      </c>
      <c r="BM49" s="282">
        <v>0</v>
      </c>
      <c r="BN49" s="262">
        <f>BM49/INDEX(Parameters!$B:$B,MATCH("AfschrijftermijnVVE"&amp;12*$C49,Parameters!$A:$A,0))</f>
        <v>0</v>
      </c>
      <c r="BO49" s="262">
        <f>Parameters!$D$59+INDEX('inkoop ULL tbv Epacity'!I:I,MATCH($BL49,'inkoop ULL tbv Epacity'!H:H,0))</f>
        <v>1</v>
      </c>
      <c r="BP49" s="263">
        <f t="shared" si="16"/>
        <v>1</v>
      </c>
      <c r="BQ49" s="203"/>
      <c r="BR49" s="262">
        <f>Parameters!$B$12*AG49</f>
        <v>102.77777777777779</v>
      </c>
      <c r="BS49" s="262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SUM(Distributievergoedingen!$F$12,Distributievergoedingen!$I$12,Distributievergoedingen!$L$12,Distributievergoedingen!$O$12)*AF49+SUM(Distributievergoedingen!$O$12*AA49+Distributievergoedingen!$R$12+Distributievergoedingen!$U$12+Distributievergoedingen!$X$12)/(MAX(36,12*L49))</f>
        <v>112.77777777777777</v>
      </c>
      <c r="BT49" s="202"/>
      <c r="BU49" s="202">
        <f t="shared" si="38"/>
        <v>215.55555555555554</v>
      </c>
      <c r="BW49" s="151">
        <f t="shared" si="39"/>
        <v>216.55555555555554</v>
      </c>
      <c r="BY49" s="140">
        <f t="shared" si="40"/>
        <v>811.22222222222229</v>
      </c>
      <c r="BZ49" s="141">
        <f t="shared" si="41"/>
        <v>0.78929729729729736</v>
      </c>
      <c r="CA49" s="142" t="b">
        <f t="shared" si="42"/>
        <v>0</v>
      </c>
    </row>
    <row r="50" spans="1:79">
      <c r="A50" s="160" t="str">
        <f t="shared" si="22"/>
        <v>1SA IPVPNPremiumnationaal3072/3072</v>
      </c>
      <c r="B50" s="142" t="str">
        <f t="shared" si="23"/>
        <v>1SA IPVPN3072/3072Premium</v>
      </c>
      <c r="C50" s="198">
        <v>1</v>
      </c>
      <c r="D50" s="198" t="s">
        <v>93</v>
      </c>
      <c r="E50" s="198" t="s">
        <v>70</v>
      </c>
      <c r="F50" s="198" t="s">
        <v>115</v>
      </c>
      <c r="G50" s="199" t="s">
        <v>113</v>
      </c>
      <c r="H50" s="198" t="s">
        <v>82</v>
      </c>
      <c r="J50" s="142" t="str">
        <f t="shared" si="24"/>
        <v>SA IPVPN3072/3072Premium</v>
      </c>
      <c r="L50" s="160">
        <f>INDEX(Mapping!$J:$J,MATCH(C$3&amp;C50,Mapping!$B:$B,0))</f>
        <v>1</v>
      </c>
      <c r="M50" s="148" t="str">
        <f>INDEX(Mapping!$H:$H,MATCH($E50,Mapping!$B:$B,0))</f>
        <v>WBA ZM Ethernet</v>
      </c>
      <c r="N50" s="148" t="str">
        <f>INDEX(Mapping!$I:$I,MATCH($E50&amp;$G50,Mapping!$B:$B,0))</f>
        <v>premium</v>
      </c>
      <c r="O50" s="148" t="str">
        <f>INDEX(Mapping!$I:$I,MATCH($D50,Mapping!$B:$B,0))</f>
        <v>FttH</v>
      </c>
      <c r="P50" s="148" t="str">
        <f>INDEX(Mapping!$H:$H,MATCH($F50,Mapping!$B:$B,0))</f>
        <v>nvt</v>
      </c>
      <c r="Q50" s="148" t="str">
        <f>INDEX(Mapping!$J:$J,MATCH($E50&amp;$G50,Mapping!$B:$B,0))</f>
        <v>metro</v>
      </c>
      <c r="R50" s="148" t="str">
        <f>INDEX(Mapping!$I:$I,MATCH($J50,Mapping!$B:$B,0))</f>
        <v>5 Mbps/5 Mbps</v>
      </c>
      <c r="T50" s="148" t="str">
        <f>INDEX(Mapping!$K:$K,MATCH($E50&amp;$G50,Mapping!$B:$B,0))</f>
        <v>metro-nationaal</v>
      </c>
      <c r="U50" s="142" t="str">
        <f t="shared" si="25"/>
        <v>WBA ZM Ethernet5 Mbps/5 Mbpspremiummetro</v>
      </c>
      <c r="W50" s="160">
        <f>MATCH($J50,'Tarieven ZM'!$B:$B,0)</f>
        <v>54</v>
      </c>
      <c r="X50" s="148">
        <f>INDEX('Tarieven ZM'!$H:$H,$W50)</f>
        <v>1000</v>
      </c>
      <c r="Y50" s="161">
        <f>-INDEX(Parameters!$B:$B,MATCH(Y$3,Parameters!$A:$A,0))*$X50</f>
        <v>0</v>
      </c>
      <c r="Z50" s="149">
        <f>-INDEX(Parameters!$B:$B,MATCH(Z$3,Parameters!$A:$A,0))*$X50</f>
        <v>0</v>
      </c>
      <c r="AA50" s="148">
        <f t="shared" si="26"/>
        <v>1000</v>
      </c>
      <c r="AB50" s="148">
        <f>AA50/INDEX(Parameters!$B:$B,MATCH("AfschrijftermijnVVE"&amp;12*$C50,Parameters!$A:$A,0))</f>
        <v>27.777777777777779</v>
      </c>
      <c r="AC50" s="148">
        <f>INDEX('Tarieven ZM'!$G:$G,$W50)</f>
        <v>1000</v>
      </c>
      <c r="AD50" s="161">
        <f>-INDEX(Parameters!$B:$B,MATCH(AD$3,Parameters!$A:$A,0))*$AC50</f>
        <v>0</v>
      </c>
      <c r="AE50" s="161">
        <f>-INDEX(Parameters!$B:$B,MATCH(AE$3,Parameters!$A:$A,0))*$AC50</f>
        <v>0</v>
      </c>
      <c r="AF50" s="148">
        <f t="shared" si="27"/>
        <v>1000</v>
      </c>
      <c r="AG50" s="151">
        <f t="shared" si="28"/>
        <v>1027.7777777777778</v>
      </c>
      <c r="AH50" s="123"/>
      <c r="AI50" s="147">
        <f>IF(R50&lt;&gt;"n.a.",MATCH($U50,'Tarieven W&amp;O'!$B:$B,0),"nvt")</f>
        <v>140</v>
      </c>
      <c r="AJ50" s="148">
        <f>IF(AI50&lt;&gt;"nvt",INDEX('Tarieven W&amp;O'!$H:$H,$AI50),0)</f>
        <v>0</v>
      </c>
      <c r="AK50" s="148">
        <f>IF(AI50&lt;&gt;"nvt",INDEX('Tarieven W&amp;O'!$I:$I,$AI50),0)</f>
        <v>5</v>
      </c>
      <c r="AL50" s="277">
        <f>IF(AI50&lt;&gt;"nvt",-INDEX(Parameters!$B:$B,MATCH(AL$3&amp;$M50,Parameters!$A:$A,0))*(AJ50+AK50),0)</f>
        <v>0</v>
      </c>
      <c r="AM50" s="442"/>
      <c r="AN50" s="262">
        <f t="shared" si="29"/>
        <v>5</v>
      </c>
      <c r="AO50" s="262">
        <f>AN50/INDEX(Parameters!$B:$B,MATCH("AfschrijftermijnVVE"&amp;12*$C50,Parameters!$A:$A,0))</f>
        <v>0.1388888888888889</v>
      </c>
      <c r="AP50" s="179">
        <f t="shared" si="30"/>
        <v>140</v>
      </c>
      <c r="AQ50" s="202">
        <f>IF(AP50&lt;&gt;"nvt",INDEX('Tarieven W&amp;O'!$G:$G,$AP50),0)</f>
        <v>18.53</v>
      </c>
      <c r="AR50" s="277">
        <f>-INDEX(Parameters!$B:$B,MATCH(AR$3&amp;$M50&amp;O50,Parameters!$A:$A,0))*(AQ50)</f>
        <v>0</v>
      </c>
      <c r="AS50" s="262">
        <f>Parameters!$D$54</f>
        <v>2</v>
      </c>
      <c r="AT50" s="442">
        <f>IF(M50="WBA CM Ethernet",0,'EDC Minus'!$H$27)</f>
        <v>1</v>
      </c>
      <c r="AU50" s="150">
        <f t="shared" si="31"/>
        <v>21.53</v>
      </c>
      <c r="AV50" s="150">
        <f t="shared" si="32"/>
        <v>21.66888888888889</v>
      </c>
      <c r="AW50" s="150"/>
      <c r="AX50" s="150">
        <f>Parameters!$B$6*AV50</f>
        <v>0.2166888888888889</v>
      </c>
      <c r="AY50" s="202">
        <v>0</v>
      </c>
      <c r="AZ50" s="202"/>
      <c r="BA50" s="150">
        <f t="shared" si="33"/>
        <v>0.2166888888888889</v>
      </c>
      <c r="BB50" s="150"/>
      <c r="BC50" s="151">
        <f t="shared" si="34"/>
        <v>21.88557777777778</v>
      </c>
      <c r="BD50" s="209"/>
      <c r="BE50" s="140">
        <f t="shared" si="35"/>
        <v>1005.8922</v>
      </c>
      <c r="BF50" s="141">
        <f t="shared" si="36"/>
        <v>0.97870592432432424</v>
      </c>
      <c r="BG50" s="142" t="b">
        <f t="shared" si="37"/>
        <v>0</v>
      </c>
      <c r="BH50" s="148"/>
      <c r="BI50" s="188" t="s">
        <v>538</v>
      </c>
      <c r="BJ50" s="189"/>
      <c r="BK50">
        <f>VLOOKUP(J50,'Tarieven ZM'!$B$7:$I$146,8,0)</f>
        <v>0</v>
      </c>
      <c r="BL50" s="179" t="str">
        <f>INDEX(Mapping!$M:$M,MATCH($J50,Mapping!$B:$B,0))</f>
        <v>nvt</v>
      </c>
      <c r="BM50" s="282">
        <v>0</v>
      </c>
      <c r="BN50" s="262">
        <f>BM50/INDEX(Parameters!$B:$B,MATCH("AfschrijftermijnVVE"&amp;12*$C50,Parameters!$A:$A,0))</f>
        <v>0</v>
      </c>
      <c r="BO50" s="262">
        <f>Parameters!$D$59+INDEX('inkoop ULL tbv Epacity'!I:I,MATCH($BL50,'inkoop ULL tbv Epacity'!H:H,0))</f>
        <v>1</v>
      </c>
      <c r="BP50" s="263">
        <f t="shared" si="16"/>
        <v>1</v>
      </c>
      <c r="BQ50" s="203"/>
      <c r="BR50" s="262">
        <f>Parameters!$B$12*AG50</f>
        <v>102.77777777777779</v>
      </c>
      <c r="BS50" s="262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SUM(Distributievergoedingen!$F$12,Distributievergoedingen!$I$12,Distributievergoedingen!$L$12,Distributievergoedingen!$O$12)*AF50+SUM(Distributievergoedingen!$O$12*AA50+Distributievergoedingen!$R$12+Distributievergoedingen!$U$12+Distributievergoedingen!$X$12)/(MAX(36,12*L50))</f>
        <v>112.77777777777777</v>
      </c>
      <c r="BT50" s="202"/>
      <c r="BU50" s="202">
        <f t="shared" si="38"/>
        <v>215.55555555555554</v>
      </c>
      <c r="BW50" s="151">
        <f t="shared" si="39"/>
        <v>216.55555555555554</v>
      </c>
      <c r="BY50" s="140">
        <f t="shared" si="40"/>
        <v>811.22222222222229</v>
      </c>
      <c r="BZ50" s="141">
        <f t="shared" si="41"/>
        <v>0.78929729729729736</v>
      </c>
      <c r="CA50" s="142" t="b">
        <f t="shared" si="42"/>
        <v>0</v>
      </c>
    </row>
    <row r="51" spans="1:79">
      <c r="A51" s="160" t="str">
        <f t="shared" si="22"/>
        <v>1SA IPVPNPremiumnationaal4096/1024</v>
      </c>
      <c r="B51" s="142" t="str">
        <f t="shared" si="23"/>
        <v>1SA IPVPN4096/1024Premium</v>
      </c>
      <c r="C51" s="198">
        <v>1</v>
      </c>
      <c r="D51" s="198" t="s">
        <v>93</v>
      </c>
      <c r="E51" s="198" t="s">
        <v>70</v>
      </c>
      <c r="F51" s="198" t="s">
        <v>115</v>
      </c>
      <c r="G51" s="199" t="s">
        <v>113</v>
      </c>
      <c r="H51" s="198" t="s">
        <v>57</v>
      </c>
      <c r="J51" s="142" t="str">
        <f t="shared" si="24"/>
        <v>SA IPVPN4096/1024Premium</v>
      </c>
      <c r="L51" s="160">
        <f>INDEX(Mapping!$J:$J,MATCH(C$3&amp;C51,Mapping!$B:$B,0))</f>
        <v>1</v>
      </c>
      <c r="M51" s="148" t="str">
        <f>INDEX(Mapping!$H:$H,MATCH($E51,Mapping!$B:$B,0))</f>
        <v>WBA ZM Ethernet</v>
      </c>
      <c r="N51" s="148" t="str">
        <f>INDEX(Mapping!$I:$I,MATCH($E51&amp;$G51,Mapping!$B:$B,0))</f>
        <v>premium</v>
      </c>
      <c r="O51" s="148" t="str">
        <f>INDEX(Mapping!$I:$I,MATCH($D51,Mapping!$B:$B,0))</f>
        <v>FttH</v>
      </c>
      <c r="P51" s="148" t="str">
        <f>INDEX(Mapping!$H:$H,MATCH($F51,Mapping!$B:$B,0))</f>
        <v>nvt</v>
      </c>
      <c r="Q51" s="148" t="str">
        <f>INDEX(Mapping!$J:$J,MATCH($E51&amp;$G51,Mapping!$B:$B,0))</f>
        <v>metro</v>
      </c>
      <c r="R51" s="148" t="str">
        <f>INDEX(Mapping!$I:$I,MATCH($J51,Mapping!$B:$B,0))</f>
        <v>5 Mbps/1 Mbps</v>
      </c>
      <c r="T51" s="148" t="str">
        <f>INDEX(Mapping!$K:$K,MATCH($E51&amp;$G51,Mapping!$B:$B,0))</f>
        <v>metro-nationaal</v>
      </c>
      <c r="U51" s="142" t="str">
        <f t="shared" si="25"/>
        <v>WBA ZM Ethernet5 Mbps/1 Mbpspremiummetro</v>
      </c>
      <c r="W51" s="160">
        <f>MATCH($J51,'Tarieven ZM'!$B:$B,0)</f>
        <v>55</v>
      </c>
      <c r="X51" s="148">
        <f>INDEX('Tarieven ZM'!$H:$H,$W51)</f>
        <v>1000</v>
      </c>
      <c r="Y51" s="161">
        <f>-INDEX(Parameters!$B:$B,MATCH(Y$3,Parameters!$A:$A,0))*$X51</f>
        <v>0</v>
      </c>
      <c r="Z51" s="149">
        <f>-INDEX(Parameters!$B:$B,MATCH(Z$3,Parameters!$A:$A,0))*$X51</f>
        <v>0</v>
      </c>
      <c r="AA51" s="148">
        <f t="shared" si="26"/>
        <v>1000</v>
      </c>
      <c r="AB51" s="148">
        <f>AA51/INDEX(Parameters!$B:$B,MATCH("AfschrijftermijnVVE"&amp;12*$C51,Parameters!$A:$A,0))</f>
        <v>27.777777777777779</v>
      </c>
      <c r="AC51" s="148">
        <f>INDEX('Tarieven ZM'!$G:$G,$W51)</f>
        <v>1000</v>
      </c>
      <c r="AD51" s="161">
        <f>-INDEX(Parameters!$B:$B,MATCH(AD$3,Parameters!$A:$A,0))*$AC51</f>
        <v>0</v>
      </c>
      <c r="AE51" s="161">
        <f>-INDEX(Parameters!$B:$B,MATCH(AE$3,Parameters!$A:$A,0))*$AC51</f>
        <v>0</v>
      </c>
      <c r="AF51" s="148">
        <f t="shared" si="27"/>
        <v>1000</v>
      </c>
      <c r="AG51" s="151">
        <f t="shared" si="28"/>
        <v>1027.7777777777778</v>
      </c>
      <c r="AH51" s="123"/>
      <c r="AI51" s="147">
        <f>IF(R51&lt;&gt;"n.a.",MATCH($U51,'Tarieven W&amp;O'!$B:$B,0),"nvt")</f>
        <v>144</v>
      </c>
      <c r="AJ51" s="148">
        <f>IF(AI51&lt;&gt;"nvt",INDEX('Tarieven W&amp;O'!$H:$H,$AI51),0)</f>
        <v>0</v>
      </c>
      <c r="AK51" s="148">
        <f>IF(AI51&lt;&gt;"nvt",INDEX('Tarieven W&amp;O'!$I:$I,$AI51),0)</f>
        <v>5</v>
      </c>
      <c r="AL51" s="277">
        <f>IF(AI51&lt;&gt;"nvt",-INDEX(Parameters!$B:$B,MATCH(AL$3&amp;$M51,Parameters!$A:$A,0))*(AJ51+AK51),0)</f>
        <v>0</v>
      </c>
      <c r="AM51" s="442"/>
      <c r="AN51" s="262">
        <f t="shared" si="29"/>
        <v>5</v>
      </c>
      <c r="AO51" s="262">
        <f>AN51/INDEX(Parameters!$B:$B,MATCH("AfschrijftermijnVVE"&amp;12*$C51,Parameters!$A:$A,0))</f>
        <v>0.1388888888888889</v>
      </c>
      <c r="AP51" s="179">
        <f t="shared" si="30"/>
        <v>144</v>
      </c>
      <c r="AQ51" s="202">
        <f>IF(AP51&lt;&gt;"nvt",INDEX('Tarieven W&amp;O'!$G:$G,$AP51),0)</f>
        <v>17.29</v>
      </c>
      <c r="AR51" s="277">
        <f>-INDEX(Parameters!$B:$B,MATCH(AR$3&amp;$M51&amp;O51,Parameters!$A:$A,0))*(AQ51)</f>
        <v>0</v>
      </c>
      <c r="AS51" s="262">
        <f>Parameters!$D$54</f>
        <v>2</v>
      </c>
      <c r="AT51" s="442">
        <f>IF(M51="WBA CM Ethernet",0,'EDC Minus'!$H$27)</f>
        <v>1</v>
      </c>
      <c r="AU51" s="150">
        <f t="shared" si="31"/>
        <v>20.29</v>
      </c>
      <c r="AV51" s="150">
        <f t="shared" si="32"/>
        <v>20.428888888888888</v>
      </c>
      <c r="AW51" s="150"/>
      <c r="AX51" s="150">
        <f>Parameters!$B$6*AV51</f>
        <v>0.20428888888888888</v>
      </c>
      <c r="AY51" s="202">
        <v>0</v>
      </c>
      <c r="AZ51" s="202"/>
      <c r="BA51" s="150">
        <f t="shared" si="33"/>
        <v>0.20428888888888888</v>
      </c>
      <c r="BB51" s="150"/>
      <c r="BC51" s="151">
        <f t="shared" si="34"/>
        <v>20.633177777777778</v>
      </c>
      <c r="BD51" s="209"/>
      <c r="BE51" s="140">
        <f t="shared" si="35"/>
        <v>1007.1446000000001</v>
      </c>
      <c r="BF51" s="141">
        <f t="shared" si="36"/>
        <v>0.97992447567567575</v>
      </c>
      <c r="BG51" s="142" t="b">
        <f t="shared" si="37"/>
        <v>0</v>
      </c>
      <c r="BH51" s="148"/>
      <c r="BI51" s="188" t="s">
        <v>538</v>
      </c>
      <c r="BJ51" s="189"/>
      <c r="BK51">
        <f>VLOOKUP(J51,'Tarieven ZM'!$B$7:$I$146,8,0)</f>
        <v>0</v>
      </c>
      <c r="BL51" s="179" t="str">
        <f>INDEX(Mapping!$M:$M,MATCH($J51,Mapping!$B:$B,0))</f>
        <v>nvt</v>
      </c>
      <c r="BM51" s="282">
        <v>0</v>
      </c>
      <c r="BN51" s="262">
        <f>BM51/INDEX(Parameters!$B:$B,MATCH("AfschrijftermijnVVE"&amp;12*$C51,Parameters!$A:$A,0))</f>
        <v>0</v>
      </c>
      <c r="BO51" s="262">
        <f>Parameters!$D$59+INDEX('inkoop ULL tbv Epacity'!I:I,MATCH($BL51,'inkoop ULL tbv Epacity'!H:H,0))</f>
        <v>1</v>
      </c>
      <c r="BP51" s="263">
        <f t="shared" ref="BP51:BP107" si="43">BN51+BO51</f>
        <v>1</v>
      </c>
      <c r="BQ51" s="203"/>
      <c r="BR51" s="262">
        <f>Parameters!$B$12*AG51</f>
        <v>102.77777777777779</v>
      </c>
      <c r="BS51" s="262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SUM(Distributievergoedingen!$F$12,Distributievergoedingen!$I$12,Distributievergoedingen!$L$12,Distributievergoedingen!$O$12)*AF51+SUM(Distributievergoedingen!$O$12*AA51+Distributievergoedingen!$R$12+Distributievergoedingen!$U$12+Distributievergoedingen!$X$12)/(MAX(36,12*L51))</f>
        <v>112.77777777777777</v>
      </c>
      <c r="BT51" s="202"/>
      <c r="BU51" s="202">
        <f t="shared" si="38"/>
        <v>215.55555555555554</v>
      </c>
      <c r="BW51" s="151">
        <f t="shared" si="39"/>
        <v>216.55555555555554</v>
      </c>
      <c r="BY51" s="140">
        <f t="shared" si="40"/>
        <v>811.22222222222229</v>
      </c>
      <c r="BZ51" s="141">
        <f t="shared" si="41"/>
        <v>0.78929729729729736</v>
      </c>
      <c r="CA51" s="142" t="b">
        <f t="shared" si="42"/>
        <v>0</v>
      </c>
    </row>
    <row r="52" spans="1:79">
      <c r="A52" s="160" t="str">
        <f t="shared" si="22"/>
        <v>1SA IPVPNPremiumnationaal4096/4096</v>
      </c>
      <c r="B52" s="142" t="str">
        <f t="shared" si="23"/>
        <v>1SA IPVPN4096/4096Premium</v>
      </c>
      <c r="C52" s="198">
        <v>1</v>
      </c>
      <c r="D52" s="198" t="s">
        <v>93</v>
      </c>
      <c r="E52" s="198" t="s">
        <v>70</v>
      </c>
      <c r="F52" s="198" t="s">
        <v>115</v>
      </c>
      <c r="G52" s="199" t="s">
        <v>113</v>
      </c>
      <c r="H52" s="198" t="s">
        <v>83</v>
      </c>
      <c r="J52" s="142" t="str">
        <f t="shared" si="24"/>
        <v>SA IPVPN4096/4096Premium</v>
      </c>
      <c r="L52" s="160">
        <f>INDEX(Mapping!$J:$J,MATCH(C$3&amp;C52,Mapping!$B:$B,0))</f>
        <v>1</v>
      </c>
      <c r="M52" s="148" t="str">
        <f>INDEX(Mapping!$H:$H,MATCH($E52,Mapping!$B:$B,0))</f>
        <v>WBA ZM Ethernet</v>
      </c>
      <c r="N52" s="148" t="str">
        <f>INDEX(Mapping!$I:$I,MATCH($E52&amp;$G52,Mapping!$B:$B,0))</f>
        <v>premium</v>
      </c>
      <c r="O52" s="148" t="str">
        <f>INDEX(Mapping!$I:$I,MATCH($D52,Mapping!$B:$B,0))</f>
        <v>FttH</v>
      </c>
      <c r="P52" s="148" t="str">
        <f>INDEX(Mapping!$H:$H,MATCH($F52,Mapping!$B:$B,0))</f>
        <v>nvt</v>
      </c>
      <c r="Q52" s="148" t="str">
        <f>INDEX(Mapping!$J:$J,MATCH($E52&amp;$G52,Mapping!$B:$B,0))</f>
        <v>metro</v>
      </c>
      <c r="R52" s="148" t="str">
        <f>INDEX(Mapping!$I:$I,MATCH($J52,Mapping!$B:$B,0))</f>
        <v>5 Mbps/5 Mbps</v>
      </c>
      <c r="T52" s="148" t="str">
        <f>INDEX(Mapping!$K:$K,MATCH($E52&amp;$G52,Mapping!$B:$B,0))</f>
        <v>metro-nationaal</v>
      </c>
      <c r="U52" s="142" t="str">
        <f t="shared" si="25"/>
        <v>WBA ZM Ethernet5 Mbps/5 Mbpspremiummetro</v>
      </c>
      <c r="W52" s="160">
        <f>MATCH($J52,'Tarieven ZM'!$B:$B,0)</f>
        <v>56</v>
      </c>
      <c r="X52" s="148">
        <f>INDEX('Tarieven ZM'!$H:$H,$W52)</f>
        <v>1000</v>
      </c>
      <c r="Y52" s="161">
        <f>-INDEX(Parameters!$B:$B,MATCH(Y$3,Parameters!$A:$A,0))*$X52</f>
        <v>0</v>
      </c>
      <c r="Z52" s="149">
        <f>-INDEX(Parameters!$B:$B,MATCH(Z$3,Parameters!$A:$A,0))*$X52</f>
        <v>0</v>
      </c>
      <c r="AA52" s="148">
        <f t="shared" si="26"/>
        <v>1000</v>
      </c>
      <c r="AB52" s="148">
        <f>AA52/INDEX(Parameters!$B:$B,MATCH("AfschrijftermijnVVE"&amp;12*$C52,Parameters!$A:$A,0))</f>
        <v>27.777777777777779</v>
      </c>
      <c r="AC52" s="148">
        <f>INDEX('Tarieven ZM'!$G:$G,$W52)</f>
        <v>1000</v>
      </c>
      <c r="AD52" s="161">
        <f>-INDEX(Parameters!$B:$B,MATCH(AD$3,Parameters!$A:$A,0))*$AC52</f>
        <v>0</v>
      </c>
      <c r="AE52" s="161">
        <f>-INDEX(Parameters!$B:$B,MATCH(AE$3,Parameters!$A:$A,0))*$AC52</f>
        <v>0</v>
      </c>
      <c r="AF52" s="148">
        <f t="shared" si="27"/>
        <v>1000</v>
      </c>
      <c r="AG52" s="151">
        <f t="shared" si="28"/>
        <v>1027.7777777777778</v>
      </c>
      <c r="AH52" s="123"/>
      <c r="AI52" s="147">
        <f>IF(R52&lt;&gt;"n.a.",MATCH($U52,'Tarieven W&amp;O'!$B:$B,0),"nvt")</f>
        <v>140</v>
      </c>
      <c r="AJ52" s="148">
        <f>IF(AI52&lt;&gt;"nvt",INDEX('Tarieven W&amp;O'!$H:$H,$AI52),0)</f>
        <v>0</v>
      </c>
      <c r="AK52" s="148">
        <f>IF(AI52&lt;&gt;"nvt",INDEX('Tarieven W&amp;O'!$I:$I,$AI52),0)</f>
        <v>5</v>
      </c>
      <c r="AL52" s="277">
        <f>IF(AI52&lt;&gt;"nvt",-INDEX(Parameters!$B:$B,MATCH(AL$3&amp;$M52,Parameters!$A:$A,0))*(AJ52+AK52),0)</f>
        <v>0</v>
      </c>
      <c r="AM52" s="442"/>
      <c r="AN52" s="262">
        <f t="shared" si="29"/>
        <v>5</v>
      </c>
      <c r="AO52" s="262">
        <f>AN52/INDEX(Parameters!$B:$B,MATCH("AfschrijftermijnVVE"&amp;12*$C52,Parameters!$A:$A,0))</f>
        <v>0.1388888888888889</v>
      </c>
      <c r="AP52" s="179">
        <f t="shared" si="30"/>
        <v>140</v>
      </c>
      <c r="AQ52" s="202">
        <f>IF(AP52&lt;&gt;"nvt",INDEX('Tarieven W&amp;O'!$G:$G,$AP52),0)</f>
        <v>18.53</v>
      </c>
      <c r="AR52" s="277">
        <f>-INDEX(Parameters!$B:$B,MATCH(AR$3&amp;$M52&amp;O52,Parameters!$A:$A,0))*(AQ52)</f>
        <v>0</v>
      </c>
      <c r="AS52" s="262">
        <f>Parameters!$D$54</f>
        <v>2</v>
      </c>
      <c r="AT52" s="442">
        <f>IF(M52="WBA CM Ethernet",0,'EDC Minus'!$H$27)</f>
        <v>1</v>
      </c>
      <c r="AU52" s="150">
        <f t="shared" si="31"/>
        <v>21.53</v>
      </c>
      <c r="AV52" s="150">
        <f t="shared" si="32"/>
        <v>21.66888888888889</v>
      </c>
      <c r="AW52" s="150"/>
      <c r="AX52" s="150">
        <f>Parameters!$B$6*AV52</f>
        <v>0.2166888888888889</v>
      </c>
      <c r="AY52" s="202">
        <v>0</v>
      </c>
      <c r="AZ52" s="202"/>
      <c r="BA52" s="150">
        <f t="shared" si="33"/>
        <v>0.2166888888888889</v>
      </c>
      <c r="BB52" s="150"/>
      <c r="BC52" s="151">
        <f t="shared" si="34"/>
        <v>21.88557777777778</v>
      </c>
      <c r="BD52" s="209"/>
      <c r="BE52" s="140">
        <f t="shared" si="35"/>
        <v>1005.8922</v>
      </c>
      <c r="BF52" s="141">
        <f t="shared" si="36"/>
        <v>0.97870592432432424</v>
      </c>
      <c r="BG52" s="142" t="b">
        <f t="shared" si="37"/>
        <v>0</v>
      </c>
      <c r="BH52" s="148"/>
      <c r="BI52" s="188" t="s">
        <v>538</v>
      </c>
      <c r="BJ52" s="189"/>
      <c r="BK52">
        <f>VLOOKUP(J52,'Tarieven ZM'!$B$7:$I$146,8,0)</f>
        <v>0</v>
      </c>
      <c r="BL52" s="179" t="str">
        <f>INDEX(Mapping!$M:$M,MATCH($J52,Mapping!$B:$B,0))</f>
        <v>nvt</v>
      </c>
      <c r="BM52" s="282">
        <v>0</v>
      </c>
      <c r="BN52" s="262">
        <f>BM52/INDEX(Parameters!$B:$B,MATCH("AfschrijftermijnVVE"&amp;12*$C52,Parameters!$A:$A,0))</f>
        <v>0</v>
      </c>
      <c r="BO52" s="262">
        <f>Parameters!$D$59+INDEX('inkoop ULL tbv Epacity'!I:I,MATCH($BL52,'inkoop ULL tbv Epacity'!H:H,0))</f>
        <v>1</v>
      </c>
      <c r="BP52" s="263">
        <f t="shared" si="43"/>
        <v>1</v>
      </c>
      <c r="BQ52" s="203"/>
      <c r="BR52" s="262">
        <f>Parameters!$B$12*AG52</f>
        <v>102.77777777777779</v>
      </c>
      <c r="BS52" s="262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SUM(Distributievergoedingen!$F$12,Distributievergoedingen!$I$12,Distributievergoedingen!$L$12,Distributievergoedingen!$O$12)*AF52+SUM(Distributievergoedingen!$O$12*AA52+Distributievergoedingen!$R$12+Distributievergoedingen!$U$12+Distributievergoedingen!$X$12)/(MAX(36,12*L52))</f>
        <v>112.77777777777777</v>
      </c>
      <c r="BT52" s="202"/>
      <c r="BU52" s="202">
        <f t="shared" si="38"/>
        <v>215.55555555555554</v>
      </c>
      <c r="BW52" s="151">
        <f t="shared" si="39"/>
        <v>216.55555555555554</v>
      </c>
      <c r="BY52" s="140">
        <f t="shared" si="40"/>
        <v>811.22222222222229</v>
      </c>
      <c r="BZ52" s="141">
        <f t="shared" si="41"/>
        <v>0.78929729729729736</v>
      </c>
      <c r="CA52" s="142" t="b">
        <f t="shared" si="42"/>
        <v>0</v>
      </c>
    </row>
    <row r="53" spans="1:79">
      <c r="A53" s="160" t="str">
        <f t="shared" si="22"/>
        <v>1SA IPVPNPremiumnationaal8192/1024</v>
      </c>
      <c r="B53" s="142" t="str">
        <f t="shared" si="23"/>
        <v>1SA IPVPN8192/1024Premium</v>
      </c>
      <c r="C53" s="198">
        <v>1</v>
      </c>
      <c r="D53" s="198" t="s">
        <v>93</v>
      </c>
      <c r="E53" s="198" t="s">
        <v>70</v>
      </c>
      <c r="F53" s="198" t="s">
        <v>115</v>
      </c>
      <c r="G53" s="199" t="s">
        <v>113</v>
      </c>
      <c r="H53" s="198" t="s">
        <v>84</v>
      </c>
      <c r="J53" s="142" t="str">
        <f t="shared" si="24"/>
        <v>SA IPVPN8192/1024Premium</v>
      </c>
      <c r="L53" s="160">
        <f>INDEX(Mapping!$J:$J,MATCH(C$3&amp;C53,Mapping!$B:$B,0))</f>
        <v>1</v>
      </c>
      <c r="M53" s="148" t="str">
        <f>INDEX(Mapping!$H:$H,MATCH($E53,Mapping!$B:$B,0))</f>
        <v>WBA ZM Ethernet</v>
      </c>
      <c r="N53" s="148" t="str">
        <f>INDEX(Mapping!$I:$I,MATCH($E53&amp;$G53,Mapping!$B:$B,0))</f>
        <v>premium</v>
      </c>
      <c r="O53" s="148" t="str">
        <f>INDEX(Mapping!$I:$I,MATCH($D53,Mapping!$B:$B,0))</f>
        <v>FttH</v>
      </c>
      <c r="P53" s="148" t="str">
        <f>INDEX(Mapping!$H:$H,MATCH($F53,Mapping!$B:$B,0))</f>
        <v>nvt</v>
      </c>
      <c r="Q53" s="148" t="str">
        <f>INDEX(Mapping!$J:$J,MATCH($E53&amp;$G53,Mapping!$B:$B,0))</f>
        <v>metro</v>
      </c>
      <c r="R53" s="148" t="str">
        <f>INDEX(Mapping!$I:$I,MATCH($J53,Mapping!$B:$B,0))</f>
        <v>10 Mbps/5 Mbps</v>
      </c>
      <c r="T53" s="148" t="str">
        <f>INDEX(Mapping!$K:$K,MATCH($E53&amp;$G53,Mapping!$B:$B,0))</f>
        <v>metro-nationaal</v>
      </c>
      <c r="U53" s="142" t="str">
        <f t="shared" si="25"/>
        <v>WBA ZM Ethernet10 Mbps/5 Mbpspremiummetro</v>
      </c>
      <c r="W53" s="160">
        <f>MATCH($J53,'Tarieven ZM'!$B:$B,0)</f>
        <v>57</v>
      </c>
      <c r="X53" s="148">
        <f>INDEX('Tarieven ZM'!$H:$H,$W53)</f>
        <v>1000</v>
      </c>
      <c r="Y53" s="161">
        <f>-INDEX(Parameters!$B:$B,MATCH(Y$3,Parameters!$A:$A,0))*$X53</f>
        <v>0</v>
      </c>
      <c r="Z53" s="149">
        <f>-INDEX(Parameters!$B:$B,MATCH(Z$3,Parameters!$A:$A,0))*$X53</f>
        <v>0</v>
      </c>
      <c r="AA53" s="148">
        <f t="shared" si="26"/>
        <v>1000</v>
      </c>
      <c r="AB53" s="148">
        <f>AA53/INDEX(Parameters!$B:$B,MATCH("AfschrijftermijnVVE"&amp;12*$C53,Parameters!$A:$A,0))</f>
        <v>27.777777777777779</v>
      </c>
      <c r="AC53" s="148">
        <f>INDEX('Tarieven ZM'!$G:$G,$W53)</f>
        <v>1000</v>
      </c>
      <c r="AD53" s="161">
        <f>-INDEX(Parameters!$B:$B,MATCH(AD$3,Parameters!$A:$A,0))*$AC53</f>
        <v>0</v>
      </c>
      <c r="AE53" s="161">
        <f>-INDEX(Parameters!$B:$B,MATCH(AE$3,Parameters!$A:$A,0))*$AC53</f>
        <v>0</v>
      </c>
      <c r="AF53" s="148">
        <f t="shared" si="27"/>
        <v>1000</v>
      </c>
      <c r="AG53" s="151">
        <f t="shared" si="28"/>
        <v>1027.7777777777778</v>
      </c>
      <c r="AH53" s="123"/>
      <c r="AI53" s="147">
        <f>IF(R53&lt;&gt;"n.a.",MATCH($U53,'Tarieven W&amp;O'!$B:$B,0),"nvt")</f>
        <v>145</v>
      </c>
      <c r="AJ53" s="148">
        <f>IF(AI53&lt;&gt;"nvt",INDEX('Tarieven W&amp;O'!$H:$H,$AI53),0)</f>
        <v>0</v>
      </c>
      <c r="AK53" s="148">
        <f>IF(AI53&lt;&gt;"nvt",INDEX('Tarieven W&amp;O'!$I:$I,$AI53),0)</f>
        <v>5</v>
      </c>
      <c r="AL53" s="277">
        <f>IF(AI53&lt;&gt;"nvt",-INDEX(Parameters!$B:$B,MATCH(AL$3&amp;$M53,Parameters!$A:$A,0))*(AJ53+AK53),0)</f>
        <v>0</v>
      </c>
      <c r="AM53" s="442"/>
      <c r="AN53" s="262">
        <f t="shared" si="29"/>
        <v>5</v>
      </c>
      <c r="AO53" s="262">
        <f>AN53/INDEX(Parameters!$B:$B,MATCH("AfschrijftermijnVVE"&amp;12*$C53,Parameters!$A:$A,0))</f>
        <v>0.1388888888888889</v>
      </c>
      <c r="AP53" s="179">
        <f t="shared" si="30"/>
        <v>145</v>
      </c>
      <c r="AQ53" s="202">
        <f>IF(AP53&lt;&gt;"nvt",INDEX('Tarieven W&amp;O'!$G:$G,$AP53),0)</f>
        <v>22.24</v>
      </c>
      <c r="AR53" s="277">
        <f>-INDEX(Parameters!$B:$B,MATCH(AR$3&amp;$M53&amp;O53,Parameters!$A:$A,0))*(AQ53)</f>
        <v>0</v>
      </c>
      <c r="AS53" s="262">
        <f>Parameters!$D$54</f>
        <v>2</v>
      </c>
      <c r="AT53" s="442">
        <f>IF(M53="WBA CM Ethernet",0,'EDC Minus'!$H$27)</f>
        <v>1</v>
      </c>
      <c r="AU53" s="150">
        <f t="shared" si="31"/>
        <v>25.24</v>
      </c>
      <c r="AV53" s="150">
        <f t="shared" si="32"/>
        <v>25.378888888888888</v>
      </c>
      <c r="AW53" s="150"/>
      <c r="AX53" s="150">
        <f>Parameters!$B$6*AV53</f>
        <v>0.2537888888888889</v>
      </c>
      <c r="AY53" s="202">
        <v>0</v>
      </c>
      <c r="AZ53" s="202"/>
      <c r="BA53" s="150">
        <f t="shared" si="33"/>
        <v>0.2537888888888889</v>
      </c>
      <c r="BB53" s="150"/>
      <c r="BC53" s="151">
        <f t="shared" si="34"/>
        <v>25.632677777777776</v>
      </c>
      <c r="BD53" s="209"/>
      <c r="BE53" s="140">
        <f t="shared" si="35"/>
        <v>1002.1451000000001</v>
      </c>
      <c r="BF53" s="141">
        <f t="shared" si="36"/>
        <v>0.97506009729729737</v>
      </c>
      <c r="BG53" s="142" t="b">
        <f t="shared" si="37"/>
        <v>0</v>
      </c>
      <c r="BH53" s="148"/>
      <c r="BI53" s="188" t="s">
        <v>538</v>
      </c>
      <c r="BJ53" s="189"/>
      <c r="BK53">
        <f>VLOOKUP(J53,'Tarieven ZM'!$B$7:$I$146,8,0)</f>
        <v>0</v>
      </c>
      <c r="BL53" s="179" t="str">
        <f>INDEX(Mapping!$M:$M,MATCH($J53,Mapping!$B:$B,0))</f>
        <v>nvt</v>
      </c>
      <c r="BM53" s="282">
        <v>0</v>
      </c>
      <c r="BN53" s="262">
        <f>BM53/INDEX(Parameters!$B:$B,MATCH("AfschrijftermijnVVE"&amp;12*$C53,Parameters!$A:$A,0))</f>
        <v>0</v>
      </c>
      <c r="BO53" s="262">
        <f>Parameters!$D$59+INDEX('inkoop ULL tbv Epacity'!I:I,MATCH($BL53,'inkoop ULL tbv Epacity'!H:H,0))</f>
        <v>1</v>
      </c>
      <c r="BP53" s="263">
        <f t="shared" si="43"/>
        <v>1</v>
      </c>
      <c r="BQ53" s="203"/>
      <c r="BR53" s="262">
        <f>Parameters!$B$12*AG53</f>
        <v>102.77777777777779</v>
      </c>
      <c r="BS53" s="262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SUM(Distributievergoedingen!$F$12,Distributievergoedingen!$I$12,Distributievergoedingen!$L$12,Distributievergoedingen!$O$12)*AF53+SUM(Distributievergoedingen!$O$12*AA53+Distributievergoedingen!$R$12+Distributievergoedingen!$U$12+Distributievergoedingen!$X$12)/(MAX(36,12*L53))</f>
        <v>112.77777777777777</v>
      </c>
      <c r="BT53" s="202"/>
      <c r="BU53" s="202">
        <f t="shared" si="38"/>
        <v>215.55555555555554</v>
      </c>
      <c r="BW53" s="151">
        <f t="shared" si="39"/>
        <v>216.55555555555554</v>
      </c>
      <c r="BY53" s="140">
        <f t="shared" si="40"/>
        <v>811.22222222222229</v>
      </c>
      <c r="BZ53" s="141">
        <f t="shared" si="41"/>
        <v>0.78929729729729736</v>
      </c>
      <c r="CA53" s="142" t="b">
        <f t="shared" si="42"/>
        <v>0</v>
      </c>
    </row>
    <row r="54" spans="1:79">
      <c r="A54" s="160" t="str">
        <f t="shared" si="22"/>
        <v>1SA IPVPNPremiumnationaal8192/8192</v>
      </c>
      <c r="B54" s="142" t="str">
        <f t="shared" si="23"/>
        <v>1SA IPVPN8192/8192Premium</v>
      </c>
      <c r="C54" s="198">
        <v>1</v>
      </c>
      <c r="D54" s="198" t="s">
        <v>93</v>
      </c>
      <c r="E54" s="198" t="s">
        <v>70</v>
      </c>
      <c r="F54" s="198" t="s">
        <v>115</v>
      </c>
      <c r="G54" s="199" t="s">
        <v>113</v>
      </c>
      <c r="H54" s="198" t="s">
        <v>94</v>
      </c>
      <c r="J54" s="142" t="str">
        <f t="shared" si="24"/>
        <v>SA IPVPN8192/8192Premium</v>
      </c>
      <c r="L54" s="160">
        <f>INDEX(Mapping!$J:$J,MATCH(C$3&amp;C54,Mapping!$B:$B,0))</f>
        <v>1</v>
      </c>
      <c r="M54" s="148" t="str">
        <f>INDEX(Mapping!$H:$H,MATCH($E54,Mapping!$B:$B,0))</f>
        <v>WBA ZM Ethernet</v>
      </c>
      <c r="N54" s="148" t="str">
        <f>INDEX(Mapping!$I:$I,MATCH($E54&amp;$G54,Mapping!$B:$B,0))</f>
        <v>premium</v>
      </c>
      <c r="O54" s="148" t="str">
        <f>INDEX(Mapping!$I:$I,MATCH($D54,Mapping!$B:$B,0))</f>
        <v>FttH</v>
      </c>
      <c r="P54" s="148" t="str">
        <f>INDEX(Mapping!$H:$H,MATCH($F54,Mapping!$B:$B,0))</f>
        <v>nvt</v>
      </c>
      <c r="Q54" s="148" t="str">
        <f>INDEX(Mapping!$J:$J,MATCH($E54&amp;$G54,Mapping!$B:$B,0))</f>
        <v>metro</v>
      </c>
      <c r="R54" s="148" t="str">
        <f>INDEX(Mapping!$I:$I,MATCH($J54,Mapping!$B:$B,0))</f>
        <v>10 Mbps/10 Mbps</v>
      </c>
      <c r="T54" s="148" t="str">
        <f>INDEX(Mapping!$K:$K,MATCH($E54&amp;$G54,Mapping!$B:$B,0))</f>
        <v>metro-nationaal</v>
      </c>
      <c r="U54" s="142" t="str">
        <f t="shared" si="25"/>
        <v>WBA ZM Ethernet10 Mbps/10 Mbpspremiummetro</v>
      </c>
      <c r="W54" s="160">
        <f>MATCH($J54,'Tarieven ZM'!$B:$B,0)</f>
        <v>58</v>
      </c>
      <c r="X54" s="148">
        <f>INDEX('Tarieven ZM'!$H:$H,$W54)</f>
        <v>1000</v>
      </c>
      <c r="Y54" s="161">
        <f>-INDEX(Parameters!$B:$B,MATCH(Y$3,Parameters!$A:$A,0))*$X54</f>
        <v>0</v>
      </c>
      <c r="Z54" s="149">
        <f>-INDEX(Parameters!$B:$B,MATCH(Z$3,Parameters!$A:$A,0))*$X54</f>
        <v>0</v>
      </c>
      <c r="AA54" s="148">
        <f t="shared" si="26"/>
        <v>1000</v>
      </c>
      <c r="AB54" s="148">
        <f>AA54/INDEX(Parameters!$B:$B,MATCH("AfschrijftermijnVVE"&amp;12*$C54,Parameters!$A:$A,0))</f>
        <v>27.777777777777779</v>
      </c>
      <c r="AC54" s="148">
        <f>INDEX('Tarieven ZM'!$G:$G,$W54)</f>
        <v>1000</v>
      </c>
      <c r="AD54" s="161">
        <f>-INDEX(Parameters!$B:$B,MATCH(AD$3,Parameters!$A:$A,0))*$AC54</f>
        <v>0</v>
      </c>
      <c r="AE54" s="161">
        <f>-INDEX(Parameters!$B:$B,MATCH(AE$3,Parameters!$A:$A,0))*$AC54</f>
        <v>0</v>
      </c>
      <c r="AF54" s="148">
        <f t="shared" si="27"/>
        <v>1000</v>
      </c>
      <c r="AG54" s="151">
        <f t="shared" si="28"/>
        <v>1027.7777777777778</v>
      </c>
      <c r="AH54" s="123"/>
      <c r="AI54" s="147">
        <f>IF(R54&lt;&gt;"n.a.",MATCH($U54,'Tarieven W&amp;O'!$B:$B,0),"nvt")</f>
        <v>141</v>
      </c>
      <c r="AJ54" s="148">
        <f>IF(AI54&lt;&gt;"nvt",INDEX('Tarieven W&amp;O'!$H:$H,$AI54),0)</f>
        <v>0</v>
      </c>
      <c r="AK54" s="148">
        <f>IF(AI54&lt;&gt;"nvt",INDEX('Tarieven W&amp;O'!$I:$I,$AI54),0)</f>
        <v>5</v>
      </c>
      <c r="AL54" s="277">
        <f>IF(AI54&lt;&gt;"nvt",-INDEX(Parameters!$B:$B,MATCH(AL$3&amp;$M54,Parameters!$A:$A,0))*(AJ54+AK54),0)</f>
        <v>0</v>
      </c>
      <c r="AM54" s="442"/>
      <c r="AN54" s="262">
        <f t="shared" si="29"/>
        <v>5</v>
      </c>
      <c r="AO54" s="262">
        <f>AN54/INDEX(Parameters!$B:$B,MATCH("AfschrijftermijnVVE"&amp;12*$C54,Parameters!$A:$A,0))</f>
        <v>0.1388888888888889</v>
      </c>
      <c r="AP54" s="179">
        <f t="shared" si="30"/>
        <v>141</v>
      </c>
      <c r="AQ54" s="202">
        <f>IF(AP54&lt;&gt;"nvt",INDEX('Tarieven W&amp;O'!$G:$G,$AP54),0)</f>
        <v>26.28</v>
      </c>
      <c r="AR54" s="277">
        <f>-INDEX(Parameters!$B:$B,MATCH(AR$3&amp;$M54&amp;O54,Parameters!$A:$A,0))*(AQ54)</f>
        <v>0</v>
      </c>
      <c r="AS54" s="262">
        <f>Parameters!$D$54</f>
        <v>2</v>
      </c>
      <c r="AT54" s="442">
        <f>IF(M54="WBA CM Ethernet",0,'EDC Minus'!$H$27)</f>
        <v>1</v>
      </c>
      <c r="AU54" s="150">
        <f t="shared" si="31"/>
        <v>29.28</v>
      </c>
      <c r="AV54" s="150">
        <f t="shared" si="32"/>
        <v>29.41888888888889</v>
      </c>
      <c r="AW54" s="150"/>
      <c r="AX54" s="150">
        <f>Parameters!$B$6*AV54</f>
        <v>0.29418888888888889</v>
      </c>
      <c r="AY54" s="202">
        <v>0</v>
      </c>
      <c r="AZ54" s="202"/>
      <c r="BA54" s="150">
        <f t="shared" si="33"/>
        <v>0.29418888888888889</v>
      </c>
      <c r="BB54" s="150"/>
      <c r="BC54" s="151">
        <f t="shared" si="34"/>
        <v>29.71307777777778</v>
      </c>
      <c r="BD54" s="209"/>
      <c r="BE54" s="140">
        <f t="shared" si="35"/>
        <v>998.06470000000002</v>
      </c>
      <c r="BF54" s="141">
        <f t="shared" si="36"/>
        <v>0.97108997837837829</v>
      </c>
      <c r="BG54" s="142" t="b">
        <f t="shared" si="37"/>
        <v>0</v>
      </c>
      <c r="BH54" s="148"/>
      <c r="BI54" s="188" t="s">
        <v>538</v>
      </c>
      <c r="BJ54" s="189"/>
      <c r="BK54">
        <f>VLOOKUP(J54,'Tarieven ZM'!$B$7:$I$146,8,0)</f>
        <v>0</v>
      </c>
      <c r="BL54" s="179" t="str">
        <f>INDEX(Mapping!$M:$M,MATCH($J54,Mapping!$B:$B,0))</f>
        <v>nvt</v>
      </c>
      <c r="BM54" s="282">
        <v>0</v>
      </c>
      <c r="BN54" s="262">
        <f>BM54/INDEX(Parameters!$B:$B,MATCH("AfschrijftermijnVVE"&amp;12*$C54,Parameters!$A:$A,0))</f>
        <v>0</v>
      </c>
      <c r="BO54" s="262">
        <f>Parameters!$D$59+INDEX('inkoop ULL tbv Epacity'!I:I,MATCH($BL54,'inkoop ULL tbv Epacity'!H:H,0))</f>
        <v>1</v>
      </c>
      <c r="BP54" s="263">
        <f t="shared" si="43"/>
        <v>1</v>
      </c>
      <c r="BQ54" s="203"/>
      <c r="BR54" s="262">
        <f>Parameters!$B$12*AG54</f>
        <v>102.77777777777779</v>
      </c>
      <c r="BS54" s="262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SUM(Distributievergoedingen!$F$12,Distributievergoedingen!$I$12,Distributievergoedingen!$L$12,Distributievergoedingen!$O$12)*AF54+SUM(Distributievergoedingen!$O$12*AA54+Distributievergoedingen!$R$12+Distributievergoedingen!$U$12+Distributievergoedingen!$X$12)/(MAX(36,12*L54))</f>
        <v>112.77777777777777</v>
      </c>
      <c r="BT54" s="202"/>
      <c r="BU54" s="202">
        <f t="shared" si="38"/>
        <v>215.55555555555554</v>
      </c>
      <c r="BW54" s="151">
        <f t="shared" si="39"/>
        <v>216.55555555555554</v>
      </c>
      <c r="BY54" s="140">
        <f t="shared" si="40"/>
        <v>811.22222222222229</v>
      </c>
      <c r="BZ54" s="141">
        <f t="shared" si="41"/>
        <v>0.78929729729729736</v>
      </c>
      <c r="CA54" s="142" t="b">
        <f t="shared" si="42"/>
        <v>0</v>
      </c>
    </row>
    <row r="55" spans="1:79">
      <c r="A55" s="160" t="str">
        <f t="shared" si="22"/>
        <v>1SA IPVPNPremiumnationaal10240/10240</v>
      </c>
      <c r="B55" s="142" t="str">
        <f t="shared" si="23"/>
        <v>1SA IPVPN10240/10240Premium</v>
      </c>
      <c r="C55" s="198">
        <v>1</v>
      </c>
      <c r="D55" s="198" t="s">
        <v>93</v>
      </c>
      <c r="E55" s="198" t="s">
        <v>70</v>
      </c>
      <c r="F55" s="198" t="s">
        <v>115</v>
      </c>
      <c r="G55" s="199" t="s">
        <v>113</v>
      </c>
      <c r="H55" s="198" t="s">
        <v>95</v>
      </c>
      <c r="J55" s="142" t="str">
        <f t="shared" si="24"/>
        <v>SA IPVPN10240/10240Premium</v>
      </c>
      <c r="L55" s="160">
        <f>INDEX(Mapping!$J:$J,MATCH(C$3&amp;C55,Mapping!$B:$B,0))</f>
        <v>1</v>
      </c>
      <c r="M55" s="148" t="str">
        <f>INDEX(Mapping!$H:$H,MATCH($E55,Mapping!$B:$B,0))</f>
        <v>WBA ZM Ethernet</v>
      </c>
      <c r="N55" s="148" t="str">
        <f>INDEX(Mapping!$I:$I,MATCH($E55&amp;$G55,Mapping!$B:$B,0))</f>
        <v>premium</v>
      </c>
      <c r="O55" s="148" t="str">
        <f>INDEX(Mapping!$I:$I,MATCH($D55,Mapping!$B:$B,0))</f>
        <v>FttH</v>
      </c>
      <c r="P55" s="148" t="str">
        <f>INDEX(Mapping!$H:$H,MATCH($F55,Mapping!$B:$B,0))</f>
        <v>nvt</v>
      </c>
      <c r="Q55" s="148" t="str">
        <f>INDEX(Mapping!$J:$J,MATCH($E55&amp;$G55,Mapping!$B:$B,0))</f>
        <v>metro</v>
      </c>
      <c r="R55" s="148" t="str">
        <f>INDEX(Mapping!$I:$I,MATCH($J55,Mapping!$B:$B,0))</f>
        <v>10 Mbps/10 Mbps</v>
      </c>
      <c r="T55" s="148" t="str">
        <f>INDEX(Mapping!$K:$K,MATCH($E55&amp;$G55,Mapping!$B:$B,0))</f>
        <v>metro-nationaal</v>
      </c>
      <c r="U55" s="142" t="str">
        <f t="shared" si="25"/>
        <v>WBA ZM Ethernet10 Mbps/10 Mbpspremiummetro</v>
      </c>
      <c r="W55" s="160">
        <f>MATCH($J55,'Tarieven ZM'!$B:$B,0)</f>
        <v>59</v>
      </c>
      <c r="X55" s="148">
        <f>INDEX('Tarieven ZM'!$H:$H,$W55)</f>
        <v>1000</v>
      </c>
      <c r="Y55" s="161">
        <f>-INDEX(Parameters!$B:$B,MATCH(Y$3,Parameters!$A:$A,0))*$X55</f>
        <v>0</v>
      </c>
      <c r="Z55" s="149">
        <f>-INDEX(Parameters!$B:$B,MATCH(Z$3,Parameters!$A:$A,0))*$X55</f>
        <v>0</v>
      </c>
      <c r="AA55" s="148">
        <f t="shared" si="26"/>
        <v>1000</v>
      </c>
      <c r="AB55" s="148">
        <f>AA55/INDEX(Parameters!$B:$B,MATCH("AfschrijftermijnVVE"&amp;12*$C55,Parameters!$A:$A,0))</f>
        <v>27.777777777777779</v>
      </c>
      <c r="AC55" s="148">
        <f>INDEX('Tarieven ZM'!$G:$G,$W55)</f>
        <v>1000</v>
      </c>
      <c r="AD55" s="161">
        <f>-INDEX(Parameters!$B:$B,MATCH(AD$3,Parameters!$A:$A,0))*$AC55</f>
        <v>0</v>
      </c>
      <c r="AE55" s="161">
        <f>-INDEX(Parameters!$B:$B,MATCH(AE$3,Parameters!$A:$A,0))*$AC55</f>
        <v>0</v>
      </c>
      <c r="AF55" s="148">
        <f t="shared" si="27"/>
        <v>1000</v>
      </c>
      <c r="AG55" s="151">
        <f t="shared" si="28"/>
        <v>1027.7777777777778</v>
      </c>
      <c r="AH55" s="123"/>
      <c r="AI55" s="147">
        <f>IF(R55&lt;&gt;"n.a.",MATCH($U55,'Tarieven W&amp;O'!$B:$B,0),"nvt")</f>
        <v>141</v>
      </c>
      <c r="AJ55" s="148">
        <f>IF(AI55&lt;&gt;"nvt",INDEX('Tarieven W&amp;O'!$H:$H,$AI55),0)</f>
        <v>0</v>
      </c>
      <c r="AK55" s="148">
        <f>IF(AI55&lt;&gt;"nvt",INDEX('Tarieven W&amp;O'!$I:$I,$AI55),0)</f>
        <v>5</v>
      </c>
      <c r="AL55" s="277">
        <f>IF(AI55&lt;&gt;"nvt",-INDEX(Parameters!$B:$B,MATCH(AL$3&amp;$M55,Parameters!$A:$A,0))*(AJ55+AK55),0)</f>
        <v>0</v>
      </c>
      <c r="AM55" s="442"/>
      <c r="AN55" s="262">
        <f t="shared" si="29"/>
        <v>5</v>
      </c>
      <c r="AO55" s="262">
        <f>AN55/INDEX(Parameters!$B:$B,MATCH("AfschrijftermijnVVE"&amp;12*$C55,Parameters!$A:$A,0))</f>
        <v>0.1388888888888889</v>
      </c>
      <c r="AP55" s="179">
        <f t="shared" si="30"/>
        <v>141</v>
      </c>
      <c r="AQ55" s="202">
        <f>IF(AP55&lt;&gt;"nvt",INDEX('Tarieven W&amp;O'!$G:$G,$AP55),0)</f>
        <v>26.28</v>
      </c>
      <c r="AR55" s="277">
        <f>-INDEX(Parameters!$B:$B,MATCH(AR$3&amp;$M55&amp;O55,Parameters!$A:$A,0))*(AQ55)</f>
        <v>0</v>
      </c>
      <c r="AS55" s="262">
        <f>Parameters!$D$54</f>
        <v>2</v>
      </c>
      <c r="AT55" s="442">
        <f>IF(M55="WBA CM Ethernet",0,'EDC Minus'!$H$27)</f>
        <v>1</v>
      </c>
      <c r="AU55" s="150">
        <f t="shared" si="31"/>
        <v>29.28</v>
      </c>
      <c r="AV55" s="150">
        <f t="shared" si="32"/>
        <v>29.41888888888889</v>
      </c>
      <c r="AW55" s="150"/>
      <c r="AX55" s="150">
        <f>Parameters!$B$6*AV55</f>
        <v>0.29418888888888889</v>
      </c>
      <c r="AY55" s="202">
        <v>0</v>
      </c>
      <c r="AZ55" s="202"/>
      <c r="BA55" s="150">
        <f t="shared" si="33"/>
        <v>0.29418888888888889</v>
      </c>
      <c r="BB55" s="150"/>
      <c r="BC55" s="151">
        <f t="shared" si="34"/>
        <v>29.71307777777778</v>
      </c>
      <c r="BD55" s="209"/>
      <c r="BE55" s="140">
        <f t="shared" si="35"/>
        <v>998.06470000000002</v>
      </c>
      <c r="BF55" s="141">
        <f t="shared" si="36"/>
        <v>0.97108997837837829</v>
      </c>
      <c r="BG55" s="142" t="b">
        <f t="shared" si="37"/>
        <v>0</v>
      </c>
      <c r="BH55" s="148"/>
      <c r="BI55" s="188" t="s">
        <v>538</v>
      </c>
      <c r="BJ55" s="189"/>
      <c r="BK55">
        <f>VLOOKUP(J55,'Tarieven ZM'!$B$7:$I$146,8,0)</f>
        <v>0</v>
      </c>
      <c r="BL55" s="179" t="str">
        <f>INDEX(Mapping!$M:$M,MATCH($J55,Mapping!$B:$B,0))</f>
        <v>nvt</v>
      </c>
      <c r="BM55" s="282">
        <v>0</v>
      </c>
      <c r="BN55" s="262">
        <f>BM55/INDEX(Parameters!$B:$B,MATCH("AfschrijftermijnVVE"&amp;12*$C55,Parameters!$A:$A,0))</f>
        <v>0</v>
      </c>
      <c r="BO55" s="262">
        <f>Parameters!$D$59+INDEX('inkoop ULL tbv Epacity'!I:I,MATCH($BL55,'inkoop ULL tbv Epacity'!H:H,0))</f>
        <v>1</v>
      </c>
      <c r="BP55" s="263">
        <f t="shared" si="43"/>
        <v>1</v>
      </c>
      <c r="BQ55" s="203"/>
      <c r="BR55" s="262">
        <f>Parameters!$B$12*AG55</f>
        <v>102.77777777777779</v>
      </c>
      <c r="BS55" s="262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SUM(Distributievergoedingen!$F$12,Distributievergoedingen!$I$12,Distributievergoedingen!$L$12,Distributievergoedingen!$O$12)*AF55+SUM(Distributievergoedingen!$O$12*AA55+Distributievergoedingen!$R$12+Distributievergoedingen!$U$12+Distributievergoedingen!$X$12)/(MAX(36,12*L55))</f>
        <v>112.77777777777777</v>
      </c>
      <c r="BT55" s="202"/>
      <c r="BU55" s="202">
        <f t="shared" si="38"/>
        <v>215.55555555555554</v>
      </c>
      <c r="BW55" s="151">
        <f t="shared" si="39"/>
        <v>216.55555555555554</v>
      </c>
      <c r="BY55" s="140">
        <f t="shared" si="40"/>
        <v>811.22222222222229</v>
      </c>
      <c r="BZ55" s="141">
        <f t="shared" si="41"/>
        <v>0.78929729729729736</v>
      </c>
      <c r="CA55" s="142" t="b">
        <f t="shared" si="42"/>
        <v>0</v>
      </c>
    </row>
    <row r="56" spans="1:79">
      <c r="A56" s="160" t="str">
        <f t="shared" ref="A56:A96" si="44">C56&amp;D56&amp;E56&amp;G56&amp;H56</f>
        <v>2ADSLBasicnationaal384/128</v>
      </c>
      <c r="B56" s="142" t="str">
        <f t="shared" si="23"/>
        <v>2ADSL384/128Basic</v>
      </c>
      <c r="C56" s="198">
        <v>2</v>
      </c>
      <c r="D56" s="198" t="s">
        <v>42</v>
      </c>
      <c r="E56" s="198" t="s">
        <v>44</v>
      </c>
      <c r="F56" s="198" t="s">
        <v>115</v>
      </c>
      <c r="G56" s="199" t="s">
        <v>113</v>
      </c>
      <c r="H56" s="198" t="s">
        <v>47</v>
      </c>
      <c r="J56" s="142" t="str">
        <f t="shared" ref="J56:J96" si="45">D56&amp;H56&amp;E56</f>
        <v>ADSL384/128Basic</v>
      </c>
      <c r="L56" s="160">
        <f>INDEX(Mapping!$J:$J,MATCH(C$3&amp;C56,Mapping!$B:$B,0))</f>
        <v>1</v>
      </c>
      <c r="M56" s="148" t="str">
        <f>INDEX(Mapping!$H:$H,MATCH($E56,Mapping!$B:$B,0))</f>
        <v>WBA CM Ethernet</v>
      </c>
      <c r="N56" s="148" t="str">
        <f>INDEX(Mapping!$I:$I,MATCH($E56&amp;$G56,Mapping!$B:$B,0))</f>
        <v>entry</v>
      </c>
      <c r="O56" s="148" t="str">
        <f>INDEX(Mapping!$I:$I,MATCH($D56,Mapping!$B:$B,0))</f>
        <v>ADSL</v>
      </c>
      <c r="P56" s="148" t="str">
        <f>INDEX(Mapping!$H:$H,MATCH($F56,Mapping!$B:$B,0))</f>
        <v>nvt</v>
      </c>
      <c r="Q56" s="148" t="str">
        <f>INDEX(Mapping!$J:$J,MATCH($E56&amp;$G56,Mapping!$B:$B,0))</f>
        <v>national</v>
      </c>
      <c r="R56" s="148" t="str">
        <f>INDEX(Mapping!$I:$I,MATCH($J56,Mapping!$B:$B,0))</f>
        <v>&lt;= 512 kbps/&lt;= 256 kbps</v>
      </c>
      <c r="T56" s="148" t="str">
        <f>INDEX(Mapping!$K:$K,MATCH($E56&amp;$G56,Mapping!$B:$B,0))</f>
        <v>nvt</v>
      </c>
      <c r="U56" s="142" t="str">
        <f t="shared" ref="U56:U95" si="46">M56&amp;R56&amp;N56&amp;Q56</f>
        <v>WBA CM Ethernet&lt;= 512 kbps/&lt;= 256 kbpsentrynational</v>
      </c>
      <c r="W56" s="160">
        <f>MATCH($J56,'Tarieven ZM'!$B:$B,0)</f>
        <v>8</v>
      </c>
      <c r="X56" s="148">
        <f>INDEX('Tarieven ZM'!$H:$H,$W56)</f>
        <v>1000</v>
      </c>
      <c r="Y56" s="161">
        <f>-INDEX(Parameters!$B:$B,MATCH(Y$3,Parameters!$A:$A,0))*$X56</f>
        <v>0</v>
      </c>
      <c r="Z56" s="149">
        <f>-INDEX(Parameters!$B:$B,MATCH(Z$3,Parameters!$A:$A,0))*$X56</f>
        <v>0</v>
      </c>
      <c r="AA56" s="148">
        <f t="shared" ref="AA56:AA96" si="47">SUM(X56:Z56)</f>
        <v>1000</v>
      </c>
      <c r="AB56" s="148">
        <f>AA56/INDEX(Parameters!$B:$B,MATCH("AfschrijftermijnVVE"&amp;12*$C56,Parameters!$A:$A,0))</f>
        <v>27.777777777777779</v>
      </c>
      <c r="AC56" s="148">
        <f>INDEX('Tarieven ZM'!$G:$G,$W56)</f>
        <v>1000</v>
      </c>
      <c r="AD56" s="161">
        <f>-INDEX(Parameters!$B:$B,MATCH(AD$3,Parameters!$A:$A,0))*$AC56</f>
        <v>0</v>
      </c>
      <c r="AE56" s="161">
        <f>-INDEX(Parameters!$B:$B,MATCH(AE$3,Parameters!$A:$A,0))*$AC56</f>
        <v>0</v>
      </c>
      <c r="AF56" s="148">
        <f t="shared" ref="AF56:AF96" si="48">SUM(AC56:AE56)</f>
        <v>1000</v>
      </c>
      <c r="AG56" s="151">
        <f t="shared" si="28"/>
        <v>1027.7777777777778</v>
      </c>
      <c r="AH56" s="123"/>
      <c r="AI56" s="147">
        <f>IF(R56&lt;&gt;"n.a.",MATCH($U56,'Tarieven W&amp;O'!$B:$B,0),"nvt")</f>
        <v>115</v>
      </c>
      <c r="AJ56" s="148">
        <f>IF(AI56&lt;&gt;"nvt",INDEX('Tarieven W&amp;O'!$H:$H,$AI56),0)</f>
        <v>0</v>
      </c>
      <c r="AK56" s="148">
        <f>IF(AI56&lt;&gt;"nvt",INDEX('Tarieven W&amp;O'!$I:$I,$AI56),0)</f>
        <v>5</v>
      </c>
      <c r="AL56" s="277">
        <f>IF(AI56&lt;&gt;"nvt",-INDEX(Parameters!$B:$B,MATCH(AL$3&amp;$M56,Parameters!$A:$A,0))*(AJ56+AK56),0)</f>
        <v>0</v>
      </c>
      <c r="AM56" s="442"/>
      <c r="AN56" s="262">
        <f t="shared" ref="AN56:AN96" si="49">SUM(AJ56:AM56)</f>
        <v>5</v>
      </c>
      <c r="AO56" s="262">
        <f>AN56/INDEX(Parameters!$B:$B,MATCH("AfschrijftermijnVVE"&amp;12*$C56,Parameters!$A:$A,0))</f>
        <v>0.1388888888888889</v>
      </c>
      <c r="AP56" s="179">
        <f t="shared" ref="AP56:AP96" si="50">AI56</f>
        <v>115</v>
      </c>
      <c r="AQ56" s="202">
        <f>IF(AP56&lt;&gt;"nvt",INDEX('Tarieven W&amp;O'!$G:$G,$AP56),0)</f>
        <v>3.02</v>
      </c>
      <c r="AR56" s="277">
        <f>-INDEX(Parameters!$B:$B,MATCH(AR$3&amp;$M56&amp;O56,Parameters!$A:$A,0))*(AQ56)</f>
        <v>-0.30200000000000005</v>
      </c>
      <c r="AS56" s="262">
        <f>Parameters!$D$54</f>
        <v>2</v>
      </c>
      <c r="AT56" s="442">
        <f>IF(M56="WBA CM Ethernet",0,'EDC Minus'!$H$27)</f>
        <v>0</v>
      </c>
      <c r="AU56" s="150">
        <f t="shared" si="31"/>
        <v>4.718</v>
      </c>
      <c r="AV56" s="150">
        <f t="shared" si="32"/>
        <v>4.8568888888888893</v>
      </c>
      <c r="AW56" s="150"/>
      <c r="AX56" s="150">
        <f>Parameters!$B$6*AV56</f>
        <v>4.8568888888888891E-2</v>
      </c>
      <c r="AY56" s="202">
        <v>0</v>
      </c>
      <c r="AZ56" s="202"/>
      <c r="BA56" s="150">
        <f t="shared" si="33"/>
        <v>4.8568888888888891E-2</v>
      </c>
      <c r="BB56" s="150"/>
      <c r="BC56" s="151">
        <f t="shared" si="34"/>
        <v>4.9054577777777784</v>
      </c>
      <c r="BD56" s="209"/>
      <c r="BE56" s="140">
        <f t="shared" si="35"/>
        <v>1022.8723200000001</v>
      </c>
      <c r="BF56" s="141">
        <f t="shared" si="36"/>
        <v>0.99522712216216214</v>
      </c>
      <c r="BG56" s="142" t="b">
        <f t="shared" ref="BG56:BG96" si="51">BF56&lt;0</f>
        <v>0</v>
      </c>
      <c r="BH56" s="179"/>
      <c r="BI56" s="188" t="s">
        <v>538</v>
      </c>
      <c r="BJ56" s="189"/>
      <c r="BK56">
        <f>VLOOKUP(J56,'Tarieven ZM'!$B$7:$I$146,8,0)</f>
        <v>0</v>
      </c>
      <c r="BL56" s="179" t="str">
        <f>INDEX(Mapping!$M:$M,MATCH($J56,Mapping!$B:$B,0))</f>
        <v>nvt</v>
      </c>
      <c r="BM56" s="282">
        <v>0</v>
      </c>
      <c r="BN56" s="262">
        <f>BM56/INDEX(Parameters!$B:$B,MATCH("AfschrijftermijnVVE"&amp;12*$C56,Parameters!$A:$A,0))</f>
        <v>0</v>
      </c>
      <c r="BO56" s="262">
        <f>Parameters!$D$59+INDEX('inkoop ULL tbv Epacity'!I:I,MATCH($BL56,'inkoop ULL tbv Epacity'!H:H,0))</f>
        <v>1</v>
      </c>
      <c r="BP56" s="263">
        <f t="shared" si="43"/>
        <v>1</v>
      </c>
      <c r="BQ56" s="203"/>
      <c r="BR56" s="262">
        <f>Parameters!$B$12*AG56</f>
        <v>102.77777777777779</v>
      </c>
      <c r="BS56" s="262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SUM(Distributievergoedingen!$F$12,Distributievergoedingen!$I$12,Distributievergoedingen!$L$12,Distributievergoedingen!$O$12)*AF56+SUM(Distributievergoedingen!$O$12*AA56+Distributievergoedingen!$R$12+Distributievergoedingen!$U$12+Distributievergoedingen!$X$12)/(MAX(36,12*L56))</f>
        <v>112.77777777777777</v>
      </c>
      <c r="BT56" s="202"/>
      <c r="BU56" s="202">
        <f t="shared" si="38"/>
        <v>215.55555555555554</v>
      </c>
      <c r="BW56" s="151">
        <f t="shared" si="39"/>
        <v>216.55555555555554</v>
      </c>
      <c r="BY56" s="140">
        <f t="shared" si="40"/>
        <v>811.22222222222229</v>
      </c>
      <c r="BZ56" s="141">
        <f t="shared" si="41"/>
        <v>0.78929729729729736</v>
      </c>
      <c r="CA56" s="142" t="b">
        <f t="shared" si="42"/>
        <v>0</v>
      </c>
    </row>
    <row r="57" spans="1:79">
      <c r="A57" s="160" t="str">
        <f t="shared" si="44"/>
        <v>2ADSLBasicnationaal512/256</v>
      </c>
      <c r="B57" s="142" t="str">
        <f t="shared" si="23"/>
        <v>2ADSL512/256Basic</v>
      </c>
      <c r="C57" s="198">
        <v>2</v>
      </c>
      <c r="D57" s="198" t="s">
        <v>42</v>
      </c>
      <c r="E57" s="198" t="s">
        <v>44</v>
      </c>
      <c r="F57" s="198" t="s">
        <v>115</v>
      </c>
      <c r="G57" s="199" t="s">
        <v>113</v>
      </c>
      <c r="H57" s="198" t="s">
        <v>49</v>
      </c>
      <c r="J57" s="142" t="str">
        <f t="shared" si="45"/>
        <v>ADSL512/256Basic</v>
      </c>
      <c r="L57" s="160">
        <f>INDEX(Mapping!$J:$J,MATCH(C$3&amp;C57,Mapping!$B:$B,0))</f>
        <v>1</v>
      </c>
      <c r="M57" s="148" t="str">
        <f>INDEX(Mapping!$H:$H,MATCH($E57,Mapping!$B:$B,0))</f>
        <v>WBA CM Ethernet</v>
      </c>
      <c r="N57" s="148" t="str">
        <f>INDEX(Mapping!$I:$I,MATCH($E57&amp;$G57,Mapping!$B:$B,0))</f>
        <v>entry</v>
      </c>
      <c r="O57" s="148" t="str">
        <f>INDEX(Mapping!$I:$I,MATCH($D57,Mapping!$B:$B,0))</f>
        <v>ADSL</v>
      </c>
      <c r="P57" s="148" t="str">
        <f>INDEX(Mapping!$H:$H,MATCH($F57,Mapping!$B:$B,0))</f>
        <v>nvt</v>
      </c>
      <c r="Q57" s="148" t="str">
        <f>INDEX(Mapping!$J:$J,MATCH($E57&amp;$G57,Mapping!$B:$B,0))</f>
        <v>national</v>
      </c>
      <c r="R57" s="148" t="str">
        <f>INDEX(Mapping!$I:$I,MATCH($J57,Mapping!$B:$B,0))</f>
        <v>&lt;= 512 kbps/&lt;= 256 kbps</v>
      </c>
      <c r="T57" s="148" t="str">
        <f>INDEX(Mapping!$K:$K,MATCH($E57&amp;$G57,Mapping!$B:$B,0))</f>
        <v>nvt</v>
      </c>
      <c r="U57" s="142" t="str">
        <f t="shared" si="46"/>
        <v>WBA CM Ethernet&lt;= 512 kbps/&lt;= 256 kbpsentrynational</v>
      </c>
      <c r="W57" s="160">
        <f>MATCH($J57,'Tarieven ZM'!$B:$B,0)</f>
        <v>9</v>
      </c>
      <c r="X57" s="148">
        <f>INDEX('Tarieven ZM'!$H:$H,$W57)</f>
        <v>1000</v>
      </c>
      <c r="Y57" s="161">
        <f>-INDEX(Parameters!$B:$B,MATCH(Y$3,Parameters!$A:$A,0))*$X57</f>
        <v>0</v>
      </c>
      <c r="Z57" s="149">
        <f>-INDEX(Parameters!$B:$B,MATCH(Z$3,Parameters!$A:$A,0))*$X57</f>
        <v>0</v>
      </c>
      <c r="AA57" s="148">
        <f t="shared" si="47"/>
        <v>1000</v>
      </c>
      <c r="AB57" s="148">
        <f>AA57/INDEX(Parameters!$B:$B,MATCH("AfschrijftermijnVVE"&amp;12*$C57,Parameters!$A:$A,0))</f>
        <v>27.777777777777779</v>
      </c>
      <c r="AC57" s="148">
        <f>INDEX('Tarieven ZM'!$G:$G,$W57)</f>
        <v>1000</v>
      </c>
      <c r="AD57" s="161">
        <f>-INDEX(Parameters!$B:$B,MATCH(AD$3,Parameters!$A:$A,0))*$AC57</f>
        <v>0</v>
      </c>
      <c r="AE57" s="161">
        <f>-INDEX(Parameters!$B:$B,MATCH(AE$3,Parameters!$A:$A,0))*$AC57</f>
        <v>0</v>
      </c>
      <c r="AF57" s="148">
        <f t="shared" si="48"/>
        <v>1000</v>
      </c>
      <c r="AG57" s="151">
        <f t="shared" si="28"/>
        <v>1027.7777777777778</v>
      </c>
      <c r="AH57" s="123"/>
      <c r="AI57" s="147">
        <f>IF(R57&lt;&gt;"n.a.",MATCH($U57,'Tarieven W&amp;O'!$B:$B,0),"nvt")</f>
        <v>115</v>
      </c>
      <c r="AJ57" s="148">
        <f>IF(AI57&lt;&gt;"nvt",INDEX('Tarieven W&amp;O'!$H:$H,$AI57),0)</f>
        <v>0</v>
      </c>
      <c r="AK57" s="148">
        <f>IF(AI57&lt;&gt;"nvt",INDEX('Tarieven W&amp;O'!$I:$I,$AI57),0)</f>
        <v>5</v>
      </c>
      <c r="AL57" s="277">
        <f>IF(AI57&lt;&gt;"nvt",-INDEX(Parameters!$B:$B,MATCH(AL$3&amp;$M57,Parameters!$A:$A,0))*(AJ57+AK57),0)</f>
        <v>0</v>
      </c>
      <c r="AM57" s="442"/>
      <c r="AN57" s="262">
        <f t="shared" si="49"/>
        <v>5</v>
      </c>
      <c r="AO57" s="262">
        <f>AN57/INDEX(Parameters!$B:$B,MATCH("AfschrijftermijnVVE"&amp;12*$C57,Parameters!$A:$A,0))</f>
        <v>0.1388888888888889</v>
      </c>
      <c r="AP57" s="179">
        <f t="shared" si="50"/>
        <v>115</v>
      </c>
      <c r="AQ57" s="202">
        <f>IF(AP57&lt;&gt;"nvt",INDEX('Tarieven W&amp;O'!$G:$G,$AP57),0)</f>
        <v>3.02</v>
      </c>
      <c r="AR57" s="277">
        <f>-INDEX(Parameters!$B:$B,MATCH(AR$3&amp;$M57&amp;O57,Parameters!$A:$A,0))*(AQ57)</f>
        <v>-0.30200000000000005</v>
      </c>
      <c r="AS57" s="262">
        <f>Parameters!$D$54</f>
        <v>2</v>
      </c>
      <c r="AT57" s="442">
        <f>IF(M57="WBA CM Ethernet",0,'EDC Minus'!$H$27)</f>
        <v>0</v>
      </c>
      <c r="AU57" s="150">
        <f t="shared" si="31"/>
        <v>4.718</v>
      </c>
      <c r="AV57" s="150">
        <f t="shared" si="32"/>
        <v>4.8568888888888893</v>
      </c>
      <c r="AW57" s="150"/>
      <c r="AX57" s="150">
        <f>Parameters!$B$6*AV57</f>
        <v>4.8568888888888891E-2</v>
      </c>
      <c r="AY57" s="202">
        <v>0</v>
      </c>
      <c r="AZ57" s="202"/>
      <c r="BA57" s="150">
        <f t="shared" si="33"/>
        <v>4.8568888888888891E-2</v>
      </c>
      <c r="BB57" s="150"/>
      <c r="BC57" s="151">
        <f t="shared" si="34"/>
        <v>4.9054577777777784</v>
      </c>
      <c r="BD57" s="209"/>
      <c r="BE57" s="140">
        <f t="shared" si="35"/>
        <v>1022.8723200000001</v>
      </c>
      <c r="BF57" s="141">
        <f t="shared" si="36"/>
        <v>0.99522712216216214</v>
      </c>
      <c r="BG57" s="142" t="b">
        <f t="shared" si="51"/>
        <v>0</v>
      </c>
      <c r="BH57" s="148"/>
      <c r="BI57" s="188" t="s">
        <v>538</v>
      </c>
      <c r="BJ57" s="189"/>
      <c r="BK57">
        <f>VLOOKUP(J57,'Tarieven ZM'!$B$7:$I$146,8,0)</f>
        <v>0</v>
      </c>
      <c r="BL57" s="179" t="str">
        <f>INDEX(Mapping!$M:$M,MATCH($J57,Mapping!$B:$B,0))</f>
        <v>nvt</v>
      </c>
      <c r="BM57" s="282">
        <v>0</v>
      </c>
      <c r="BN57" s="262">
        <f>BM57/INDEX(Parameters!$B:$B,MATCH("AfschrijftermijnVVE"&amp;12*$C57,Parameters!$A:$A,0))</f>
        <v>0</v>
      </c>
      <c r="BO57" s="262">
        <f>Parameters!$D$59+INDEX('inkoop ULL tbv Epacity'!I:I,MATCH($BL57,'inkoop ULL tbv Epacity'!H:H,0))</f>
        <v>1</v>
      </c>
      <c r="BP57" s="263">
        <f t="shared" si="43"/>
        <v>1</v>
      </c>
      <c r="BQ57" s="203"/>
      <c r="BR57" s="262">
        <f>Parameters!$B$12*AG57</f>
        <v>102.77777777777779</v>
      </c>
      <c r="BS57" s="262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SUM(Distributievergoedingen!$F$12,Distributievergoedingen!$I$12,Distributievergoedingen!$L$12,Distributievergoedingen!$O$12)*AF57+SUM(Distributievergoedingen!$O$12*AA57+Distributievergoedingen!$R$12+Distributievergoedingen!$U$12+Distributievergoedingen!$X$12)/(MAX(36,12*L57))</f>
        <v>112.77777777777777</v>
      </c>
      <c r="BT57" s="202"/>
      <c r="BU57" s="202">
        <f t="shared" si="38"/>
        <v>215.55555555555554</v>
      </c>
      <c r="BW57" s="151">
        <f t="shared" si="39"/>
        <v>216.55555555555554</v>
      </c>
      <c r="BY57" s="140">
        <f t="shared" si="40"/>
        <v>811.22222222222229</v>
      </c>
      <c r="BZ57" s="141">
        <f t="shared" si="41"/>
        <v>0.78929729729729736</v>
      </c>
      <c r="CA57" s="142" t="b">
        <f t="shared" si="42"/>
        <v>0</v>
      </c>
    </row>
    <row r="58" spans="1:79">
      <c r="A58" s="160" t="str">
        <f t="shared" si="44"/>
        <v>2ADSLBasicnationaal1024/512</v>
      </c>
      <c r="B58" s="142" t="str">
        <f t="shared" si="23"/>
        <v>2ADSL1024/512Basic</v>
      </c>
      <c r="C58" s="198">
        <v>2</v>
      </c>
      <c r="D58" s="198" t="s">
        <v>42</v>
      </c>
      <c r="E58" s="198" t="s">
        <v>44</v>
      </c>
      <c r="F58" s="198" t="s">
        <v>115</v>
      </c>
      <c r="G58" s="199" t="s">
        <v>113</v>
      </c>
      <c r="H58" s="198" t="s">
        <v>53</v>
      </c>
      <c r="J58" s="142" t="str">
        <f t="shared" si="45"/>
        <v>ADSL1024/512Basic</v>
      </c>
      <c r="L58" s="160">
        <f>INDEX(Mapping!$J:$J,MATCH(C$3&amp;C58,Mapping!$B:$B,0))</f>
        <v>1</v>
      </c>
      <c r="M58" s="148" t="str">
        <f>INDEX(Mapping!$H:$H,MATCH($E58,Mapping!$B:$B,0))</f>
        <v>WBA CM Ethernet</v>
      </c>
      <c r="N58" s="148" t="str">
        <f>INDEX(Mapping!$I:$I,MATCH($E58&amp;$G58,Mapping!$B:$B,0))</f>
        <v>entry</v>
      </c>
      <c r="O58" s="148" t="str">
        <f>INDEX(Mapping!$I:$I,MATCH($D58,Mapping!$B:$B,0))</f>
        <v>ADSL</v>
      </c>
      <c r="P58" s="148" t="str">
        <f>INDEX(Mapping!$H:$H,MATCH($F58,Mapping!$B:$B,0))</f>
        <v>nvt</v>
      </c>
      <c r="Q58" s="148" t="str">
        <f>INDEX(Mapping!$J:$J,MATCH($E58&amp;$G58,Mapping!$B:$B,0))</f>
        <v>national</v>
      </c>
      <c r="R58" s="148" t="str">
        <f>INDEX(Mapping!$I:$I,MATCH($J58,Mapping!$B:$B,0))</f>
        <v>&lt;= 2 Mbps/&lt;= 512 kbps</v>
      </c>
      <c r="T58" s="148" t="str">
        <f>INDEX(Mapping!$K:$K,MATCH($E58&amp;$G58,Mapping!$B:$B,0))</f>
        <v>nvt</v>
      </c>
      <c r="U58" s="142" t="str">
        <f t="shared" si="46"/>
        <v>WBA CM Ethernet&lt;= 2 Mbps/&lt;= 512 kbpsentrynational</v>
      </c>
      <c r="W58" s="160">
        <f>MATCH($J58,'Tarieven ZM'!$B:$B,0)</f>
        <v>10</v>
      </c>
      <c r="X58" s="148">
        <f>INDEX('Tarieven ZM'!$H:$H,$W58)</f>
        <v>1000</v>
      </c>
      <c r="Y58" s="161">
        <f>-INDEX(Parameters!$B:$B,MATCH(Y$3,Parameters!$A:$A,0))*$X58</f>
        <v>0</v>
      </c>
      <c r="Z58" s="149">
        <f>-INDEX(Parameters!$B:$B,MATCH(Z$3,Parameters!$A:$A,0))*$X58</f>
        <v>0</v>
      </c>
      <c r="AA58" s="148">
        <f t="shared" si="47"/>
        <v>1000</v>
      </c>
      <c r="AB58" s="148">
        <f>AA58/INDEX(Parameters!$B:$B,MATCH("AfschrijftermijnVVE"&amp;12*$C58,Parameters!$A:$A,0))</f>
        <v>27.777777777777779</v>
      </c>
      <c r="AC58" s="148">
        <f>INDEX('Tarieven ZM'!$G:$G,$W58)</f>
        <v>1000</v>
      </c>
      <c r="AD58" s="161">
        <f>-INDEX(Parameters!$B:$B,MATCH(AD$3,Parameters!$A:$A,0))*$AC58</f>
        <v>0</v>
      </c>
      <c r="AE58" s="161">
        <f>-INDEX(Parameters!$B:$B,MATCH(AE$3,Parameters!$A:$A,0))*$AC58</f>
        <v>0</v>
      </c>
      <c r="AF58" s="148">
        <f t="shared" si="48"/>
        <v>1000</v>
      </c>
      <c r="AG58" s="151">
        <f t="shared" si="28"/>
        <v>1027.7777777777778</v>
      </c>
      <c r="AH58" s="123"/>
      <c r="AI58" s="147">
        <f>IF(R58&lt;&gt;"n.a.",MATCH($U58,'Tarieven W&amp;O'!$B:$B,0),"nvt")</f>
        <v>116</v>
      </c>
      <c r="AJ58" s="148">
        <f>IF(AI58&lt;&gt;"nvt",INDEX('Tarieven W&amp;O'!$H:$H,$AI58),0)</f>
        <v>0</v>
      </c>
      <c r="AK58" s="148">
        <f>IF(AI58&lt;&gt;"nvt",INDEX('Tarieven W&amp;O'!$I:$I,$AI58),0)</f>
        <v>5</v>
      </c>
      <c r="AL58" s="277">
        <f>IF(AI58&lt;&gt;"nvt",-INDEX(Parameters!$B:$B,MATCH(AL$3&amp;$M58,Parameters!$A:$A,0))*(AJ58+AK58),0)</f>
        <v>0</v>
      </c>
      <c r="AM58" s="442"/>
      <c r="AN58" s="262">
        <f t="shared" si="49"/>
        <v>5</v>
      </c>
      <c r="AO58" s="262">
        <f>AN58/INDEX(Parameters!$B:$B,MATCH("AfschrijftermijnVVE"&amp;12*$C58,Parameters!$A:$A,0))</f>
        <v>0.1388888888888889</v>
      </c>
      <c r="AP58" s="179">
        <f t="shared" si="50"/>
        <v>116</v>
      </c>
      <c r="AQ58" s="202">
        <f>IF(AP58&lt;&gt;"nvt",INDEX('Tarieven W&amp;O'!$G:$G,$AP58),0)</f>
        <v>3.02</v>
      </c>
      <c r="AR58" s="277">
        <f>-INDEX(Parameters!$B:$B,MATCH(AR$3&amp;$M58&amp;O58,Parameters!$A:$A,0))*(AQ58)</f>
        <v>-0.30200000000000005</v>
      </c>
      <c r="AS58" s="262">
        <f>Parameters!$D$54</f>
        <v>2</v>
      </c>
      <c r="AT58" s="442">
        <f>IF(M58="WBA CM Ethernet",0,'EDC Minus'!$H$27)</f>
        <v>0</v>
      </c>
      <c r="AU58" s="150">
        <f t="shared" si="31"/>
        <v>4.718</v>
      </c>
      <c r="AV58" s="150">
        <f t="shared" si="32"/>
        <v>4.8568888888888893</v>
      </c>
      <c r="AW58" s="150"/>
      <c r="AX58" s="150">
        <f>Parameters!$B$6*AV58</f>
        <v>4.8568888888888891E-2</v>
      </c>
      <c r="AY58" s="202">
        <v>0</v>
      </c>
      <c r="AZ58" s="202"/>
      <c r="BA58" s="150">
        <f t="shared" si="33"/>
        <v>4.8568888888888891E-2</v>
      </c>
      <c r="BB58" s="150"/>
      <c r="BC58" s="151">
        <f t="shared" si="34"/>
        <v>4.9054577777777784</v>
      </c>
      <c r="BD58" s="209"/>
      <c r="BE58" s="140">
        <f t="shared" si="35"/>
        <v>1022.8723200000001</v>
      </c>
      <c r="BF58" s="141">
        <f t="shared" si="36"/>
        <v>0.99522712216216214</v>
      </c>
      <c r="BG58" s="142" t="b">
        <f t="shared" si="51"/>
        <v>0</v>
      </c>
      <c r="BH58" s="148"/>
      <c r="BI58" s="188" t="s">
        <v>538</v>
      </c>
      <c r="BJ58" s="189"/>
      <c r="BK58">
        <f>VLOOKUP(J58,'Tarieven ZM'!$B$7:$I$146,8,0)</f>
        <v>0</v>
      </c>
      <c r="BL58" s="179" t="str">
        <f>INDEX(Mapping!$M:$M,MATCH($J58,Mapping!$B:$B,0))</f>
        <v>nvt</v>
      </c>
      <c r="BM58" s="282">
        <v>0</v>
      </c>
      <c r="BN58" s="262">
        <f>BM58/INDEX(Parameters!$B:$B,MATCH("AfschrijftermijnVVE"&amp;12*$C58,Parameters!$A:$A,0))</f>
        <v>0</v>
      </c>
      <c r="BO58" s="262">
        <f>Parameters!$D$59+INDEX('inkoop ULL tbv Epacity'!I:I,MATCH($BL58,'inkoop ULL tbv Epacity'!H:H,0))</f>
        <v>1</v>
      </c>
      <c r="BP58" s="263">
        <f t="shared" si="43"/>
        <v>1</v>
      </c>
      <c r="BQ58" s="203"/>
      <c r="BR58" s="262">
        <f>Parameters!$B$12*AG58</f>
        <v>102.77777777777779</v>
      </c>
      <c r="BS58" s="262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SUM(Distributievergoedingen!$F$12,Distributievergoedingen!$I$12,Distributievergoedingen!$L$12,Distributievergoedingen!$O$12)*AF58+SUM(Distributievergoedingen!$O$12*AA58+Distributievergoedingen!$R$12+Distributievergoedingen!$U$12+Distributievergoedingen!$X$12)/(MAX(36,12*L58))</f>
        <v>112.77777777777777</v>
      </c>
      <c r="BT58" s="202"/>
      <c r="BU58" s="202">
        <f t="shared" si="38"/>
        <v>215.55555555555554</v>
      </c>
      <c r="BW58" s="151">
        <f t="shared" si="39"/>
        <v>216.55555555555554</v>
      </c>
      <c r="BY58" s="140">
        <f t="shared" si="40"/>
        <v>811.22222222222229</v>
      </c>
      <c r="BZ58" s="141">
        <f t="shared" si="41"/>
        <v>0.78929729729729736</v>
      </c>
      <c r="CA58" s="142" t="b">
        <f t="shared" si="42"/>
        <v>0</v>
      </c>
    </row>
    <row r="59" spans="1:79">
      <c r="A59" s="160" t="str">
        <f t="shared" si="44"/>
        <v>2ADSLBasicnationaal2048/512</v>
      </c>
      <c r="B59" s="142" t="str">
        <f t="shared" si="23"/>
        <v>2ADSL2048/512Basic</v>
      </c>
      <c r="C59" s="198">
        <v>2</v>
      </c>
      <c r="D59" s="198" t="s">
        <v>42</v>
      </c>
      <c r="E59" s="198" t="s">
        <v>44</v>
      </c>
      <c r="F59" s="198" t="s">
        <v>115</v>
      </c>
      <c r="G59" s="199" t="s">
        <v>113</v>
      </c>
      <c r="H59" s="198" t="s">
        <v>54</v>
      </c>
      <c r="J59" s="142" t="str">
        <f t="shared" si="45"/>
        <v>ADSL2048/512Basic</v>
      </c>
      <c r="L59" s="160">
        <f>INDEX(Mapping!$J:$J,MATCH(C$3&amp;C59,Mapping!$B:$B,0))</f>
        <v>1</v>
      </c>
      <c r="M59" s="148" t="str">
        <f>INDEX(Mapping!$H:$H,MATCH($E59,Mapping!$B:$B,0))</f>
        <v>WBA CM Ethernet</v>
      </c>
      <c r="N59" s="148" t="str">
        <f>INDEX(Mapping!$I:$I,MATCH($E59&amp;$G59,Mapping!$B:$B,0))</f>
        <v>entry</v>
      </c>
      <c r="O59" s="148" t="str">
        <f>INDEX(Mapping!$I:$I,MATCH($D59,Mapping!$B:$B,0))</f>
        <v>ADSL</v>
      </c>
      <c r="P59" s="148" t="str">
        <f>INDEX(Mapping!$H:$H,MATCH($F59,Mapping!$B:$B,0))</f>
        <v>nvt</v>
      </c>
      <c r="Q59" s="148" t="str">
        <f>INDEX(Mapping!$J:$J,MATCH($E59&amp;$G59,Mapping!$B:$B,0))</f>
        <v>national</v>
      </c>
      <c r="R59" s="148" t="str">
        <f>INDEX(Mapping!$I:$I,MATCH($J59,Mapping!$B:$B,0))</f>
        <v>&lt;= 2 Mbps/&lt;= 512 kbps</v>
      </c>
      <c r="T59" s="148" t="str">
        <f>INDEX(Mapping!$K:$K,MATCH($E59&amp;$G59,Mapping!$B:$B,0))</f>
        <v>nvt</v>
      </c>
      <c r="U59" s="142" t="str">
        <f t="shared" si="46"/>
        <v>WBA CM Ethernet&lt;= 2 Mbps/&lt;= 512 kbpsentrynational</v>
      </c>
      <c r="W59" s="160">
        <f>MATCH($J59,'Tarieven ZM'!$B:$B,0)</f>
        <v>11</v>
      </c>
      <c r="X59" s="148">
        <f>INDEX('Tarieven ZM'!$H:$H,$W59)</f>
        <v>1000</v>
      </c>
      <c r="Y59" s="161">
        <f>-INDEX(Parameters!$B:$B,MATCH(Y$3,Parameters!$A:$A,0))*$X59</f>
        <v>0</v>
      </c>
      <c r="Z59" s="149">
        <f>-INDEX(Parameters!$B:$B,MATCH(Z$3,Parameters!$A:$A,0))*$X59</f>
        <v>0</v>
      </c>
      <c r="AA59" s="148">
        <f t="shared" si="47"/>
        <v>1000</v>
      </c>
      <c r="AB59" s="148">
        <f>AA59/INDEX(Parameters!$B:$B,MATCH("AfschrijftermijnVVE"&amp;12*$C59,Parameters!$A:$A,0))</f>
        <v>27.777777777777779</v>
      </c>
      <c r="AC59" s="148">
        <f>INDEX('Tarieven ZM'!$G:$G,$W59)</f>
        <v>1000</v>
      </c>
      <c r="AD59" s="161">
        <f>-INDEX(Parameters!$B:$B,MATCH(AD$3,Parameters!$A:$A,0))*$AC59</f>
        <v>0</v>
      </c>
      <c r="AE59" s="161">
        <f>-INDEX(Parameters!$B:$B,MATCH(AE$3,Parameters!$A:$A,0))*$AC59</f>
        <v>0</v>
      </c>
      <c r="AF59" s="148">
        <f t="shared" si="48"/>
        <v>1000</v>
      </c>
      <c r="AG59" s="151">
        <f t="shared" si="28"/>
        <v>1027.7777777777778</v>
      </c>
      <c r="AH59" s="123"/>
      <c r="AI59" s="147">
        <f>IF(R59&lt;&gt;"n.a.",MATCH($U59,'Tarieven W&amp;O'!$B:$B,0),"nvt")</f>
        <v>116</v>
      </c>
      <c r="AJ59" s="148">
        <f>IF(AI59&lt;&gt;"nvt",INDEX('Tarieven W&amp;O'!$H:$H,$AI59),0)</f>
        <v>0</v>
      </c>
      <c r="AK59" s="148">
        <f>IF(AI59&lt;&gt;"nvt",INDEX('Tarieven W&amp;O'!$I:$I,$AI59),0)</f>
        <v>5</v>
      </c>
      <c r="AL59" s="277">
        <f>IF(AI59&lt;&gt;"nvt",-INDEX(Parameters!$B:$B,MATCH(AL$3&amp;$M59,Parameters!$A:$A,0))*(AJ59+AK59),0)</f>
        <v>0</v>
      </c>
      <c r="AM59" s="442"/>
      <c r="AN59" s="262">
        <f t="shared" si="49"/>
        <v>5</v>
      </c>
      <c r="AO59" s="262">
        <f>AN59/INDEX(Parameters!$B:$B,MATCH("AfschrijftermijnVVE"&amp;12*$C59,Parameters!$A:$A,0))</f>
        <v>0.1388888888888889</v>
      </c>
      <c r="AP59" s="179">
        <f t="shared" si="50"/>
        <v>116</v>
      </c>
      <c r="AQ59" s="202">
        <f>IF(AP59&lt;&gt;"nvt",INDEX('Tarieven W&amp;O'!$G:$G,$AP59),0)</f>
        <v>3.02</v>
      </c>
      <c r="AR59" s="277">
        <f>-INDEX(Parameters!$B:$B,MATCH(AR$3&amp;$M59&amp;O59,Parameters!$A:$A,0))*(AQ59)</f>
        <v>-0.30200000000000005</v>
      </c>
      <c r="AS59" s="262">
        <f>Parameters!$D$54</f>
        <v>2</v>
      </c>
      <c r="AT59" s="442">
        <f>IF(M59="WBA CM Ethernet",0,'EDC Minus'!$H$27)</f>
        <v>0</v>
      </c>
      <c r="AU59" s="150">
        <f t="shared" si="31"/>
        <v>4.718</v>
      </c>
      <c r="AV59" s="150">
        <f t="shared" si="32"/>
        <v>4.8568888888888893</v>
      </c>
      <c r="AW59" s="150"/>
      <c r="AX59" s="150">
        <f>Parameters!$B$6*AV59</f>
        <v>4.8568888888888891E-2</v>
      </c>
      <c r="AY59" s="202">
        <v>0</v>
      </c>
      <c r="AZ59" s="202"/>
      <c r="BA59" s="150">
        <f t="shared" si="33"/>
        <v>4.8568888888888891E-2</v>
      </c>
      <c r="BB59" s="150"/>
      <c r="BC59" s="151">
        <f t="shared" si="34"/>
        <v>4.9054577777777784</v>
      </c>
      <c r="BD59" s="209"/>
      <c r="BE59" s="140">
        <f t="shared" si="35"/>
        <v>1022.8723200000001</v>
      </c>
      <c r="BF59" s="141">
        <f t="shared" si="36"/>
        <v>0.99522712216216214</v>
      </c>
      <c r="BG59" s="142" t="b">
        <f t="shared" si="51"/>
        <v>0</v>
      </c>
      <c r="BH59" s="148"/>
      <c r="BI59" s="188" t="s">
        <v>538</v>
      </c>
      <c r="BJ59" s="189"/>
      <c r="BK59">
        <f>VLOOKUP(J59,'Tarieven ZM'!$B$7:$I$146,8,0)</f>
        <v>0</v>
      </c>
      <c r="BL59" s="179" t="str">
        <f>INDEX(Mapping!$M:$M,MATCH($J59,Mapping!$B:$B,0))</f>
        <v>nvt</v>
      </c>
      <c r="BM59" s="282">
        <v>0</v>
      </c>
      <c r="BN59" s="262">
        <f>BM59/INDEX(Parameters!$B:$B,MATCH("AfschrijftermijnVVE"&amp;12*$C59,Parameters!$A:$A,0))</f>
        <v>0</v>
      </c>
      <c r="BO59" s="262">
        <f>Parameters!$D$59+INDEX('inkoop ULL tbv Epacity'!I:I,MATCH($BL59,'inkoop ULL tbv Epacity'!H:H,0))</f>
        <v>1</v>
      </c>
      <c r="BP59" s="263">
        <f t="shared" si="43"/>
        <v>1</v>
      </c>
      <c r="BQ59" s="203"/>
      <c r="BR59" s="262">
        <f>Parameters!$B$12*AG59</f>
        <v>102.77777777777779</v>
      </c>
      <c r="BS59" s="262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SUM(Distributievergoedingen!$F$12,Distributievergoedingen!$I$12,Distributievergoedingen!$L$12,Distributievergoedingen!$O$12)*AF59+SUM(Distributievergoedingen!$O$12*AA59+Distributievergoedingen!$R$12+Distributievergoedingen!$U$12+Distributievergoedingen!$X$12)/(MAX(36,12*L59))</f>
        <v>112.77777777777777</v>
      </c>
      <c r="BT59" s="202"/>
      <c r="BU59" s="202">
        <f t="shared" si="38"/>
        <v>215.55555555555554</v>
      </c>
      <c r="BW59" s="151">
        <f t="shared" si="39"/>
        <v>216.55555555555554</v>
      </c>
      <c r="BY59" s="140">
        <f t="shared" si="40"/>
        <v>811.22222222222229</v>
      </c>
      <c r="BZ59" s="141">
        <f t="shared" si="41"/>
        <v>0.78929729729729736</v>
      </c>
      <c r="CA59" s="142" t="b">
        <f t="shared" si="42"/>
        <v>0</v>
      </c>
    </row>
    <row r="60" spans="1:79">
      <c r="A60" s="160" t="str">
        <f t="shared" si="44"/>
        <v>2ADSLBasicnationaal3072/512</v>
      </c>
      <c r="B60" s="142" t="str">
        <f t="shared" si="23"/>
        <v>2ADSL3072/512Basic</v>
      </c>
      <c r="C60" s="198">
        <v>2</v>
      </c>
      <c r="D60" s="198" t="s">
        <v>42</v>
      </c>
      <c r="E60" s="198" t="s">
        <v>44</v>
      </c>
      <c r="F60" s="198" t="s">
        <v>115</v>
      </c>
      <c r="G60" s="199" t="s">
        <v>113</v>
      </c>
      <c r="H60" s="198" t="s">
        <v>55</v>
      </c>
      <c r="J60" s="142" t="str">
        <f t="shared" si="45"/>
        <v>ADSL3072/512Basic</v>
      </c>
      <c r="L60" s="160">
        <f>INDEX(Mapping!$J:$J,MATCH(C$3&amp;C60,Mapping!$B:$B,0))</f>
        <v>1</v>
      </c>
      <c r="M60" s="148" t="str">
        <f>INDEX(Mapping!$H:$H,MATCH($E60,Mapping!$B:$B,0))</f>
        <v>WBA CM Ethernet</v>
      </c>
      <c r="N60" s="148" t="str">
        <f>INDEX(Mapping!$I:$I,MATCH($E60&amp;$G60,Mapping!$B:$B,0))</f>
        <v>entry</v>
      </c>
      <c r="O60" s="148" t="str">
        <f>INDEX(Mapping!$I:$I,MATCH($D60,Mapping!$B:$B,0))</f>
        <v>ADSL</v>
      </c>
      <c r="P60" s="148" t="str">
        <f>INDEX(Mapping!$H:$H,MATCH($F60,Mapping!$B:$B,0))</f>
        <v>nvt</v>
      </c>
      <c r="Q60" s="148" t="str">
        <f>INDEX(Mapping!$J:$J,MATCH($E60&amp;$G60,Mapping!$B:$B,0))</f>
        <v>national</v>
      </c>
      <c r="R60" s="148" t="str">
        <f>INDEX(Mapping!$I:$I,MATCH($J60,Mapping!$B:$B,0))</f>
        <v>&lt;= 4 Mbps/&lt;= 1 Mbps</v>
      </c>
      <c r="T60" s="148" t="str">
        <f>INDEX(Mapping!$K:$K,MATCH($E60&amp;$G60,Mapping!$B:$B,0))</f>
        <v>nvt</v>
      </c>
      <c r="U60" s="142" t="str">
        <f t="shared" si="46"/>
        <v>WBA CM Ethernet&lt;= 4 Mbps/&lt;= 1 Mbpsentrynational</v>
      </c>
      <c r="W60" s="160">
        <f>MATCH($J60,'Tarieven ZM'!$B:$B,0)</f>
        <v>12</v>
      </c>
      <c r="X60" s="148">
        <f>INDEX('Tarieven ZM'!$H:$H,$W60)</f>
        <v>1000</v>
      </c>
      <c r="Y60" s="161">
        <f>-INDEX(Parameters!$B:$B,MATCH(Y$3,Parameters!$A:$A,0))*$X60</f>
        <v>0</v>
      </c>
      <c r="Z60" s="149">
        <f>-INDEX(Parameters!$B:$B,MATCH(Z$3,Parameters!$A:$A,0))*$X60</f>
        <v>0</v>
      </c>
      <c r="AA60" s="148">
        <f t="shared" si="47"/>
        <v>1000</v>
      </c>
      <c r="AB60" s="148">
        <f>AA60/INDEX(Parameters!$B:$B,MATCH("AfschrijftermijnVVE"&amp;12*$C60,Parameters!$A:$A,0))</f>
        <v>27.777777777777779</v>
      </c>
      <c r="AC60" s="148">
        <f>INDEX('Tarieven ZM'!$G:$G,$W60)</f>
        <v>1000</v>
      </c>
      <c r="AD60" s="161">
        <f>-INDEX(Parameters!$B:$B,MATCH(AD$3,Parameters!$A:$A,0))*$AC60</f>
        <v>0</v>
      </c>
      <c r="AE60" s="161">
        <f>-INDEX(Parameters!$B:$B,MATCH(AE$3,Parameters!$A:$A,0))*$AC60</f>
        <v>0</v>
      </c>
      <c r="AF60" s="148">
        <f t="shared" si="48"/>
        <v>1000</v>
      </c>
      <c r="AG60" s="151">
        <f t="shared" si="28"/>
        <v>1027.7777777777778</v>
      </c>
      <c r="AH60" s="123"/>
      <c r="AI60" s="147">
        <f>IF(R60&lt;&gt;"n.a.",MATCH($U60,'Tarieven W&amp;O'!$B:$B,0),"nvt")</f>
        <v>117</v>
      </c>
      <c r="AJ60" s="148">
        <f>IF(AI60&lt;&gt;"nvt",INDEX('Tarieven W&amp;O'!$H:$H,$AI60),0)</f>
        <v>0</v>
      </c>
      <c r="AK60" s="148">
        <f>IF(AI60&lt;&gt;"nvt",INDEX('Tarieven W&amp;O'!$I:$I,$AI60),0)</f>
        <v>5</v>
      </c>
      <c r="AL60" s="277">
        <f>IF(AI60&lt;&gt;"nvt",-INDEX(Parameters!$B:$B,MATCH(AL$3&amp;$M60,Parameters!$A:$A,0))*(AJ60+AK60),0)</f>
        <v>0</v>
      </c>
      <c r="AM60" s="442"/>
      <c r="AN60" s="262">
        <f t="shared" si="49"/>
        <v>5</v>
      </c>
      <c r="AO60" s="262">
        <f>AN60/INDEX(Parameters!$B:$B,MATCH("AfschrijftermijnVVE"&amp;12*$C60,Parameters!$A:$A,0))</f>
        <v>0.1388888888888889</v>
      </c>
      <c r="AP60" s="179">
        <f t="shared" si="50"/>
        <v>117</v>
      </c>
      <c r="AQ60" s="202">
        <f>IF(AP60&lt;&gt;"nvt",INDEX('Tarieven W&amp;O'!$G:$G,$AP60),0)</f>
        <v>3.02</v>
      </c>
      <c r="AR60" s="277">
        <f>-INDEX(Parameters!$B:$B,MATCH(AR$3&amp;$M60&amp;O60,Parameters!$A:$A,0))*(AQ60)</f>
        <v>-0.30200000000000005</v>
      </c>
      <c r="AS60" s="262">
        <f>Parameters!$D$54</f>
        <v>2</v>
      </c>
      <c r="AT60" s="442">
        <f>IF(M60="WBA CM Ethernet",0,'EDC Minus'!$H$27)</f>
        <v>0</v>
      </c>
      <c r="AU60" s="150">
        <f t="shared" si="31"/>
        <v>4.718</v>
      </c>
      <c r="AV60" s="150">
        <f t="shared" si="32"/>
        <v>4.8568888888888893</v>
      </c>
      <c r="AW60" s="150"/>
      <c r="AX60" s="150">
        <f>Parameters!$B$6*AV60</f>
        <v>4.8568888888888891E-2</v>
      </c>
      <c r="AY60" s="202">
        <v>0</v>
      </c>
      <c r="AZ60" s="202"/>
      <c r="BA60" s="150">
        <f t="shared" si="33"/>
        <v>4.8568888888888891E-2</v>
      </c>
      <c r="BB60" s="150"/>
      <c r="BC60" s="151">
        <f t="shared" si="34"/>
        <v>4.9054577777777784</v>
      </c>
      <c r="BD60" s="209"/>
      <c r="BE60" s="140">
        <f t="shared" si="35"/>
        <v>1022.8723200000001</v>
      </c>
      <c r="BF60" s="141">
        <f t="shared" si="36"/>
        <v>0.99522712216216214</v>
      </c>
      <c r="BG60" s="142" t="b">
        <f t="shared" si="51"/>
        <v>0</v>
      </c>
      <c r="BH60" s="148"/>
      <c r="BI60" s="188" t="s">
        <v>538</v>
      </c>
      <c r="BJ60" s="189"/>
      <c r="BK60">
        <f>VLOOKUP(J60,'Tarieven ZM'!$B$7:$I$146,8,0)</f>
        <v>0</v>
      </c>
      <c r="BL60" s="179" t="str">
        <f>INDEX(Mapping!$M:$M,MATCH($J60,Mapping!$B:$B,0))</f>
        <v>nvt</v>
      </c>
      <c r="BM60" s="282">
        <v>0</v>
      </c>
      <c r="BN60" s="262">
        <f>BM60/INDEX(Parameters!$B:$B,MATCH("AfschrijftermijnVVE"&amp;12*$C60,Parameters!$A:$A,0))</f>
        <v>0</v>
      </c>
      <c r="BO60" s="262">
        <f>Parameters!$D$59+INDEX('inkoop ULL tbv Epacity'!I:I,MATCH($BL60,'inkoop ULL tbv Epacity'!H:H,0))</f>
        <v>1</v>
      </c>
      <c r="BP60" s="263">
        <f t="shared" si="43"/>
        <v>1</v>
      </c>
      <c r="BQ60" s="203"/>
      <c r="BR60" s="262">
        <f>Parameters!$B$12*AG60</f>
        <v>102.77777777777779</v>
      </c>
      <c r="BS60" s="262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SUM(Distributievergoedingen!$F$12,Distributievergoedingen!$I$12,Distributievergoedingen!$L$12,Distributievergoedingen!$O$12)*AF60+SUM(Distributievergoedingen!$O$12*AA60+Distributievergoedingen!$R$12+Distributievergoedingen!$U$12+Distributievergoedingen!$X$12)/(MAX(36,12*L60))</f>
        <v>112.77777777777777</v>
      </c>
      <c r="BT60" s="202"/>
      <c r="BU60" s="202">
        <f t="shared" si="38"/>
        <v>215.55555555555554</v>
      </c>
      <c r="BW60" s="151">
        <f t="shared" si="39"/>
        <v>216.55555555555554</v>
      </c>
      <c r="BY60" s="140">
        <f t="shared" si="40"/>
        <v>811.22222222222229</v>
      </c>
      <c r="BZ60" s="141">
        <f t="shared" si="41"/>
        <v>0.78929729729729736</v>
      </c>
      <c r="CA60" s="142" t="b">
        <f t="shared" si="42"/>
        <v>0</v>
      </c>
    </row>
    <row r="61" spans="1:79">
      <c r="A61" s="160" t="str">
        <f t="shared" si="44"/>
        <v>2ADSLBasicnationaal4096/1024</v>
      </c>
      <c r="B61" s="142" t="str">
        <f t="shared" si="23"/>
        <v>2ADSL4096/1024Basic</v>
      </c>
      <c r="C61" s="198">
        <v>2</v>
      </c>
      <c r="D61" s="198" t="s">
        <v>42</v>
      </c>
      <c r="E61" s="198" t="s">
        <v>44</v>
      </c>
      <c r="F61" s="198" t="s">
        <v>115</v>
      </c>
      <c r="G61" s="199" t="s">
        <v>113</v>
      </c>
      <c r="H61" s="198" t="s">
        <v>57</v>
      </c>
      <c r="J61" s="142" t="str">
        <f t="shared" si="45"/>
        <v>ADSL4096/1024Basic</v>
      </c>
      <c r="L61" s="160">
        <f>INDEX(Mapping!$J:$J,MATCH(C$3&amp;C61,Mapping!$B:$B,0))</f>
        <v>1</v>
      </c>
      <c r="M61" s="148" t="str">
        <f>INDEX(Mapping!$H:$H,MATCH($E61,Mapping!$B:$B,0))</f>
        <v>WBA CM Ethernet</v>
      </c>
      <c r="N61" s="148" t="str">
        <f>INDEX(Mapping!$I:$I,MATCH($E61&amp;$G61,Mapping!$B:$B,0))</f>
        <v>entry</v>
      </c>
      <c r="O61" s="148" t="str">
        <f>INDEX(Mapping!$I:$I,MATCH($D61,Mapping!$B:$B,0))</f>
        <v>ADSL</v>
      </c>
      <c r="P61" s="148" t="str">
        <f>INDEX(Mapping!$H:$H,MATCH($F61,Mapping!$B:$B,0))</f>
        <v>nvt</v>
      </c>
      <c r="Q61" s="148" t="str">
        <f>INDEX(Mapping!$J:$J,MATCH($E61&amp;$G61,Mapping!$B:$B,0))</f>
        <v>national</v>
      </c>
      <c r="R61" s="148" t="str">
        <f>INDEX(Mapping!$I:$I,MATCH($J61,Mapping!$B:$B,0))</f>
        <v>&lt;= 4 Mbps/&lt;= 1 Mbps</v>
      </c>
      <c r="T61" s="148" t="str">
        <f>INDEX(Mapping!$K:$K,MATCH($E61&amp;$G61,Mapping!$B:$B,0))</f>
        <v>nvt</v>
      </c>
      <c r="U61" s="142" t="str">
        <f t="shared" si="46"/>
        <v>WBA CM Ethernet&lt;= 4 Mbps/&lt;= 1 Mbpsentrynational</v>
      </c>
      <c r="W61" s="160">
        <f>MATCH($J61,'Tarieven ZM'!$B:$B,0)</f>
        <v>13</v>
      </c>
      <c r="X61" s="148">
        <f>INDEX('Tarieven ZM'!$H:$H,$W61)</f>
        <v>1000</v>
      </c>
      <c r="Y61" s="161">
        <f>-INDEX(Parameters!$B:$B,MATCH(Y$3,Parameters!$A:$A,0))*$X61</f>
        <v>0</v>
      </c>
      <c r="Z61" s="149">
        <f>-INDEX(Parameters!$B:$B,MATCH(Z$3,Parameters!$A:$A,0))*$X61</f>
        <v>0</v>
      </c>
      <c r="AA61" s="148">
        <f t="shared" si="47"/>
        <v>1000</v>
      </c>
      <c r="AB61" s="148">
        <f>AA61/INDEX(Parameters!$B:$B,MATCH("AfschrijftermijnVVE"&amp;12*$C61,Parameters!$A:$A,0))</f>
        <v>27.777777777777779</v>
      </c>
      <c r="AC61" s="148">
        <f>INDEX('Tarieven ZM'!$G:$G,$W61)</f>
        <v>1000</v>
      </c>
      <c r="AD61" s="161">
        <f>-INDEX(Parameters!$B:$B,MATCH(AD$3,Parameters!$A:$A,0))*$AC61</f>
        <v>0</v>
      </c>
      <c r="AE61" s="161">
        <f>-INDEX(Parameters!$B:$B,MATCH(AE$3,Parameters!$A:$A,0))*$AC61</f>
        <v>0</v>
      </c>
      <c r="AF61" s="148">
        <f t="shared" si="48"/>
        <v>1000</v>
      </c>
      <c r="AG61" s="151">
        <f t="shared" si="28"/>
        <v>1027.7777777777778</v>
      </c>
      <c r="AH61" s="123"/>
      <c r="AI61" s="147">
        <f>IF(R61&lt;&gt;"n.a.",MATCH($U61,'Tarieven W&amp;O'!$B:$B,0),"nvt")</f>
        <v>117</v>
      </c>
      <c r="AJ61" s="148">
        <f>IF(AI61&lt;&gt;"nvt",INDEX('Tarieven W&amp;O'!$H:$H,$AI61),0)</f>
        <v>0</v>
      </c>
      <c r="AK61" s="148">
        <f>IF(AI61&lt;&gt;"nvt",INDEX('Tarieven W&amp;O'!$I:$I,$AI61),0)</f>
        <v>5</v>
      </c>
      <c r="AL61" s="277">
        <f>IF(AI61&lt;&gt;"nvt",-INDEX(Parameters!$B:$B,MATCH(AL$3&amp;$M61,Parameters!$A:$A,0))*(AJ61+AK61),0)</f>
        <v>0</v>
      </c>
      <c r="AM61" s="442"/>
      <c r="AN61" s="262">
        <f t="shared" si="49"/>
        <v>5</v>
      </c>
      <c r="AO61" s="262">
        <f>AN61/INDEX(Parameters!$B:$B,MATCH("AfschrijftermijnVVE"&amp;12*$C61,Parameters!$A:$A,0))</f>
        <v>0.1388888888888889</v>
      </c>
      <c r="AP61" s="179">
        <f t="shared" si="50"/>
        <v>117</v>
      </c>
      <c r="AQ61" s="202">
        <f>IF(AP61&lt;&gt;"nvt",INDEX('Tarieven W&amp;O'!$G:$G,$AP61),0)</f>
        <v>3.02</v>
      </c>
      <c r="AR61" s="277">
        <f>-INDEX(Parameters!$B:$B,MATCH(AR$3&amp;$M61&amp;O61,Parameters!$A:$A,0))*(AQ61)</f>
        <v>-0.30200000000000005</v>
      </c>
      <c r="AS61" s="262">
        <f>Parameters!$D$54</f>
        <v>2</v>
      </c>
      <c r="AT61" s="442">
        <f>IF(M61="WBA CM Ethernet",0,'EDC Minus'!$H$27)</f>
        <v>0</v>
      </c>
      <c r="AU61" s="150">
        <f t="shared" si="31"/>
        <v>4.718</v>
      </c>
      <c r="AV61" s="150">
        <f t="shared" si="32"/>
        <v>4.8568888888888893</v>
      </c>
      <c r="AW61" s="150"/>
      <c r="AX61" s="150">
        <f>Parameters!$B$6*AV61</f>
        <v>4.8568888888888891E-2</v>
      </c>
      <c r="AY61" s="202">
        <v>0</v>
      </c>
      <c r="AZ61" s="202"/>
      <c r="BA61" s="150">
        <f t="shared" si="33"/>
        <v>4.8568888888888891E-2</v>
      </c>
      <c r="BB61" s="150"/>
      <c r="BC61" s="151">
        <f t="shared" si="34"/>
        <v>4.9054577777777784</v>
      </c>
      <c r="BD61" s="209"/>
      <c r="BE61" s="140">
        <f t="shared" si="35"/>
        <v>1022.8723200000001</v>
      </c>
      <c r="BF61" s="141">
        <f t="shared" si="36"/>
        <v>0.99522712216216214</v>
      </c>
      <c r="BG61" s="142" t="b">
        <f t="shared" si="51"/>
        <v>0</v>
      </c>
      <c r="BH61" s="148"/>
      <c r="BI61" s="188" t="s">
        <v>538</v>
      </c>
      <c r="BJ61" s="189"/>
      <c r="BK61">
        <f>VLOOKUP(J61,'Tarieven ZM'!$B$7:$I$146,8,0)</f>
        <v>0</v>
      </c>
      <c r="BL61" s="179" t="str">
        <f>INDEX(Mapping!$M:$M,MATCH($J61,Mapping!$B:$B,0))</f>
        <v>nvt</v>
      </c>
      <c r="BM61" s="282">
        <v>0</v>
      </c>
      <c r="BN61" s="262">
        <f>BM61/INDEX(Parameters!$B:$B,MATCH("AfschrijftermijnVVE"&amp;12*$C61,Parameters!$A:$A,0))</f>
        <v>0</v>
      </c>
      <c r="BO61" s="262">
        <f>Parameters!$D$59+INDEX('inkoop ULL tbv Epacity'!I:I,MATCH($BL61,'inkoop ULL tbv Epacity'!H:H,0))</f>
        <v>1</v>
      </c>
      <c r="BP61" s="263">
        <f t="shared" si="43"/>
        <v>1</v>
      </c>
      <c r="BQ61" s="203"/>
      <c r="BR61" s="262">
        <f>Parameters!$B$12*AG61</f>
        <v>102.77777777777779</v>
      </c>
      <c r="BS61" s="262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SUM(Distributievergoedingen!$F$12,Distributievergoedingen!$I$12,Distributievergoedingen!$L$12,Distributievergoedingen!$O$12)*AF61+SUM(Distributievergoedingen!$O$12*AA61+Distributievergoedingen!$R$12+Distributievergoedingen!$U$12+Distributievergoedingen!$X$12)/(MAX(36,12*L61))</f>
        <v>112.77777777777777</v>
      </c>
      <c r="BT61" s="202"/>
      <c r="BU61" s="202">
        <f t="shared" si="38"/>
        <v>215.55555555555554</v>
      </c>
      <c r="BW61" s="151">
        <f t="shared" si="39"/>
        <v>216.55555555555554</v>
      </c>
      <c r="BY61" s="140">
        <f t="shared" si="40"/>
        <v>811.22222222222229</v>
      </c>
      <c r="BZ61" s="141">
        <f t="shared" si="41"/>
        <v>0.78929729729729736</v>
      </c>
      <c r="CA61" s="142" t="b">
        <f t="shared" si="42"/>
        <v>0</v>
      </c>
    </row>
    <row r="62" spans="1:79">
      <c r="A62" s="160" t="str">
        <f t="shared" si="44"/>
        <v>2ADSLBasicnationaal6144/1024</v>
      </c>
      <c r="B62" s="142" t="str">
        <f t="shared" si="23"/>
        <v>2ADSL6144/1024Basic</v>
      </c>
      <c r="C62" s="198">
        <v>2</v>
      </c>
      <c r="D62" s="198" t="s">
        <v>42</v>
      </c>
      <c r="E62" s="198" t="s">
        <v>44</v>
      </c>
      <c r="F62" s="198" t="s">
        <v>115</v>
      </c>
      <c r="G62" s="199" t="s">
        <v>113</v>
      </c>
      <c r="H62" s="198" t="s">
        <v>58</v>
      </c>
      <c r="J62" s="142" t="str">
        <f t="shared" si="45"/>
        <v>ADSL6144/1024Basic</v>
      </c>
      <c r="L62" s="160">
        <f>INDEX(Mapping!$J:$J,MATCH(C$3&amp;C62,Mapping!$B:$B,0))</f>
        <v>1</v>
      </c>
      <c r="M62" s="148" t="str">
        <f>INDEX(Mapping!$H:$H,MATCH($E62,Mapping!$B:$B,0))</f>
        <v>WBA CM Ethernet</v>
      </c>
      <c r="N62" s="148" t="str">
        <f>INDEX(Mapping!$I:$I,MATCH($E62&amp;$G62,Mapping!$B:$B,0))</f>
        <v>entry</v>
      </c>
      <c r="O62" s="148" t="str">
        <f>INDEX(Mapping!$I:$I,MATCH($D62,Mapping!$B:$B,0))</f>
        <v>ADSL</v>
      </c>
      <c r="P62" s="148" t="str">
        <f>INDEX(Mapping!$H:$H,MATCH($F62,Mapping!$B:$B,0))</f>
        <v>nvt</v>
      </c>
      <c r="Q62" s="148" t="str">
        <f>INDEX(Mapping!$J:$J,MATCH($E62&amp;$G62,Mapping!$B:$B,0))</f>
        <v>national</v>
      </c>
      <c r="R62" s="148" t="str">
        <f>INDEX(Mapping!$I:$I,MATCH($J62,Mapping!$B:$B,0))</f>
        <v>&lt;= 8 Mbps/&lt;= 1 Mbps</v>
      </c>
      <c r="T62" s="148" t="str">
        <f>INDEX(Mapping!$K:$K,MATCH($E62&amp;$G62,Mapping!$B:$B,0))</f>
        <v>nvt</v>
      </c>
      <c r="U62" s="142" t="str">
        <f t="shared" si="46"/>
        <v>WBA CM Ethernet&lt;= 8 Mbps/&lt;= 1 Mbpsentrynational</v>
      </c>
      <c r="W62" s="160">
        <f>MATCH($J62,'Tarieven ZM'!$B:$B,0)</f>
        <v>14</v>
      </c>
      <c r="X62" s="148">
        <f>INDEX('Tarieven ZM'!$H:$H,$W62)</f>
        <v>1000</v>
      </c>
      <c r="Y62" s="161">
        <f>-INDEX(Parameters!$B:$B,MATCH(Y$3,Parameters!$A:$A,0))*$X62</f>
        <v>0</v>
      </c>
      <c r="Z62" s="149">
        <f>-INDEX(Parameters!$B:$B,MATCH(Z$3,Parameters!$A:$A,0))*$X62</f>
        <v>0</v>
      </c>
      <c r="AA62" s="148">
        <f t="shared" si="47"/>
        <v>1000</v>
      </c>
      <c r="AB62" s="148">
        <f>AA62/INDEX(Parameters!$B:$B,MATCH("AfschrijftermijnVVE"&amp;12*$C62,Parameters!$A:$A,0))</f>
        <v>27.777777777777779</v>
      </c>
      <c r="AC62" s="148">
        <f>INDEX('Tarieven ZM'!$G:$G,$W62)</f>
        <v>1000</v>
      </c>
      <c r="AD62" s="161">
        <f>-INDEX(Parameters!$B:$B,MATCH(AD$3,Parameters!$A:$A,0))*$AC62</f>
        <v>0</v>
      </c>
      <c r="AE62" s="161">
        <f>-INDEX(Parameters!$B:$B,MATCH(AE$3,Parameters!$A:$A,0))*$AC62</f>
        <v>0</v>
      </c>
      <c r="AF62" s="148">
        <f t="shared" si="48"/>
        <v>1000</v>
      </c>
      <c r="AG62" s="151">
        <f t="shared" si="28"/>
        <v>1027.7777777777778</v>
      </c>
      <c r="AH62" s="123"/>
      <c r="AI62" s="147">
        <f>IF(R62&lt;&gt;"n.a.",MATCH($U62,'Tarieven W&amp;O'!$B:$B,0),"nvt")</f>
        <v>118</v>
      </c>
      <c r="AJ62" s="148">
        <f>IF(AI62&lt;&gt;"nvt",INDEX('Tarieven W&amp;O'!$H:$H,$AI62),0)</f>
        <v>0</v>
      </c>
      <c r="AK62" s="148">
        <f>IF(AI62&lt;&gt;"nvt",INDEX('Tarieven W&amp;O'!$I:$I,$AI62),0)</f>
        <v>5</v>
      </c>
      <c r="AL62" s="277">
        <f>IF(AI62&lt;&gt;"nvt",-INDEX(Parameters!$B:$B,MATCH(AL$3&amp;$M62,Parameters!$A:$A,0))*(AJ62+AK62),0)</f>
        <v>0</v>
      </c>
      <c r="AM62" s="442"/>
      <c r="AN62" s="262">
        <f t="shared" si="49"/>
        <v>5</v>
      </c>
      <c r="AO62" s="262">
        <f>AN62/INDEX(Parameters!$B:$B,MATCH("AfschrijftermijnVVE"&amp;12*$C62,Parameters!$A:$A,0))</f>
        <v>0.1388888888888889</v>
      </c>
      <c r="AP62" s="179">
        <f t="shared" si="50"/>
        <v>118</v>
      </c>
      <c r="AQ62" s="202">
        <f>IF(AP62&lt;&gt;"nvt",INDEX('Tarieven W&amp;O'!$G:$G,$AP62),0)</f>
        <v>3.02</v>
      </c>
      <c r="AR62" s="277">
        <f>-INDEX(Parameters!$B:$B,MATCH(AR$3&amp;$M62&amp;O62,Parameters!$A:$A,0))*(AQ62)</f>
        <v>-0.30200000000000005</v>
      </c>
      <c r="AS62" s="262">
        <f>Parameters!$D$54</f>
        <v>2</v>
      </c>
      <c r="AT62" s="442">
        <f>IF(M62="WBA CM Ethernet",0,'EDC Minus'!$H$27)</f>
        <v>0</v>
      </c>
      <c r="AU62" s="150">
        <f t="shared" si="31"/>
        <v>4.718</v>
      </c>
      <c r="AV62" s="150">
        <f t="shared" si="32"/>
        <v>4.8568888888888893</v>
      </c>
      <c r="AW62" s="150"/>
      <c r="AX62" s="150">
        <f>Parameters!$B$6*AV62</f>
        <v>4.8568888888888891E-2</v>
      </c>
      <c r="AY62" s="202">
        <v>0</v>
      </c>
      <c r="AZ62" s="202"/>
      <c r="BA62" s="150">
        <f t="shared" si="33"/>
        <v>4.8568888888888891E-2</v>
      </c>
      <c r="BB62" s="150"/>
      <c r="BC62" s="151">
        <f t="shared" si="34"/>
        <v>4.9054577777777784</v>
      </c>
      <c r="BD62" s="209"/>
      <c r="BE62" s="140">
        <f t="shared" si="35"/>
        <v>1022.8723200000001</v>
      </c>
      <c r="BF62" s="141">
        <f t="shared" si="36"/>
        <v>0.99522712216216214</v>
      </c>
      <c r="BG62" s="142" t="b">
        <f t="shared" si="51"/>
        <v>0</v>
      </c>
      <c r="BH62" s="148"/>
      <c r="BI62" s="188" t="s">
        <v>538</v>
      </c>
      <c r="BJ62" s="189"/>
      <c r="BK62">
        <f>VLOOKUP(J62,'Tarieven ZM'!$B$7:$I$146,8,0)</f>
        <v>0</v>
      </c>
      <c r="BL62" s="179" t="str">
        <f>INDEX(Mapping!$M:$M,MATCH($J62,Mapping!$B:$B,0))</f>
        <v>nvt</v>
      </c>
      <c r="BM62" s="282">
        <v>0</v>
      </c>
      <c r="BN62" s="262">
        <f>BM62/INDEX(Parameters!$B:$B,MATCH("AfschrijftermijnVVE"&amp;12*$C62,Parameters!$A:$A,0))</f>
        <v>0</v>
      </c>
      <c r="BO62" s="262">
        <f>Parameters!$D$59+INDEX('inkoop ULL tbv Epacity'!I:I,MATCH($BL62,'inkoop ULL tbv Epacity'!H:H,0))</f>
        <v>1</v>
      </c>
      <c r="BP62" s="263">
        <f t="shared" si="43"/>
        <v>1</v>
      </c>
      <c r="BQ62" s="203"/>
      <c r="BR62" s="262">
        <f>Parameters!$B$12*AG62</f>
        <v>102.77777777777779</v>
      </c>
      <c r="BS62" s="262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SUM(Distributievergoedingen!$F$12,Distributievergoedingen!$I$12,Distributievergoedingen!$L$12,Distributievergoedingen!$O$12)*AF62+SUM(Distributievergoedingen!$O$12*AA62+Distributievergoedingen!$R$12+Distributievergoedingen!$U$12+Distributievergoedingen!$X$12)/(MAX(36,12*L62))</f>
        <v>112.77777777777777</v>
      </c>
      <c r="BT62" s="202"/>
      <c r="BU62" s="202">
        <f t="shared" ref="BU62:BU118" si="52">SUM(BR62:BT62)</f>
        <v>215.55555555555554</v>
      </c>
      <c r="BW62" s="151">
        <f t="shared" ref="BW62:BW118" si="53">SUM(BP62,BU62)</f>
        <v>216.55555555555554</v>
      </c>
      <c r="BY62" s="140">
        <f t="shared" ref="BY62:BY118" si="54">AG62-BW62</f>
        <v>811.22222222222229</v>
      </c>
      <c r="BZ62" s="141">
        <f t="shared" ref="BZ62:BZ118" si="55">IF(AG62=0,-999%,BY62/AG62)</f>
        <v>0.78929729729729736</v>
      </c>
      <c r="CA62" s="142" t="b">
        <f t="shared" ref="CA62:CA118" si="56">BZ62&lt;0</f>
        <v>0</v>
      </c>
    </row>
    <row r="63" spans="1:79">
      <c r="A63" s="160" t="str">
        <f t="shared" si="44"/>
        <v>2ADSLBasicnationaal8000/1024</v>
      </c>
      <c r="B63" s="142" t="str">
        <f t="shared" si="23"/>
        <v>2ADSL8000/1024Basic</v>
      </c>
      <c r="C63" s="198">
        <v>2</v>
      </c>
      <c r="D63" s="198" t="s">
        <v>42</v>
      </c>
      <c r="E63" s="198" t="s">
        <v>44</v>
      </c>
      <c r="F63" s="198" t="s">
        <v>115</v>
      </c>
      <c r="G63" s="199" t="s">
        <v>113</v>
      </c>
      <c r="H63" s="198" t="s">
        <v>60</v>
      </c>
      <c r="J63" s="142" t="str">
        <f t="shared" si="45"/>
        <v>ADSL8000/1024Basic</v>
      </c>
      <c r="L63" s="160">
        <f>INDEX(Mapping!$J:$J,MATCH(C$3&amp;C63,Mapping!$B:$B,0))</f>
        <v>1</v>
      </c>
      <c r="M63" s="148" t="str">
        <f>INDEX(Mapping!$H:$H,MATCH($E63,Mapping!$B:$B,0))</f>
        <v>WBA CM Ethernet</v>
      </c>
      <c r="N63" s="148" t="str">
        <f>INDEX(Mapping!$I:$I,MATCH($E63&amp;$G63,Mapping!$B:$B,0))</f>
        <v>entry</v>
      </c>
      <c r="O63" s="148" t="str">
        <f>INDEX(Mapping!$I:$I,MATCH($D63,Mapping!$B:$B,0))</f>
        <v>ADSL</v>
      </c>
      <c r="P63" s="148" t="str">
        <f>INDEX(Mapping!$H:$H,MATCH($F63,Mapping!$B:$B,0))</f>
        <v>nvt</v>
      </c>
      <c r="Q63" s="148" t="str">
        <f>INDEX(Mapping!$J:$J,MATCH($E63&amp;$G63,Mapping!$B:$B,0))</f>
        <v>national</v>
      </c>
      <c r="R63" s="148" t="str">
        <f>INDEX(Mapping!$I:$I,MATCH($J63,Mapping!$B:$B,0))</f>
        <v>&lt;= 8 Mbps/&lt;= 1 Mbps</v>
      </c>
      <c r="T63" s="148" t="str">
        <f>INDEX(Mapping!$K:$K,MATCH($E63&amp;$G63,Mapping!$B:$B,0))</f>
        <v>nvt</v>
      </c>
      <c r="U63" s="142" t="str">
        <f t="shared" si="46"/>
        <v>WBA CM Ethernet&lt;= 8 Mbps/&lt;= 1 Mbpsentrynational</v>
      </c>
      <c r="W63" s="160">
        <f>MATCH($J63,'Tarieven ZM'!$B:$B,0)</f>
        <v>15</v>
      </c>
      <c r="X63" s="148">
        <f>INDEX('Tarieven ZM'!$H:$H,$W63)</f>
        <v>1000</v>
      </c>
      <c r="Y63" s="161">
        <f>-INDEX(Parameters!$B:$B,MATCH(Y$3,Parameters!$A:$A,0))*$X63</f>
        <v>0</v>
      </c>
      <c r="Z63" s="149">
        <f>-INDEX(Parameters!$B:$B,MATCH(Z$3,Parameters!$A:$A,0))*$X63</f>
        <v>0</v>
      </c>
      <c r="AA63" s="148">
        <f t="shared" si="47"/>
        <v>1000</v>
      </c>
      <c r="AB63" s="148">
        <f>AA63/INDEX(Parameters!$B:$B,MATCH("AfschrijftermijnVVE"&amp;12*$C63,Parameters!$A:$A,0))</f>
        <v>27.777777777777779</v>
      </c>
      <c r="AC63" s="148">
        <f>INDEX('Tarieven ZM'!$G:$G,$W63)</f>
        <v>1000</v>
      </c>
      <c r="AD63" s="161">
        <f>-INDEX(Parameters!$B:$B,MATCH(AD$3,Parameters!$A:$A,0))*$AC63</f>
        <v>0</v>
      </c>
      <c r="AE63" s="161">
        <f>-INDEX(Parameters!$B:$B,MATCH(AE$3,Parameters!$A:$A,0))*$AC63</f>
        <v>0</v>
      </c>
      <c r="AF63" s="148">
        <f t="shared" si="48"/>
        <v>1000</v>
      </c>
      <c r="AG63" s="151">
        <f t="shared" si="28"/>
        <v>1027.7777777777778</v>
      </c>
      <c r="AH63" s="123"/>
      <c r="AI63" s="147">
        <f>IF(R63&lt;&gt;"n.a.",MATCH($U63,'Tarieven W&amp;O'!$B:$B,0),"nvt")</f>
        <v>118</v>
      </c>
      <c r="AJ63" s="148">
        <f>IF(AI63&lt;&gt;"nvt",INDEX('Tarieven W&amp;O'!$H:$H,$AI63),0)</f>
        <v>0</v>
      </c>
      <c r="AK63" s="148">
        <f>IF(AI63&lt;&gt;"nvt",INDEX('Tarieven W&amp;O'!$I:$I,$AI63),0)</f>
        <v>5</v>
      </c>
      <c r="AL63" s="277">
        <f>IF(AI63&lt;&gt;"nvt",-INDEX(Parameters!$B:$B,MATCH(AL$3&amp;$M63,Parameters!$A:$A,0))*(AJ63+AK63),0)</f>
        <v>0</v>
      </c>
      <c r="AM63" s="442"/>
      <c r="AN63" s="262">
        <f t="shared" si="49"/>
        <v>5</v>
      </c>
      <c r="AO63" s="262">
        <f>AN63/INDEX(Parameters!$B:$B,MATCH("AfschrijftermijnVVE"&amp;12*$C63,Parameters!$A:$A,0))</f>
        <v>0.1388888888888889</v>
      </c>
      <c r="AP63" s="179">
        <f t="shared" si="50"/>
        <v>118</v>
      </c>
      <c r="AQ63" s="202">
        <f>IF(AP63&lt;&gt;"nvt",INDEX('Tarieven W&amp;O'!$G:$G,$AP63),0)</f>
        <v>3.02</v>
      </c>
      <c r="AR63" s="277">
        <f>-INDEX(Parameters!$B:$B,MATCH(AR$3&amp;$M63&amp;O63,Parameters!$A:$A,0))*(AQ63)</f>
        <v>-0.30200000000000005</v>
      </c>
      <c r="AS63" s="262">
        <f>Parameters!$D$54</f>
        <v>2</v>
      </c>
      <c r="AT63" s="442">
        <f>IF(M63="WBA CM Ethernet",0,'EDC Minus'!$H$27)</f>
        <v>0</v>
      </c>
      <c r="AU63" s="150">
        <f t="shared" si="31"/>
        <v>4.718</v>
      </c>
      <c r="AV63" s="150">
        <f t="shared" si="32"/>
        <v>4.8568888888888893</v>
      </c>
      <c r="AW63" s="150"/>
      <c r="AX63" s="150">
        <f>Parameters!$B$6*AV63</f>
        <v>4.8568888888888891E-2</v>
      </c>
      <c r="AY63" s="202">
        <v>0</v>
      </c>
      <c r="AZ63" s="202"/>
      <c r="BA63" s="150">
        <f t="shared" si="33"/>
        <v>4.8568888888888891E-2</v>
      </c>
      <c r="BB63" s="150"/>
      <c r="BC63" s="151">
        <f t="shared" si="34"/>
        <v>4.9054577777777784</v>
      </c>
      <c r="BD63" s="209"/>
      <c r="BE63" s="140">
        <f t="shared" si="35"/>
        <v>1022.8723200000001</v>
      </c>
      <c r="BF63" s="141">
        <f t="shared" si="36"/>
        <v>0.99522712216216214</v>
      </c>
      <c r="BG63" s="142" t="b">
        <f t="shared" si="51"/>
        <v>0</v>
      </c>
      <c r="BH63" s="148"/>
      <c r="BI63" s="188" t="s">
        <v>538</v>
      </c>
      <c r="BJ63" s="189"/>
      <c r="BK63">
        <f>VLOOKUP(J63,'Tarieven ZM'!$B$7:$I$146,8,0)</f>
        <v>0</v>
      </c>
      <c r="BL63" s="179" t="str">
        <f>INDEX(Mapping!$M:$M,MATCH($J63,Mapping!$B:$B,0))</f>
        <v>nvt</v>
      </c>
      <c r="BM63" s="282">
        <v>0</v>
      </c>
      <c r="BN63" s="262">
        <f>BM63/INDEX(Parameters!$B:$B,MATCH("AfschrijftermijnVVE"&amp;12*$C63,Parameters!$A:$A,0))</f>
        <v>0</v>
      </c>
      <c r="BO63" s="262">
        <f>Parameters!$D$59+INDEX('inkoop ULL tbv Epacity'!I:I,MATCH($BL63,'inkoop ULL tbv Epacity'!H:H,0))</f>
        <v>1</v>
      </c>
      <c r="BP63" s="263">
        <f t="shared" si="43"/>
        <v>1</v>
      </c>
      <c r="BQ63" s="203"/>
      <c r="BR63" s="262">
        <f>Parameters!$B$12*AG63</f>
        <v>102.77777777777779</v>
      </c>
      <c r="BS63" s="262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SUM(Distributievergoedingen!$F$12,Distributievergoedingen!$I$12,Distributievergoedingen!$L$12,Distributievergoedingen!$O$12)*AF63+SUM(Distributievergoedingen!$O$12*AA63+Distributievergoedingen!$R$12+Distributievergoedingen!$U$12+Distributievergoedingen!$X$12)/(MAX(36,12*L63))</f>
        <v>112.77777777777777</v>
      </c>
      <c r="BT63" s="202"/>
      <c r="BU63" s="202">
        <f t="shared" si="52"/>
        <v>215.55555555555554</v>
      </c>
      <c r="BW63" s="151">
        <f t="shared" si="53"/>
        <v>216.55555555555554</v>
      </c>
      <c r="BY63" s="140">
        <f t="shared" si="54"/>
        <v>811.22222222222229</v>
      </c>
      <c r="BZ63" s="141">
        <f t="shared" si="55"/>
        <v>0.78929729729729736</v>
      </c>
      <c r="CA63" s="142" t="b">
        <f t="shared" si="56"/>
        <v>0</v>
      </c>
    </row>
    <row r="64" spans="1:79">
      <c r="A64" s="160" t="str">
        <f t="shared" si="44"/>
        <v>2ADSLBasicnationaal12000/1024</v>
      </c>
      <c r="B64" s="142" t="str">
        <f t="shared" si="23"/>
        <v>2ADSL12000/1024Basic</v>
      </c>
      <c r="C64" s="198">
        <v>2</v>
      </c>
      <c r="D64" s="198" t="s">
        <v>42</v>
      </c>
      <c r="E64" s="198" t="s">
        <v>44</v>
      </c>
      <c r="F64" s="198" t="s">
        <v>115</v>
      </c>
      <c r="G64" s="199" t="s">
        <v>113</v>
      </c>
      <c r="H64" s="198" t="s">
        <v>61</v>
      </c>
      <c r="J64" s="142" t="str">
        <f t="shared" si="45"/>
        <v>ADSL12000/1024Basic</v>
      </c>
      <c r="L64" s="160">
        <f>INDEX(Mapping!$J:$J,MATCH(C$3&amp;C64,Mapping!$B:$B,0))</f>
        <v>1</v>
      </c>
      <c r="M64" s="148" t="str">
        <f>INDEX(Mapping!$H:$H,MATCH($E64,Mapping!$B:$B,0))</f>
        <v>WBA CM Ethernet</v>
      </c>
      <c r="N64" s="148" t="str">
        <f>INDEX(Mapping!$I:$I,MATCH($E64&amp;$G64,Mapping!$B:$B,0))</f>
        <v>entry</v>
      </c>
      <c r="O64" s="148" t="str">
        <f>INDEX(Mapping!$I:$I,MATCH($D64,Mapping!$B:$B,0))</f>
        <v>ADSL</v>
      </c>
      <c r="P64" s="148" t="str">
        <f>INDEX(Mapping!$H:$H,MATCH($F64,Mapping!$B:$B,0))</f>
        <v>nvt</v>
      </c>
      <c r="Q64" s="148" t="str">
        <f>INDEX(Mapping!$J:$J,MATCH($E64&amp;$G64,Mapping!$B:$B,0))</f>
        <v>national</v>
      </c>
      <c r="R64" s="148" t="str">
        <f>INDEX(Mapping!$I:$I,MATCH($J64,Mapping!$B:$B,0))</f>
        <v>&lt;= 20 Mbps/&lt;= 1 Mbps</v>
      </c>
      <c r="T64" s="148" t="str">
        <f>INDEX(Mapping!$K:$K,MATCH($E64&amp;$G64,Mapping!$B:$B,0))</f>
        <v>nvt</v>
      </c>
      <c r="U64" s="142" t="str">
        <f t="shared" si="46"/>
        <v>WBA CM Ethernet&lt;= 20 Mbps/&lt;= 1 Mbpsentrynational</v>
      </c>
      <c r="W64" s="160">
        <f>MATCH($J64,'Tarieven ZM'!$B:$B,0)</f>
        <v>16</v>
      </c>
      <c r="X64" s="148">
        <f>INDEX('Tarieven ZM'!$H:$H,$W64)</f>
        <v>1000</v>
      </c>
      <c r="Y64" s="161">
        <f>-INDEX(Parameters!$B:$B,MATCH(Y$3,Parameters!$A:$A,0))*$X64</f>
        <v>0</v>
      </c>
      <c r="Z64" s="149">
        <f>-INDEX(Parameters!$B:$B,MATCH(Z$3,Parameters!$A:$A,0))*$X64</f>
        <v>0</v>
      </c>
      <c r="AA64" s="148">
        <f t="shared" si="47"/>
        <v>1000</v>
      </c>
      <c r="AB64" s="148">
        <f>AA64/INDEX(Parameters!$B:$B,MATCH("AfschrijftermijnVVE"&amp;12*$C64,Parameters!$A:$A,0))</f>
        <v>27.777777777777779</v>
      </c>
      <c r="AC64" s="148">
        <f>INDEX('Tarieven ZM'!$G:$G,$W64)</f>
        <v>1000</v>
      </c>
      <c r="AD64" s="161">
        <f>-INDEX(Parameters!$B:$B,MATCH(AD$3,Parameters!$A:$A,0))*$AC64</f>
        <v>0</v>
      </c>
      <c r="AE64" s="161">
        <f>-INDEX(Parameters!$B:$B,MATCH(AE$3,Parameters!$A:$A,0))*$AC64</f>
        <v>0</v>
      </c>
      <c r="AF64" s="148">
        <f t="shared" si="48"/>
        <v>1000</v>
      </c>
      <c r="AG64" s="151">
        <f t="shared" si="28"/>
        <v>1027.7777777777778</v>
      </c>
      <c r="AH64" s="123"/>
      <c r="AI64" s="147">
        <f>IF(R64&lt;&gt;"n.a.",MATCH($U64,'Tarieven W&amp;O'!$B:$B,0),"nvt")</f>
        <v>119</v>
      </c>
      <c r="AJ64" s="148">
        <f>IF(AI64&lt;&gt;"nvt",INDEX('Tarieven W&amp;O'!$H:$H,$AI64),0)</f>
        <v>0</v>
      </c>
      <c r="AK64" s="148">
        <f>IF(AI64&lt;&gt;"nvt",INDEX('Tarieven W&amp;O'!$I:$I,$AI64),0)</f>
        <v>5</v>
      </c>
      <c r="AL64" s="277">
        <f>IF(AI64&lt;&gt;"nvt",-INDEX(Parameters!$B:$B,MATCH(AL$3&amp;$M64,Parameters!$A:$A,0))*(AJ64+AK64),0)</f>
        <v>0</v>
      </c>
      <c r="AM64" s="442"/>
      <c r="AN64" s="262">
        <f t="shared" si="49"/>
        <v>5</v>
      </c>
      <c r="AO64" s="262">
        <f>AN64/INDEX(Parameters!$B:$B,MATCH("AfschrijftermijnVVE"&amp;12*$C64,Parameters!$A:$A,0))</f>
        <v>0.1388888888888889</v>
      </c>
      <c r="AP64" s="179">
        <f t="shared" si="50"/>
        <v>119</v>
      </c>
      <c r="AQ64" s="202">
        <f>IF(AP64&lt;&gt;"nvt",INDEX('Tarieven W&amp;O'!$G:$G,$AP64),0)</f>
        <v>3.02</v>
      </c>
      <c r="AR64" s="277">
        <f>-INDEX(Parameters!$B:$B,MATCH(AR$3&amp;$M64&amp;O64,Parameters!$A:$A,0))*(AQ64)</f>
        <v>-0.30200000000000005</v>
      </c>
      <c r="AS64" s="262">
        <f>Parameters!$D$54</f>
        <v>2</v>
      </c>
      <c r="AT64" s="442">
        <f>IF(M64="WBA CM Ethernet",0,'EDC Minus'!$H$27)</f>
        <v>0</v>
      </c>
      <c r="AU64" s="150">
        <f t="shared" si="31"/>
        <v>4.718</v>
      </c>
      <c r="AV64" s="150">
        <f t="shared" si="32"/>
        <v>4.8568888888888893</v>
      </c>
      <c r="AW64" s="150"/>
      <c r="AX64" s="150">
        <f>Parameters!$B$6*AV64</f>
        <v>4.8568888888888891E-2</v>
      </c>
      <c r="AY64" s="202">
        <v>0</v>
      </c>
      <c r="AZ64" s="202"/>
      <c r="BA64" s="150">
        <f t="shared" si="33"/>
        <v>4.8568888888888891E-2</v>
      </c>
      <c r="BB64" s="150"/>
      <c r="BC64" s="151">
        <f t="shared" si="34"/>
        <v>4.9054577777777784</v>
      </c>
      <c r="BD64" s="209"/>
      <c r="BE64" s="140">
        <f t="shared" si="35"/>
        <v>1022.8723200000001</v>
      </c>
      <c r="BF64" s="141">
        <f t="shared" si="36"/>
        <v>0.99522712216216214</v>
      </c>
      <c r="BG64" s="142" t="b">
        <f t="shared" si="51"/>
        <v>0</v>
      </c>
      <c r="BH64" s="148"/>
      <c r="BI64" s="188" t="s">
        <v>538</v>
      </c>
      <c r="BJ64" s="189"/>
      <c r="BK64">
        <f>VLOOKUP(J64,'Tarieven ZM'!$B$7:$I$146,8,0)</f>
        <v>0</v>
      </c>
      <c r="BL64" s="179" t="str">
        <f>INDEX(Mapping!$M:$M,MATCH($J64,Mapping!$B:$B,0))</f>
        <v>nvt</v>
      </c>
      <c r="BM64" s="282">
        <v>0</v>
      </c>
      <c r="BN64" s="262">
        <f>BM64/INDEX(Parameters!$B:$B,MATCH("AfschrijftermijnVVE"&amp;12*$C64,Parameters!$A:$A,0))</f>
        <v>0</v>
      </c>
      <c r="BO64" s="262">
        <f>Parameters!$D$59+INDEX('inkoop ULL tbv Epacity'!I:I,MATCH($BL64,'inkoop ULL tbv Epacity'!H:H,0))</f>
        <v>1</v>
      </c>
      <c r="BP64" s="263">
        <f t="shared" si="43"/>
        <v>1</v>
      </c>
      <c r="BQ64" s="203"/>
      <c r="BR64" s="262">
        <f>Parameters!$B$12*AG64</f>
        <v>102.77777777777779</v>
      </c>
      <c r="BS64" s="262">
        <f>SUM(Distributievergoedingen!$F$12,Distributievergoedingen!$I$12,Distributievergoedingen!$L$12,Distributievergoedingen!$O$12)*AF64+SUM(Distributievergoedingen!$O$12*AA64+Distributievergoedingen!$R$12+Distributievergoedingen!$U$12+Distributievergoedingen!$X$12)/(MAX(36,12*L64))</f>
        <v>112.77777777777777</v>
      </c>
      <c r="BT64" s="202"/>
      <c r="BU64" s="202">
        <f t="shared" si="52"/>
        <v>215.55555555555554</v>
      </c>
      <c r="BW64" s="151">
        <f t="shared" si="53"/>
        <v>216.55555555555554</v>
      </c>
      <c r="BY64" s="140">
        <f t="shared" si="54"/>
        <v>811.22222222222229</v>
      </c>
      <c r="BZ64" s="141">
        <f t="shared" si="55"/>
        <v>0.78929729729729736</v>
      </c>
      <c r="CA64" s="142" t="b">
        <f t="shared" si="56"/>
        <v>0</v>
      </c>
    </row>
    <row r="65" spans="1:79">
      <c r="A65" s="160" t="str">
        <f t="shared" si="44"/>
        <v>2ADSLBasicnationaal20000/1024</v>
      </c>
      <c r="B65" s="142" t="str">
        <f t="shared" si="23"/>
        <v>2ADSL20000/1024Basic</v>
      </c>
      <c r="C65" s="198">
        <v>2</v>
      </c>
      <c r="D65" s="198" t="s">
        <v>42</v>
      </c>
      <c r="E65" s="198" t="s">
        <v>44</v>
      </c>
      <c r="F65" s="198" t="s">
        <v>115</v>
      </c>
      <c r="G65" s="199" t="s">
        <v>113</v>
      </c>
      <c r="H65" s="198" t="s">
        <v>63</v>
      </c>
      <c r="J65" s="142" t="str">
        <f t="shared" si="45"/>
        <v>ADSL20000/1024Basic</v>
      </c>
      <c r="L65" s="160">
        <f>INDEX(Mapping!$J:$J,MATCH(C$3&amp;C65,Mapping!$B:$B,0))</f>
        <v>1</v>
      </c>
      <c r="M65" s="148" t="str">
        <f>INDEX(Mapping!$H:$H,MATCH($E65,Mapping!$B:$B,0))</f>
        <v>WBA CM Ethernet</v>
      </c>
      <c r="N65" s="148" t="str">
        <f>INDEX(Mapping!$I:$I,MATCH($E65&amp;$G65,Mapping!$B:$B,0))</f>
        <v>entry</v>
      </c>
      <c r="O65" s="148" t="str">
        <f>INDEX(Mapping!$I:$I,MATCH($D65,Mapping!$B:$B,0))</f>
        <v>ADSL</v>
      </c>
      <c r="P65" s="148" t="str">
        <f>INDEX(Mapping!$H:$H,MATCH($F65,Mapping!$B:$B,0))</f>
        <v>nvt</v>
      </c>
      <c r="Q65" s="148" t="str">
        <f>INDEX(Mapping!$J:$J,MATCH($E65&amp;$G65,Mapping!$B:$B,0))</f>
        <v>national</v>
      </c>
      <c r="R65" s="148" t="str">
        <f>INDEX(Mapping!$I:$I,MATCH($J65,Mapping!$B:$B,0))</f>
        <v>&lt;= 20 Mbps/&lt;= 1 Mbps</v>
      </c>
      <c r="T65" s="148" t="str">
        <f>INDEX(Mapping!$K:$K,MATCH($E65&amp;$G65,Mapping!$B:$B,0))</f>
        <v>nvt</v>
      </c>
      <c r="U65" s="142" t="str">
        <f t="shared" si="46"/>
        <v>WBA CM Ethernet&lt;= 20 Mbps/&lt;= 1 Mbpsentrynational</v>
      </c>
      <c r="W65" s="160">
        <f>MATCH($J65,'Tarieven ZM'!$B:$B,0)</f>
        <v>17</v>
      </c>
      <c r="X65" s="148">
        <f>INDEX('Tarieven ZM'!$H:$H,$W65)</f>
        <v>1000</v>
      </c>
      <c r="Y65" s="161">
        <f>-INDEX(Parameters!$B:$B,MATCH(Y$3,Parameters!$A:$A,0))*$X65</f>
        <v>0</v>
      </c>
      <c r="Z65" s="149">
        <f>-INDEX(Parameters!$B:$B,MATCH(Z$3,Parameters!$A:$A,0))*$X65</f>
        <v>0</v>
      </c>
      <c r="AA65" s="148">
        <f t="shared" si="47"/>
        <v>1000</v>
      </c>
      <c r="AB65" s="148">
        <f>AA65/INDEX(Parameters!$B:$B,MATCH("AfschrijftermijnVVE"&amp;12*$C65,Parameters!$A:$A,0))</f>
        <v>27.777777777777779</v>
      </c>
      <c r="AC65" s="148">
        <f>INDEX('Tarieven ZM'!$G:$G,$W65)</f>
        <v>1000</v>
      </c>
      <c r="AD65" s="161">
        <f>-INDEX(Parameters!$B:$B,MATCH(AD$3,Parameters!$A:$A,0))*$AC65</f>
        <v>0</v>
      </c>
      <c r="AE65" s="161">
        <f>-INDEX(Parameters!$B:$B,MATCH(AE$3,Parameters!$A:$A,0))*$AC65</f>
        <v>0</v>
      </c>
      <c r="AF65" s="148">
        <f t="shared" si="48"/>
        <v>1000</v>
      </c>
      <c r="AG65" s="151">
        <f t="shared" si="28"/>
        <v>1027.7777777777778</v>
      </c>
      <c r="AH65" s="123"/>
      <c r="AI65" s="147">
        <f>IF(R65&lt;&gt;"n.a.",MATCH($U65,'Tarieven W&amp;O'!$B:$B,0),"nvt")</f>
        <v>119</v>
      </c>
      <c r="AJ65" s="148">
        <f>IF(AI65&lt;&gt;"nvt",INDEX('Tarieven W&amp;O'!$H:$H,$AI65),0)</f>
        <v>0</v>
      </c>
      <c r="AK65" s="148">
        <f>IF(AI65&lt;&gt;"nvt",INDEX('Tarieven W&amp;O'!$I:$I,$AI65),0)</f>
        <v>5</v>
      </c>
      <c r="AL65" s="277">
        <f>IF(AI65&lt;&gt;"nvt",-INDEX(Parameters!$B:$B,MATCH(AL$3&amp;$M65,Parameters!$A:$A,0))*(AJ65+AK65),0)</f>
        <v>0</v>
      </c>
      <c r="AM65" s="442"/>
      <c r="AN65" s="262">
        <f t="shared" si="49"/>
        <v>5</v>
      </c>
      <c r="AO65" s="262">
        <f>AN65/INDEX(Parameters!$B:$B,MATCH("AfschrijftermijnVVE"&amp;12*$C65,Parameters!$A:$A,0))</f>
        <v>0.1388888888888889</v>
      </c>
      <c r="AP65" s="179">
        <f t="shared" si="50"/>
        <v>119</v>
      </c>
      <c r="AQ65" s="202">
        <f>IF(AP65&lt;&gt;"nvt",INDEX('Tarieven W&amp;O'!$G:$G,$AP65),0)</f>
        <v>3.02</v>
      </c>
      <c r="AR65" s="277">
        <f>-INDEX(Parameters!$B:$B,MATCH(AR$3&amp;$M65&amp;O65,Parameters!$A:$A,0))*(AQ65)</f>
        <v>-0.30200000000000005</v>
      </c>
      <c r="AS65" s="262">
        <f>Parameters!$D$54</f>
        <v>2</v>
      </c>
      <c r="AT65" s="442">
        <f>IF(M65="WBA CM Ethernet",0,'EDC Minus'!$H$27)</f>
        <v>0</v>
      </c>
      <c r="AU65" s="150">
        <f t="shared" si="31"/>
        <v>4.718</v>
      </c>
      <c r="AV65" s="150">
        <f t="shared" si="32"/>
        <v>4.8568888888888893</v>
      </c>
      <c r="AW65" s="150"/>
      <c r="AX65" s="150">
        <f>Parameters!$B$6*AV65</f>
        <v>4.8568888888888891E-2</v>
      </c>
      <c r="AY65" s="202">
        <v>0</v>
      </c>
      <c r="AZ65" s="202"/>
      <c r="BA65" s="150">
        <f t="shared" si="33"/>
        <v>4.8568888888888891E-2</v>
      </c>
      <c r="BB65" s="150"/>
      <c r="BC65" s="151">
        <f t="shared" si="34"/>
        <v>4.9054577777777784</v>
      </c>
      <c r="BD65" s="209"/>
      <c r="BE65" s="140">
        <f t="shared" si="35"/>
        <v>1022.8723200000001</v>
      </c>
      <c r="BF65" s="141">
        <f t="shared" si="36"/>
        <v>0.99522712216216214</v>
      </c>
      <c r="BG65" s="142" t="b">
        <f t="shared" si="51"/>
        <v>0</v>
      </c>
      <c r="BH65" s="148"/>
      <c r="BI65" s="188" t="s">
        <v>538</v>
      </c>
      <c r="BJ65" s="189"/>
      <c r="BK65">
        <f>VLOOKUP(J65,'Tarieven ZM'!$B$7:$I$146,8,0)</f>
        <v>0</v>
      </c>
      <c r="BL65" s="179" t="str">
        <f>INDEX(Mapping!$M:$M,MATCH($J65,Mapping!$B:$B,0))</f>
        <v>nvt</v>
      </c>
      <c r="BM65" s="282">
        <v>0</v>
      </c>
      <c r="BN65" s="262">
        <f>BM65/INDEX(Parameters!$B:$B,MATCH("AfschrijftermijnVVE"&amp;12*$C65,Parameters!$A:$A,0))</f>
        <v>0</v>
      </c>
      <c r="BO65" s="262">
        <f>Parameters!$D$59+INDEX('inkoop ULL tbv Epacity'!I:I,MATCH($BL65,'inkoop ULL tbv Epacity'!H:H,0))</f>
        <v>1</v>
      </c>
      <c r="BP65" s="263">
        <f t="shared" si="43"/>
        <v>1</v>
      </c>
      <c r="BQ65" s="203"/>
      <c r="BR65" s="262">
        <f>Parameters!$B$12*AG65</f>
        <v>102.77777777777779</v>
      </c>
      <c r="BS65" s="262">
        <f>SUM(Distributievergoedingen!$F$12,Distributievergoedingen!$I$12,Distributievergoedingen!$L$12,Distributievergoedingen!$O$12)*AF65+SUM(Distributievergoedingen!$O$12*AA65+Distributievergoedingen!$R$12+Distributievergoedingen!$U$12+Distributievergoedingen!$X$12)/(MAX(36,12*L65))</f>
        <v>112.77777777777777</v>
      </c>
      <c r="BT65" s="202"/>
      <c r="BU65" s="202">
        <f t="shared" si="52"/>
        <v>215.55555555555554</v>
      </c>
      <c r="BW65" s="151">
        <f t="shared" si="53"/>
        <v>216.55555555555554</v>
      </c>
      <c r="BY65" s="140">
        <f t="shared" si="54"/>
        <v>811.22222222222229</v>
      </c>
      <c r="BZ65" s="141">
        <f t="shared" si="55"/>
        <v>0.78929729729729736</v>
      </c>
      <c r="CA65" s="142" t="b">
        <f t="shared" si="56"/>
        <v>0</v>
      </c>
    </row>
    <row r="66" spans="1:79">
      <c r="A66" s="160" t="str">
        <f t="shared" si="44"/>
        <v>2ADSLPremiumnationaal128/128</v>
      </c>
      <c r="B66" s="142" t="str">
        <f t="shared" si="23"/>
        <v>2ADSL128/128Premium</v>
      </c>
      <c r="C66" s="198">
        <v>2</v>
      </c>
      <c r="D66" s="198" t="s">
        <v>42</v>
      </c>
      <c r="E66" s="198" t="s">
        <v>70</v>
      </c>
      <c r="F66" s="198" t="s">
        <v>115</v>
      </c>
      <c r="G66" s="199" t="s">
        <v>113</v>
      </c>
      <c r="H66" s="198" t="s">
        <v>43</v>
      </c>
      <c r="J66" s="142" t="str">
        <f t="shared" si="45"/>
        <v>ADSL128/128Premium</v>
      </c>
      <c r="L66" s="160">
        <f>INDEX(Mapping!$J:$J,MATCH(C$3&amp;C66,Mapping!$B:$B,0))</f>
        <v>1</v>
      </c>
      <c r="M66" s="148" t="str">
        <f>INDEX(Mapping!$H:$H,MATCH($E66,Mapping!$B:$B,0))</f>
        <v>WBA ZM Ethernet</v>
      </c>
      <c r="N66" s="148" t="str">
        <f>INDEX(Mapping!$I:$I,MATCH($E66&amp;$G66,Mapping!$B:$B,0))</f>
        <v>premium</v>
      </c>
      <c r="O66" s="148" t="str">
        <f>INDEX(Mapping!$I:$I,MATCH($D66,Mapping!$B:$B,0))</f>
        <v>ADSL</v>
      </c>
      <c r="P66" s="148" t="str">
        <f>INDEX(Mapping!$H:$H,MATCH($F66,Mapping!$B:$B,0))</f>
        <v>nvt</v>
      </c>
      <c r="Q66" s="148" t="str">
        <f>INDEX(Mapping!$J:$J,MATCH($E66&amp;$G66,Mapping!$B:$B,0))</f>
        <v>metro</v>
      </c>
      <c r="R66" s="148" t="str">
        <f>INDEX(Mapping!$I:$I,MATCH($J66,Mapping!$B:$B,0))</f>
        <v>&lt;=256 kbps/&lt;=256 kbps</v>
      </c>
      <c r="T66" s="148" t="str">
        <f>INDEX(Mapping!$K:$K,MATCH($E66&amp;$G66,Mapping!$B:$B,0))</f>
        <v>metro-nationaal</v>
      </c>
      <c r="U66" s="142" t="str">
        <f t="shared" si="46"/>
        <v>WBA ZM Ethernet&lt;=256 kbps/&lt;=256 kbpspremiummetro</v>
      </c>
      <c r="W66" s="160">
        <f>MATCH($J66,'Tarieven ZM'!$B:$B,0)</f>
        <v>18</v>
      </c>
      <c r="X66" s="148">
        <f>INDEX('Tarieven ZM'!$H:$H,$W66)</f>
        <v>1000</v>
      </c>
      <c r="Y66" s="161">
        <f>-INDEX(Parameters!$B:$B,MATCH(Y$3,Parameters!$A:$A,0))*$X66</f>
        <v>0</v>
      </c>
      <c r="Z66" s="149">
        <f>-INDEX(Parameters!$B:$B,MATCH(Z$3,Parameters!$A:$A,0))*$X66</f>
        <v>0</v>
      </c>
      <c r="AA66" s="148">
        <f t="shared" si="47"/>
        <v>1000</v>
      </c>
      <c r="AB66" s="148">
        <f>AA66/INDEX(Parameters!$B:$B,MATCH("AfschrijftermijnVVE"&amp;12*$C66,Parameters!$A:$A,0))</f>
        <v>27.777777777777779</v>
      </c>
      <c r="AC66" s="148">
        <f>INDEX('Tarieven ZM'!$G:$G,$W66)</f>
        <v>1000</v>
      </c>
      <c r="AD66" s="161">
        <f>-INDEX(Parameters!$B:$B,MATCH(AD$3,Parameters!$A:$A,0))*$AC66</f>
        <v>0</v>
      </c>
      <c r="AE66" s="161">
        <f>-INDEX(Parameters!$B:$B,MATCH(AE$3,Parameters!$A:$A,0))*$AC66</f>
        <v>0</v>
      </c>
      <c r="AF66" s="148">
        <f t="shared" si="48"/>
        <v>1000</v>
      </c>
      <c r="AG66" s="151">
        <f t="shared" si="28"/>
        <v>1027.7777777777778</v>
      </c>
      <c r="AH66" s="123"/>
      <c r="AI66" s="147">
        <f>IF(R66&lt;&gt;"n.a.",MATCH($U66,'Tarieven W&amp;O'!$B:$B,0),"nvt")</f>
        <v>137</v>
      </c>
      <c r="AJ66" s="148">
        <f>IF(AI66&lt;&gt;"nvt",INDEX('Tarieven W&amp;O'!$H:$H,$AI66),0)</f>
        <v>0</v>
      </c>
      <c r="AK66" s="148">
        <f>IF(AI66&lt;&gt;"nvt",INDEX('Tarieven W&amp;O'!$I:$I,$AI66),0)</f>
        <v>5</v>
      </c>
      <c r="AL66" s="277">
        <f>IF(AI66&lt;&gt;"nvt",-INDEX(Parameters!$B:$B,MATCH(AL$3&amp;$M66,Parameters!$A:$A,0))*(AJ66+AK66),0)</f>
        <v>0</v>
      </c>
      <c r="AM66" s="442"/>
      <c r="AN66" s="262">
        <f t="shared" si="49"/>
        <v>5</v>
      </c>
      <c r="AO66" s="262">
        <f>AN66/INDEX(Parameters!$B:$B,MATCH("AfschrijftermijnVVE"&amp;12*$C66,Parameters!$A:$A,0))</f>
        <v>0.1388888888888889</v>
      </c>
      <c r="AP66" s="179">
        <f t="shared" si="50"/>
        <v>137</v>
      </c>
      <c r="AQ66" s="202">
        <f>IF(AP66&lt;&gt;"nvt",INDEX('Tarieven W&amp;O'!$G:$G,$AP66),0)</f>
        <v>7.41</v>
      </c>
      <c r="AR66" s="277">
        <f>-INDEX(Parameters!$B:$B,MATCH(AR$3&amp;$M66&amp;O66,Parameters!$A:$A,0))*(AQ66)</f>
        <v>0</v>
      </c>
      <c r="AS66" s="262">
        <f>Parameters!$D$54</f>
        <v>2</v>
      </c>
      <c r="AT66" s="442">
        <f>IF(M66="WBA CM Ethernet",0,'EDC Minus'!$H$27)</f>
        <v>1</v>
      </c>
      <c r="AU66" s="150">
        <f t="shared" si="31"/>
        <v>10.41</v>
      </c>
      <c r="AV66" s="150">
        <f t="shared" si="32"/>
        <v>10.548888888888889</v>
      </c>
      <c r="AW66" s="150"/>
      <c r="AX66" s="150">
        <f>Parameters!$B$6*AV66</f>
        <v>0.1054888888888889</v>
      </c>
      <c r="AY66" s="202">
        <v>0</v>
      </c>
      <c r="AZ66" s="202"/>
      <c r="BA66" s="150">
        <f t="shared" si="33"/>
        <v>0.1054888888888889</v>
      </c>
      <c r="BB66" s="150"/>
      <c r="BC66" s="151">
        <f t="shared" si="34"/>
        <v>10.654377777777778</v>
      </c>
      <c r="BD66" s="209"/>
      <c r="BE66" s="140">
        <f t="shared" si="35"/>
        <v>1017.1234000000001</v>
      </c>
      <c r="BF66" s="141">
        <f t="shared" si="36"/>
        <v>0.9896335783783784</v>
      </c>
      <c r="BG66" s="142" t="b">
        <f t="shared" si="51"/>
        <v>0</v>
      </c>
      <c r="BH66" s="148"/>
      <c r="BI66" s="188" t="s">
        <v>538</v>
      </c>
      <c r="BJ66" s="189"/>
      <c r="BK66">
        <f>VLOOKUP(J66,'Tarieven ZM'!$B$7:$I$146,8,0)</f>
        <v>0</v>
      </c>
      <c r="BL66" s="179" t="str">
        <f>INDEX(Mapping!$M:$M,MATCH($J66,Mapping!$B:$B,0))</f>
        <v>nvt</v>
      </c>
      <c r="BM66" s="282">
        <v>0</v>
      </c>
      <c r="BN66" s="262">
        <f>BM66/INDEX(Parameters!$B:$B,MATCH("AfschrijftermijnVVE"&amp;12*$C66,Parameters!$A:$A,0))</f>
        <v>0</v>
      </c>
      <c r="BO66" s="262">
        <f>Parameters!$D$59+INDEX('inkoop ULL tbv Epacity'!I:I,MATCH($BL66,'inkoop ULL tbv Epacity'!H:H,0))</f>
        <v>1</v>
      </c>
      <c r="BP66" s="263">
        <f t="shared" si="43"/>
        <v>1</v>
      </c>
      <c r="BQ66" s="203"/>
      <c r="BR66" s="262">
        <f>Parameters!$B$12*AG66</f>
        <v>102.77777777777779</v>
      </c>
      <c r="BS66" s="262">
        <f>SUM(Distributievergoedingen!$F$12,Distributievergoedingen!$I$12,Distributievergoedingen!$L$12,Distributievergoedingen!$O$12)*AF66+SUM(Distributievergoedingen!$O$12*AA66+Distributievergoedingen!$R$12+Distributievergoedingen!$U$12+Distributievergoedingen!$X$12)/(MAX(36,12*L66))</f>
        <v>112.77777777777777</v>
      </c>
      <c r="BT66" s="202"/>
      <c r="BU66" s="202">
        <f t="shared" si="52"/>
        <v>215.55555555555554</v>
      </c>
      <c r="BW66" s="151">
        <f t="shared" si="53"/>
        <v>216.55555555555554</v>
      </c>
      <c r="BY66" s="140">
        <f t="shared" si="54"/>
        <v>811.22222222222229</v>
      </c>
      <c r="BZ66" s="141">
        <f t="shared" si="55"/>
        <v>0.78929729729729736</v>
      </c>
      <c r="CA66" s="142" t="b">
        <f t="shared" si="56"/>
        <v>0</v>
      </c>
    </row>
    <row r="67" spans="1:79">
      <c r="A67" s="160" t="str">
        <f t="shared" si="44"/>
        <v>2ADSLPremiumnationaal256/256</v>
      </c>
      <c r="B67" s="142" t="str">
        <f t="shared" si="23"/>
        <v>2ADSL256/256Premium</v>
      </c>
      <c r="C67" s="198">
        <v>2</v>
      </c>
      <c r="D67" s="198" t="s">
        <v>42</v>
      </c>
      <c r="E67" s="198" t="s">
        <v>70</v>
      </c>
      <c r="F67" s="198" t="s">
        <v>115</v>
      </c>
      <c r="G67" s="199" t="s">
        <v>113</v>
      </c>
      <c r="H67" s="198" t="s">
        <v>48</v>
      </c>
      <c r="J67" s="142" t="str">
        <f t="shared" si="45"/>
        <v>ADSL256/256Premium</v>
      </c>
      <c r="L67" s="160">
        <f>INDEX(Mapping!$J:$J,MATCH(C$3&amp;C67,Mapping!$B:$B,0))</f>
        <v>1</v>
      </c>
      <c r="M67" s="148" t="str">
        <f>INDEX(Mapping!$H:$H,MATCH($E67,Mapping!$B:$B,0))</f>
        <v>WBA ZM Ethernet</v>
      </c>
      <c r="N67" s="148" t="str">
        <f>INDEX(Mapping!$I:$I,MATCH($E67&amp;$G67,Mapping!$B:$B,0))</f>
        <v>premium</v>
      </c>
      <c r="O67" s="148" t="str">
        <f>INDEX(Mapping!$I:$I,MATCH($D67,Mapping!$B:$B,0))</f>
        <v>ADSL</v>
      </c>
      <c r="P67" s="148" t="str">
        <f>INDEX(Mapping!$H:$H,MATCH($F67,Mapping!$B:$B,0))</f>
        <v>nvt</v>
      </c>
      <c r="Q67" s="148" t="str">
        <f>INDEX(Mapping!$J:$J,MATCH($E67&amp;$G67,Mapping!$B:$B,0))</f>
        <v>metro</v>
      </c>
      <c r="R67" s="148" t="str">
        <f>INDEX(Mapping!$I:$I,MATCH($J67,Mapping!$B:$B,0))</f>
        <v>1 Mbps/1 Mbps</v>
      </c>
      <c r="T67" s="148" t="str">
        <f>INDEX(Mapping!$K:$K,MATCH($E67&amp;$G67,Mapping!$B:$B,0))</f>
        <v>metro-nationaal</v>
      </c>
      <c r="U67" s="142" t="str">
        <f t="shared" si="46"/>
        <v>WBA ZM Ethernet1 Mbps/1 Mbpspremiummetro</v>
      </c>
      <c r="W67" s="160">
        <f>MATCH($J67,'Tarieven ZM'!$B:$B,0)</f>
        <v>19</v>
      </c>
      <c r="X67" s="148">
        <f>INDEX('Tarieven ZM'!$H:$H,$W67)</f>
        <v>1000</v>
      </c>
      <c r="Y67" s="161">
        <f>-INDEX(Parameters!$B:$B,MATCH(Y$3,Parameters!$A:$A,0))*$X67</f>
        <v>0</v>
      </c>
      <c r="Z67" s="149">
        <f>-INDEX(Parameters!$B:$B,MATCH(Z$3,Parameters!$A:$A,0))*$X67</f>
        <v>0</v>
      </c>
      <c r="AA67" s="148">
        <f t="shared" si="47"/>
        <v>1000</v>
      </c>
      <c r="AB67" s="148">
        <f>AA67/INDEX(Parameters!$B:$B,MATCH("AfschrijftermijnVVE"&amp;12*$C67,Parameters!$A:$A,0))</f>
        <v>27.777777777777779</v>
      </c>
      <c r="AC67" s="148">
        <f>INDEX('Tarieven ZM'!$G:$G,$W67)</f>
        <v>1000</v>
      </c>
      <c r="AD67" s="161">
        <f>-INDEX(Parameters!$B:$B,MATCH(AD$3,Parameters!$A:$A,0))*$AC67</f>
        <v>0</v>
      </c>
      <c r="AE67" s="161">
        <f>-INDEX(Parameters!$B:$B,MATCH(AE$3,Parameters!$A:$A,0))*$AC67</f>
        <v>0</v>
      </c>
      <c r="AF67" s="148">
        <f t="shared" si="48"/>
        <v>1000</v>
      </c>
      <c r="AG67" s="151">
        <f t="shared" si="28"/>
        <v>1027.7777777777778</v>
      </c>
      <c r="AH67" s="123"/>
      <c r="AI67" s="147">
        <f>IF(R67&lt;&gt;"n.a.",MATCH($U67,'Tarieven W&amp;O'!$B:$B,0),"nvt")</f>
        <v>138</v>
      </c>
      <c r="AJ67" s="148">
        <f>IF(AI67&lt;&gt;"nvt",INDEX('Tarieven W&amp;O'!$H:$H,$AI67),0)</f>
        <v>0</v>
      </c>
      <c r="AK67" s="148">
        <f>IF(AI67&lt;&gt;"nvt",INDEX('Tarieven W&amp;O'!$I:$I,$AI67),0)</f>
        <v>5</v>
      </c>
      <c r="AL67" s="277">
        <f>IF(AI67&lt;&gt;"nvt",-INDEX(Parameters!$B:$B,MATCH(AL$3&amp;$M67,Parameters!$A:$A,0))*(AJ67+AK67),0)</f>
        <v>0</v>
      </c>
      <c r="AM67" s="442"/>
      <c r="AN67" s="262">
        <f t="shared" si="49"/>
        <v>5</v>
      </c>
      <c r="AO67" s="262">
        <f>AN67/INDEX(Parameters!$B:$B,MATCH("AfschrijftermijnVVE"&amp;12*$C67,Parameters!$A:$A,0))</f>
        <v>0.1388888888888889</v>
      </c>
      <c r="AP67" s="179">
        <f t="shared" si="50"/>
        <v>138</v>
      </c>
      <c r="AQ67" s="202">
        <f>IF(AP67&lt;&gt;"nvt",INDEX('Tarieven W&amp;O'!$G:$G,$AP67),0)</f>
        <v>7.41</v>
      </c>
      <c r="AR67" s="277">
        <f>-INDEX(Parameters!$B:$B,MATCH(AR$3&amp;$M67&amp;O67,Parameters!$A:$A,0))*(AQ67)</f>
        <v>0</v>
      </c>
      <c r="AS67" s="262">
        <f>Parameters!$D$54</f>
        <v>2</v>
      </c>
      <c r="AT67" s="442">
        <f>IF(M67="WBA CM Ethernet",0,'EDC Minus'!$H$27)</f>
        <v>1</v>
      </c>
      <c r="AU67" s="150">
        <f t="shared" si="31"/>
        <v>10.41</v>
      </c>
      <c r="AV67" s="150">
        <f t="shared" si="32"/>
        <v>10.548888888888889</v>
      </c>
      <c r="AW67" s="150"/>
      <c r="AX67" s="150">
        <f>Parameters!$B$6*AV67</f>
        <v>0.1054888888888889</v>
      </c>
      <c r="AY67" s="202">
        <v>0</v>
      </c>
      <c r="AZ67" s="202"/>
      <c r="BA67" s="150">
        <f t="shared" si="33"/>
        <v>0.1054888888888889</v>
      </c>
      <c r="BB67" s="150"/>
      <c r="BC67" s="151">
        <f t="shared" si="34"/>
        <v>10.654377777777778</v>
      </c>
      <c r="BD67" s="209"/>
      <c r="BE67" s="140">
        <f t="shared" si="35"/>
        <v>1017.1234000000001</v>
      </c>
      <c r="BF67" s="141">
        <f t="shared" si="36"/>
        <v>0.9896335783783784</v>
      </c>
      <c r="BG67" s="142" t="b">
        <f t="shared" si="51"/>
        <v>0</v>
      </c>
      <c r="BH67" s="148"/>
      <c r="BI67" s="188" t="s">
        <v>538</v>
      </c>
      <c r="BJ67" s="189"/>
      <c r="BK67">
        <f>VLOOKUP(J67,'Tarieven ZM'!$B$7:$I$146,8,0)</f>
        <v>0</v>
      </c>
      <c r="BL67" s="179" t="str">
        <f>INDEX(Mapping!$M:$M,MATCH($J67,Mapping!$B:$B,0))</f>
        <v>nvt</v>
      </c>
      <c r="BM67" s="282">
        <v>0</v>
      </c>
      <c r="BN67" s="262">
        <f>BM67/INDEX(Parameters!$B:$B,MATCH("AfschrijftermijnVVE"&amp;12*$C67,Parameters!$A:$A,0))</f>
        <v>0</v>
      </c>
      <c r="BO67" s="262">
        <f>Parameters!$D$59+INDEX('inkoop ULL tbv Epacity'!I:I,MATCH($BL67,'inkoop ULL tbv Epacity'!H:H,0))</f>
        <v>1</v>
      </c>
      <c r="BP67" s="263">
        <f t="shared" si="43"/>
        <v>1</v>
      </c>
      <c r="BQ67" s="203"/>
      <c r="BR67" s="262">
        <f>Parameters!$B$12*AG67</f>
        <v>102.77777777777779</v>
      </c>
      <c r="BS67" s="262">
        <f>SUM(Distributievergoedingen!$F$12,Distributievergoedingen!$I$12,Distributievergoedingen!$L$12,Distributievergoedingen!$O$12)*AF67+SUM(Distributievergoedingen!$O$12*AA67+Distributievergoedingen!$R$12+Distributievergoedingen!$U$12+Distributievergoedingen!$X$12)/(MAX(36,12*L67))</f>
        <v>112.77777777777777</v>
      </c>
      <c r="BT67" s="202"/>
      <c r="BU67" s="202">
        <f t="shared" si="52"/>
        <v>215.55555555555554</v>
      </c>
      <c r="BW67" s="151">
        <f t="shared" si="53"/>
        <v>216.55555555555554</v>
      </c>
      <c r="BY67" s="140">
        <f t="shared" si="54"/>
        <v>811.22222222222229</v>
      </c>
      <c r="BZ67" s="141">
        <f t="shared" si="55"/>
        <v>0.78929729729729736</v>
      </c>
      <c r="CA67" s="142" t="b">
        <f t="shared" si="56"/>
        <v>0</v>
      </c>
    </row>
    <row r="68" spans="1:79">
      <c r="A68" s="160" t="str">
        <f t="shared" si="44"/>
        <v>2ADSLPremiumnationaal512/256</v>
      </c>
      <c r="B68" s="142" t="str">
        <f t="shared" ref="B68:B71" si="57">C68&amp;D68&amp;H68&amp;E68</f>
        <v>2ADSL512/256Premium</v>
      </c>
      <c r="C68" s="198">
        <v>2</v>
      </c>
      <c r="D68" s="198" t="s">
        <v>42</v>
      </c>
      <c r="E68" s="198" t="s">
        <v>70</v>
      </c>
      <c r="F68" s="198" t="s">
        <v>115</v>
      </c>
      <c r="G68" s="199" t="s">
        <v>113</v>
      </c>
      <c r="H68" s="198" t="s">
        <v>49</v>
      </c>
      <c r="J68" s="142" t="str">
        <f t="shared" si="45"/>
        <v>ADSL512/256Premium</v>
      </c>
      <c r="L68" s="160">
        <f>INDEX(Mapping!$J:$J,MATCH(C$3&amp;C68,Mapping!$B:$B,0))</f>
        <v>1</v>
      </c>
      <c r="M68" s="148" t="str">
        <f>INDEX(Mapping!$H:$H,MATCH($E68,Mapping!$B:$B,0))</f>
        <v>WBA ZM Ethernet</v>
      </c>
      <c r="N68" s="148" t="str">
        <f>INDEX(Mapping!$I:$I,MATCH($E68&amp;$G68,Mapping!$B:$B,0))</f>
        <v>premium</v>
      </c>
      <c r="O68" s="148" t="str">
        <f>INDEX(Mapping!$I:$I,MATCH($D68,Mapping!$B:$B,0))</f>
        <v>ADSL</v>
      </c>
      <c r="P68" s="148" t="str">
        <f>INDEX(Mapping!$H:$H,MATCH($F68,Mapping!$B:$B,0))</f>
        <v>nvt</v>
      </c>
      <c r="Q68" s="148" t="str">
        <f>INDEX(Mapping!$J:$J,MATCH($E68&amp;$G68,Mapping!$B:$B,0))</f>
        <v>metro</v>
      </c>
      <c r="R68" s="148" t="str">
        <f>INDEX(Mapping!$I:$I,MATCH($J68,Mapping!$B:$B,0))</f>
        <v>1 Mbps/1 Mbps</v>
      </c>
      <c r="T68" s="148" t="str">
        <f>INDEX(Mapping!$K:$K,MATCH($E68&amp;$G68,Mapping!$B:$B,0))</f>
        <v>metro-nationaal</v>
      </c>
      <c r="U68" s="142" t="str">
        <f t="shared" si="46"/>
        <v>WBA ZM Ethernet1 Mbps/1 Mbpspremiummetro</v>
      </c>
      <c r="W68" s="160">
        <f>MATCH($J68,'Tarieven ZM'!$B:$B,0)</f>
        <v>20</v>
      </c>
      <c r="X68" s="148">
        <f>INDEX('Tarieven ZM'!$H:$H,$W68)</f>
        <v>1000</v>
      </c>
      <c r="Y68" s="161">
        <f>-INDEX(Parameters!$B:$B,MATCH(Y$3,Parameters!$A:$A,0))*$X68</f>
        <v>0</v>
      </c>
      <c r="Z68" s="149">
        <f>-INDEX(Parameters!$B:$B,MATCH(Z$3,Parameters!$A:$A,0))*$X68</f>
        <v>0</v>
      </c>
      <c r="AA68" s="148">
        <f t="shared" si="47"/>
        <v>1000</v>
      </c>
      <c r="AB68" s="148">
        <f>AA68/INDEX(Parameters!$B:$B,MATCH("AfschrijftermijnVVE"&amp;12*$C68,Parameters!$A:$A,0))</f>
        <v>27.777777777777779</v>
      </c>
      <c r="AC68" s="148">
        <f>INDEX('Tarieven ZM'!$G:$G,$W68)</f>
        <v>1000</v>
      </c>
      <c r="AD68" s="161">
        <f>-INDEX(Parameters!$B:$B,MATCH(AD$3,Parameters!$A:$A,0))*$AC68</f>
        <v>0</v>
      </c>
      <c r="AE68" s="161">
        <f>-INDEX(Parameters!$B:$B,MATCH(AE$3,Parameters!$A:$A,0))*$AC68</f>
        <v>0</v>
      </c>
      <c r="AF68" s="148">
        <f t="shared" si="48"/>
        <v>1000</v>
      </c>
      <c r="AG68" s="151">
        <f t="shared" ref="AG68:AG71" si="58">SUM(AB68,AF68)</f>
        <v>1027.7777777777778</v>
      </c>
      <c r="AH68" s="123"/>
      <c r="AI68" s="147">
        <f>IF(R68&lt;&gt;"n.a.",MATCH($U68,'Tarieven W&amp;O'!$B:$B,0),"nvt")</f>
        <v>138</v>
      </c>
      <c r="AJ68" s="148">
        <f>IF(AI68&lt;&gt;"nvt",INDEX('Tarieven W&amp;O'!$H:$H,$AI68),0)</f>
        <v>0</v>
      </c>
      <c r="AK68" s="148">
        <f>IF(AI68&lt;&gt;"nvt",INDEX('Tarieven W&amp;O'!$I:$I,$AI68),0)</f>
        <v>5</v>
      </c>
      <c r="AL68" s="277">
        <f>IF(AI68&lt;&gt;"nvt",-INDEX(Parameters!$B:$B,MATCH(AL$3&amp;$M68,Parameters!$A:$A,0))*(AJ68+AK68),0)</f>
        <v>0</v>
      </c>
      <c r="AM68" s="442"/>
      <c r="AN68" s="262">
        <f t="shared" si="49"/>
        <v>5</v>
      </c>
      <c r="AO68" s="262">
        <f>AN68/INDEX(Parameters!$B:$B,MATCH("AfschrijftermijnVVE"&amp;12*$C68,Parameters!$A:$A,0))</f>
        <v>0.1388888888888889</v>
      </c>
      <c r="AP68" s="179">
        <f t="shared" si="50"/>
        <v>138</v>
      </c>
      <c r="AQ68" s="202">
        <f>IF(AP68&lt;&gt;"nvt",INDEX('Tarieven W&amp;O'!$G:$G,$AP68),0)</f>
        <v>7.41</v>
      </c>
      <c r="AR68" s="277">
        <f>-INDEX(Parameters!$B:$B,MATCH(AR$3&amp;$M68&amp;O68,Parameters!$A:$A,0))*(AQ68)</f>
        <v>0</v>
      </c>
      <c r="AS68" s="262">
        <f>Parameters!$D$54</f>
        <v>2</v>
      </c>
      <c r="AT68" s="442">
        <f>IF(M68="WBA CM Ethernet",0,'EDC Minus'!$H$27)</f>
        <v>1</v>
      </c>
      <c r="AU68" s="150">
        <f t="shared" ref="AU68:AU71" si="59">SUM(AQ68:AT68)</f>
        <v>10.41</v>
      </c>
      <c r="AV68" s="150">
        <f t="shared" ref="AV68:AV71" si="60">SUM(AO68,AU68)</f>
        <v>10.548888888888889</v>
      </c>
      <c r="AW68" s="150"/>
      <c r="AX68" s="150">
        <f>Parameters!$B$6*AV68</f>
        <v>0.1054888888888889</v>
      </c>
      <c r="AY68" s="202">
        <v>0</v>
      </c>
      <c r="AZ68" s="202"/>
      <c r="BA68" s="150">
        <f t="shared" ref="BA68:BA71" si="61">SUM(AX68:AZ68)</f>
        <v>0.1054888888888889</v>
      </c>
      <c r="BB68" s="150"/>
      <c r="BC68" s="151">
        <f t="shared" si="34"/>
        <v>10.654377777777778</v>
      </c>
      <c r="BD68" s="209"/>
      <c r="BE68" s="140">
        <f t="shared" si="35"/>
        <v>1017.1234000000001</v>
      </c>
      <c r="BF68" s="141">
        <f t="shared" ref="BF68:BF70" si="62">IF(AG68=0,-999%,BE68/AG68)</f>
        <v>0.9896335783783784</v>
      </c>
      <c r="BG68" s="142" t="b">
        <f t="shared" si="51"/>
        <v>0</v>
      </c>
      <c r="BH68" s="148"/>
      <c r="BI68" s="188" t="s">
        <v>538</v>
      </c>
      <c r="BJ68" s="189"/>
      <c r="BK68">
        <f>VLOOKUP(J68,'Tarieven ZM'!$B$7:$I$146,8,0)</f>
        <v>0</v>
      </c>
      <c r="BL68" s="179" t="str">
        <f>INDEX(Mapping!$M:$M,MATCH($J68,Mapping!$B:$B,0))</f>
        <v>nvt</v>
      </c>
      <c r="BM68" s="282">
        <v>0</v>
      </c>
      <c r="BN68" s="262">
        <f>BM68/INDEX(Parameters!$B:$B,MATCH("AfschrijftermijnVVE"&amp;12*$C68,Parameters!$A:$A,0))</f>
        <v>0</v>
      </c>
      <c r="BO68" s="262">
        <f>Parameters!$D$59+INDEX('inkoop ULL tbv Epacity'!I:I,MATCH($BL68,'inkoop ULL tbv Epacity'!H:H,0))</f>
        <v>1</v>
      </c>
      <c r="BP68" s="263">
        <f t="shared" si="43"/>
        <v>1</v>
      </c>
      <c r="BQ68" s="203"/>
      <c r="BR68" s="262">
        <f>Parameters!$B$12*AG68</f>
        <v>102.77777777777779</v>
      </c>
      <c r="BS68" s="262">
        <f>SUM(Distributievergoedingen!$F$12,Distributievergoedingen!$I$12,Distributievergoedingen!$L$12,Distributievergoedingen!$O$12)*AF68+SUM(Distributievergoedingen!$O$12*AA68+Distributievergoedingen!$R$12+Distributievergoedingen!$U$12+Distributievergoedingen!$X$12)/(MAX(36,12*L68))</f>
        <v>112.77777777777777</v>
      </c>
      <c r="BT68" s="202"/>
      <c r="BU68" s="202">
        <f t="shared" si="52"/>
        <v>215.55555555555554</v>
      </c>
      <c r="BW68" s="151">
        <f t="shared" si="53"/>
        <v>216.55555555555554</v>
      </c>
      <c r="BY68" s="140">
        <f t="shared" si="54"/>
        <v>811.22222222222229</v>
      </c>
      <c r="BZ68" s="141">
        <f t="shared" si="55"/>
        <v>0.78929729729729736</v>
      </c>
      <c r="CA68" s="142" t="b">
        <f t="shared" si="56"/>
        <v>0</v>
      </c>
    </row>
    <row r="69" spans="1:79">
      <c r="A69" s="160" t="str">
        <f t="shared" si="44"/>
        <v>2ADSLPremiumnationaal512/512</v>
      </c>
      <c r="B69" s="142" t="str">
        <f t="shared" si="57"/>
        <v>2ADSL512/512Premium</v>
      </c>
      <c r="C69" s="198">
        <v>2</v>
      </c>
      <c r="D69" s="198" t="s">
        <v>42</v>
      </c>
      <c r="E69" s="198" t="s">
        <v>70</v>
      </c>
      <c r="F69" s="198" t="s">
        <v>115</v>
      </c>
      <c r="G69" s="199" t="s">
        <v>113</v>
      </c>
      <c r="H69" s="198" t="s">
        <v>50</v>
      </c>
      <c r="J69" s="142" t="str">
        <f t="shared" si="45"/>
        <v>ADSL512/512Premium</v>
      </c>
      <c r="L69" s="160">
        <f>INDEX(Mapping!$J:$J,MATCH(C$3&amp;C69,Mapping!$B:$B,0))</f>
        <v>1</v>
      </c>
      <c r="M69" s="148" t="str">
        <f>INDEX(Mapping!$H:$H,MATCH($E69,Mapping!$B:$B,0))</f>
        <v>WBA ZM Ethernet</v>
      </c>
      <c r="N69" s="148" t="str">
        <f>INDEX(Mapping!$I:$I,MATCH($E69&amp;$G69,Mapping!$B:$B,0))</f>
        <v>premium</v>
      </c>
      <c r="O69" s="148" t="str">
        <f>INDEX(Mapping!$I:$I,MATCH($D69,Mapping!$B:$B,0))</f>
        <v>ADSL</v>
      </c>
      <c r="P69" s="148" t="str">
        <f>INDEX(Mapping!$H:$H,MATCH($F69,Mapping!$B:$B,0))</f>
        <v>nvt</v>
      </c>
      <c r="Q69" s="148" t="str">
        <f>INDEX(Mapping!$J:$J,MATCH($E69&amp;$G69,Mapping!$B:$B,0))</f>
        <v>metro</v>
      </c>
      <c r="R69" s="148" t="str">
        <f>INDEX(Mapping!$I:$I,MATCH($J69,Mapping!$B:$B,0))</f>
        <v>1 Mbps/1 Mbps</v>
      </c>
      <c r="T69" s="148" t="str">
        <f>INDEX(Mapping!$K:$K,MATCH($E69&amp;$G69,Mapping!$B:$B,0))</f>
        <v>metro-nationaal</v>
      </c>
      <c r="U69" s="142" t="str">
        <f t="shared" si="46"/>
        <v>WBA ZM Ethernet1 Mbps/1 Mbpspremiummetro</v>
      </c>
      <c r="W69" s="160">
        <f>MATCH($J69,'Tarieven ZM'!$B:$B,0)</f>
        <v>21</v>
      </c>
      <c r="X69" s="148">
        <f>INDEX('Tarieven ZM'!$H:$H,$W69)</f>
        <v>1000</v>
      </c>
      <c r="Y69" s="161">
        <f>-INDEX(Parameters!$B:$B,MATCH(Y$3,Parameters!$A:$A,0))*$X69</f>
        <v>0</v>
      </c>
      <c r="Z69" s="149">
        <f>-INDEX(Parameters!$B:$B,MATCH(Z$3,Parameters!$A:$A,0))*$X69</f>
        <v>0</v>
      </c>
      <c r="AA69" s="148">
        <f t="shared" si="47"/>
        <v>1000</v>
      </c>
      <c r="AB69" s="148">
        <f>AA69/INDEX(Parameters!$B:$B,MATCH("AfschrijftermijnVVE"&amp;12*$C69,Parameters!$A:$A,0))</f>
        <v>27.777777777777779</v>
      </c>
      <c r="AC69" s="148">
        <f>INDEX('Tarieven ZM'!$G:$G,$W69)</f>
        <v>1000</v>
      </c>
      <c r="AD69" s="161">
        <f>-INDEX(Parameters!$B:$B,MATCH(AD$3,Parameters!$A:$A,0))*$AC69</f>
        <v>0</v>
      </c>
      <c r="AE69" s="161">
        <f>-INDEX(Parameters!$B:$B,MATCH(AE$3,Parameters!$A:$A,0))*$AC69</f>
        <v>0</v>
      </c>
      <c r="AF69" s="148">
        <f t="shared" si="48"/>
        <v>1000</v>
      </c>
      <c r="AG69" s="151">
        <f t="shared" si="58"/>
        <v>1027.7777777777778</v>
      </c>
      <c r="AH69" s="123"/>
      <c r="AI69" s="147">
        <f>IF(R69&lt;&gt;"n.a.",MATCH($U69,'Tarieven W&amp;O'!$B:$B,0),"nvt")</f>
        <v>138</v>
      </c>
      <c r="AJ69" s="148">
        <f>IF(AI69&lt;&gt;"nvt",INDEX('Tarieven W&amp;O'!$H:$H,$AI69),0)</f>
        <v>0</v>
      </c>
      <c r="AK69" s="148">
        <f>IF(AI69&lt;&gt;"nvt",INDEX('Tarieven W&amp;O'!$I:$I,$AI69),0)</f>
        <v>5</v>
      </c>
      <c r="AL69" s="277">
        <f>IF(AI69&lt;&gt;"nvt",-INDEX(Parameters!$B:$B,MATCH(AL$3&amp;$M69,Parameters!$A:$A,0))*(AJ69+AK69),0)</f>
        <v>0</v>
      </c>
      <c r="AM69" s="442"/>
      <c r="AN69" s="262">
        <f t="shared" si="49"/>
        <v>5</v>
      </c>
      <c r="AO69" s="262">
        <f>AN69/INDEX(Parameters!$B:$B,MATCH("AfschrijftermijnVVE"&amp;12*$C69,Parameters!$A:$A,0))</f>
        <v>0.1388888888888889</v>
      </c>
      <c r="AP69" s="179">
        <f t="shared" si="50"/>
        <v>138</v>
      </c>
      <c r="AQ69" s="202">
        <f>IF(AP69&lt;&gt;"nvt",INDEX('Tarieven W&amp;O'!$G:$G,$AP69),0)</f>
        <v>7.41</v>
      </c>
      <c r="AR69" s="277">
        <f>-INDEX(Parameters!$B:$B,MATCH(AR$3&amp;$M69&amp;O69,Parameters!$A:$A,0))*(AQ69)</f>
        <v>0</v>
      </c>
      <c r="AS69" s="262">
        <f>Parameters!$D$54</f>
        <v>2</v>
      </c>
      <c r="AT69" s="442">
        <f>IF(M69="WBA CM Ethernet",0,'EDC Minus'!$H$27)</f>
        <v>1</v>
      </c>
      <c r="AU69" s="150">
        <f t="shared" si="59"/>
        <v>10.41</v>
      </c>
      <c r="AV69" s="150">
        <f t="shared" si="60"/>
        <v>10.548888888888889</v>
      </c>
      <c r="AW69" s="150"/>
      <c r="AX69" s="150">
        <f>Parameters!$B$6*AV69</f>
        <v>0.1054888888888889</v>
      </c>
      <c r="AY69" s="202">
        <v>0</v>
      </c>
      <c r="AZ69" s="202"/>
      <c r="BA69" s="150">
        <f t="shared" si="61"/>
        <v>0.1054888888888889</v>
      </c>
      <c r="BB69" s="150"/>
      <c r="BC69" s="151">
        <f t="shared" si="34"/>
        <v>10.654377777777778</v>
      </c>
      <c r="BD69" s="209"/>
      <c r="BE69" s="140">
        <f t="shared" si="35"/>
        <v>1017.1234000000001</v>
      </c>
      <c r="BF69" s="141">
        <f t="shared" si="62"/>
        <v>0.9896335783783784</v>
      </c>
      <c r="BG69" s="142" t="b">
        <f t="shared" si="51"/>
        <v>0</v>
      </c>
      <c r="BH69" s="148"/>
      <c r="BI69" s="188" t="s">
        <v>538</v>
      </c>
      <c r="BJ69" s="189"/>
      <c r="BK69">
        <f>VLOOKUP(J69,'Tarieven ZM'!$B$7:$I$146,8,0)</f>
        <v>0</v>
      </c>
      <c r="BL69" s="179" t="str">
        <f>INDEX(Mapping!$M:$M,MATCH($J69,Mapping!$B:$B,0))</f>
        <v>nvt</v>
      </c>
      <c r="BM69" s="282">
        <v>0</v>
      </c>
      <c r="BN69" s="262">
        <f>BM69/INDEX(Parameters!$B:$B,MATCH("AfschrijftermijnVVE"&amp;12*$C69,Parameters!$A:$A,0))</f>
        <v>0</v>
      </c>
      <c r="BO69" s="262">
        <f>Parameters!$D$59+INDEX('inkoop ULL tbv Epacity'!I:I,MATCH($BL69,'inkoop ULL tbv Epacity'!H:H,0))</f>
        <v>1</v>
      </c>
      <c r="BP69" s="263">
        <f t="shared" si="43"/>
        <v>1</v>
      </c>
      <c r="BQ69" s="203"/>
      <c r="BR69" s="262">
        <f>Parameters!$B$12*AG69</f>
        <v>102.77777777777779</v>
      </c>
      <c r="BS69" s="262">
        <f>SUM(Distributievergoedingen!$F$12,Distributievergoedingen!$I$12,Distributievergoedingen!$L$12,Distributievergoedingen!$O$12)*AF69+SUM(Distributievergoedingen!$O$12*AA69+Distributievergoedingen!$R$12+Distributievergoedingen!$U$12+Distributievergoedingen!$X$12)/(MAX(36,12*L69))</f>
        <v>112.77777777777777</v>
      </c>
      <c r="BT69" s="202"/>
      <c r="BU69" s="202">
        <f t="shared" si="52"/>
        <v>215.55555555555554</v>
      </c>
      <c r="BW69" s="151">
        <f t="shared" si="53"/>
        <v>216.55555555555554</v>
      </c>
      <c r="BY69" s="140">
        <f t="shared" si="54"/>
        <v>811.22222222222229</v>
      </c>
      <c r="BZ69" s="141">
        <f t="shared" si="55"/>
        <v>0.78929729729729736</v>
      </c>
      <c r="CA69" s="142" t="b">
        <f t="shared" si="56"/>
        <v>0</v>
      </c>
    </row>
    <row r="70" spans="1:79">
      <c r="A70" s="160" t="str">
        <f t="shared" si="44"/>
        <v>2ADSLPremiumnationaal1024/256</v>
      </c>
      <c r="B70" s="142" t="str">
        <f t="shared" si="57"/>
        <v>2ADSL1024/256Premium</v>
      </c>
      <c r="C70" s="198">
        <v>2</v>
      </c>
      <c r="D70" s="198" t="s">
        <v>42</v>
      </c>
      <c r="E70" s="198" t="s">
        <v>70</v>
      </c>
      <c r="F70" s="198" t="s">
        <v>115</v>
      </c>
      <c r="G70" s="199" t="s">
        <v>113</v>
      </c>
      <c r="H70" s="198" t="s">
        <v>52</v>
      </c>
      <c r="J70" s="142" t="str">
        <f t="shared" si="45"/>
        <v>ADSL1024/256Premium</v>
      </c>
      <c r="L70" s="160">
        <f>INDEX(Mapping!$J:$J,MATCH(C$3&amp;C70,Mapping!$B:$B,0))</f>
        <v>1</v>
      </c>
      <c r="M70" s="148" t="str">
        <f>INDEX(Mapping!$H:$H,MATCH($E70,Mapping!$B:$B,0))</f>
        <v>WBA ZM Ethernet</v>
      </c>
      <c r="N70" s="148" t="str">
        <f>INDEX(Mapping!$I:$I,MATCH($E70&amp;$G70,Mapping!$B:$B,0))</f>
        <v>premium</v>
      </c>
      <c r="O70" s="148" t="str">
        <f>INDEX(Mapping!$I:$I,MATCH($D70,Mapping!$B:$B,0))</f>
        <v>ADSL</v>
      </c>
      <c r="P70" s="148" t="str">
        <f>INDEX(Mapping!$H:$H,MATCH($F70,Mapping!$B:$B,0))</f>
        <v>nvt</v>
      </c>
      <c r="Q70" s="148" t="str">
        <f>INDEX(Mapping!$J:$J,MATCH($E70&amp;$G70,Mapping!$B:$B,0))</f>
        <v>metro</v>
      </c>
      <c r="R70" s="148" t="str">
        <f>INDEX(Mapping!$I:$I,MATCH($J70,Mapping!$B:$B,0))</f>
        <v>1 Mbps/1 Mbps</v>
      </c>
      <c r="T70" s="148" t="str">
        <f>INDEX(Mapping!$K:$K,MATCH($E70&amp;$G70,Mapping!$B:$B,0))</f>
        <v>metro-nationaal</v>
      </c>
      <c r="U70" s="142" t="str">
        <f t="shared" si="46"/>
        <v>WBA ZM Ethernet1 Mbps/1 Mbpspremiummetro</v>
      </c>
      <c r="W70" s="160">
        <f>MATCH($J70,'Tarieven ZM'!$B:$B,0)</f>
        <v>22</v>
      </c>
      <c r="X70" s="148">
        <f>INDEX('Tarieven ZM'!$H:$H,$W70)</f>
        <v>1000</v>
      </c>
      <c r="Y70" s="161">
        <f>-INDEX(Parameters!$B:$B,MATCH(Y$3,Parameters!$A:$A,0))*$X70</f>
        <v>0</v>
      </c>
      <c r="Z70" s="149">
        <f>-INDEX(Parameters!$B:$B,MATCH(Z$3,Parameters!$A:$A,0))*$X70</f>
        <v>0</v>
      </c>
      <c r="AA70" s="148">
        <f t="shared" si="47"/>
        <v>1000</v>
      </c>
      <c r="AB70" s="148">
        <f>AA70/INDEX(Parameters!$B:$B,MATCH("AfschrijftermijnVVE"&amp;12*$C70,Parameters!$A:$A,0))</f>
        <v>27.777777777777779</v>
      </c>
      <c r="AC70" s="148">
        <f>INDEX('Tarieven ZM'!$G:$G,$W70)</f>
        <v>1000</v>
      </c>
      <c r="AD70" s="161">
        <f>-INDEX(Parameters!$B:$B,MATCH(AD$3,Parameters!$A:$A,0))*$AC70</f>
        <v>0</v>
      </c>
      <c r="AE70" s="161">
        <f>-INDEX(Parameters!$B:$B,MATCH(AE$3,Parameters!$A:$A,0))*$AC70</f>
        <v>0</v>
      </c>
      <c r="AF70" s="148">
        <f t="shared" si="48"/>
        <v>1000</v>
      </c>
      <c r="AG70" s="151">
        <f t="shared" si="58"/>
        <v>1027.7777777777778</v>
      </c>
      <c r="AH70" s="123"/>
      <c r="AI70" s="147">
        <f>IF(R70&lt;&gt;"n.a.",MATCH($U70,'Tarieven W&amp;O'!$B:$B,0),"nvt")</f>
        <v>138</v>
      </c>
      <c r="AJ70" s="148">
        <f>IF(AI70&lt;&gt;"nvt",INDEX('Tarieven W&amp;O'!$H:$H,$AI70),0)</f>
        <v>0</v>
      </c>
      <c r="AK70" s="148">
        <f>IF(AI70&lt;&gt;"nvt",INDEX('Tarieven W&amp;O'!$I:$I,$AI70),0)</f>
        <v>5</v>
      </c>
      <c r="AL70" s="277">
        <f>IF(AI70&lt;&gt;"nvt",-INDEX(Parameters!$B:$B,MATCH(AL$3&amp;$M70,Parameters!$A:$A,0))*(AJ70+AK70),0)</f>
        <v>0</v>
      </c>
      <c r="AM70" s="442"/>
      <c r="AN70" s="262">
        <f t="shared" si="49"/>
        <v>5</v>
      </c>
      <c r="AO70" s="262">
        <f>AN70/INDEX(Parameters!$B:$B,MATCH("AfschrijftermijnVVE"&amp;12*$C70,Parameters!$A:$A,0))</f>
        <v>0.1388888888888889</v>
      </c>
      <c r="AP70" s="179">
        <f t="shared" si="50"/>
        <v>138</v>
      </c>
      <c r="AQ70" s="202">
        <f>IF(AP70&lt;&gt;"nvt",INDEX('Tarieven W&amp;O'!$G:$G,$AP70),0)</f>
        <v>7.41</v>
      </c>
      <c r="AR70" s="277">
        <f>-INDEX(Parameters!$B:$B,MATCH(AR$3&amp;$M70&amp;O70,Parameters!$A:$A,0))*(AQ70)</f>
        <v>0</v>
      </c>
      <c r="AS70" s="262">
        <f>Parameters!$D$54</f>
        <v>2</v>
      </c>
      <c r="AT70" s="442">
        <f>IF(M70="WBA CM Ethernet",0,'EDC Minus'!$H$27)</f>
        <v>1</v>
      </c>
      <c r="AU70" s="150">
        <f t="shared" si="59"/>
        <v>10.41</v>
      </c>
      <c r="AV70" s="150">
        <f t="shared" si="60"/>
        <v>10.548888888888889</v>
      </c>
      <c r="AW70" s="150"/>
      <c r="AX70" s="150">
        <f>Parameters!$B$6*AV70</f>
        <v>0.1054888888888889</v>
      </c>
      <c r="AY70" s="202">
        <v>0</v>
      </c>
      <c r="AZ70" s="202"/>
      <c r="BA70" s="150">
        <f t="shared" si="61"/>
        <v>0.1054888888888889</v>
      </c>
      <c r="BB70" s="150"/>
      <c r="BC70" s="151">
        <f t="shared" si="34"/>
        <v>10.654377777777778</v>
      </c>
      <c r="BD70" s="209"/>
      <c r="BE70" s="140">
        <f t="shared" si="35"/>
        <v>1017.1234000000001</v>
      </c>
      <c r="BF70" s="141">
        <f t="shared" si="62"/>
        <v>0.9896335783783784</v>
      </c>
      <c r="BG70" s="142" t="b">
        <f t="shared" si="51"/>
        <v>0</v>
      </c>
      <c r="BH70" s="148"/>
      <c r="BI70" s="188" t="s">
        <v>538</v>
      </c>
      <c r="BJ70" s="189"/>
      <c r="BK70">
        <f>VLOOKUP(J70,'Tarieven ZM'!$B$7:$I$146,8,0)</f>
        <v>0</v>
      </c>
      <c r="BL70" s="179" t="str">
        <f>INDEX(Mapping!$M:$M,MATCH($J70,Mapping!$B:$B,0))</f>
        <v>nvt</v>
      </c>
      <c r="BM70" s="282">
        <v>0</v>
      </c>
      <c r="BN70" s="262">
        <f>BM70/INDEX(Parameters!$B:$B,MATCH("AfschrijftermijnVVE"&amp;12*$C70,Parameters!$A:$A,0))</f>
        <v>0</v>
      </c>
      <c r="BO70" s="262">
        <f>Parameters!$D$59+INDEX('inkoop ULL tbv Epacity'!I:I,MATCH($BL70,'inkoop ULL tbv Epacity'!H:H,0))</f>
        <v>1</v>
      </c>
      <c r="BP70" s="263">
        <f t="shared" si="43"/>
        <v>1</v>
      </c>
      <c r="BQ70" s="203"/>
      <c r="BR70" s="262">
        <f>Parameters!$B$12*AG70</f>
        <v>102.77777777777779</v>
      </c>
      <c r="BS70" s="262">
        <f>SUM(Distributievergoedingen!$F$12,Distributievergoedingen!$I$12,Distributievergoedingen!$L$12,Distributievergoedingen!$O$12)*AF70+SUM(Distributievergoedingen!$O$12*AA70+Distributievergoedingen!$R$12+Distributievergoedingen!$U$12+Distributievergoedingen!$X$12)/(MAX(36,12*L70))</f>
        <v>112.77777777777777</v>
      </c>
      <c r="BT70" s="202"/>
      <c r="BU70" s="202">
        <f t="shared" si="52"/>
        <v>215.55555555555554</v>
      </c>
      <c r="BW70" s="151">
        <f t="shared" si="53"/>
        <v>216.55555555555554</v>
      </c>
      <c r="BY70" s="140">
        <f t="shared" si="54"/>
        <v>811.22222222222229</v>
      </c>
      <c r="BZ70" s="141">
        <f t="shared" si="55"/>
        <v>0.78929729729729736</v>
      </c>
      <c r="CA70" s="142" t="b">
        <f t="shared" si="56"/>
        <v>0</v>
      </c>
    </row>
    <row r="71" spans="1:79">
      <c r="A71" s="160" t="str">
        <f t="shared" si="44"/>
        <v>2ADSLPremiumnationaal1024/512</v>
      </c>
      <c r="B71" s="142" t="str">
        <f t="shared" si="57"/>
        <v>2ADSL1024/512Premium</v>
      </c>
      <c r="C71" s="198">
        <v>2</v>
      </c>
      <c r="D71" s="198" t="s">
        <v>42</v>
      </c>
      <c r="E71" s="198" t="s">
        <v>70</v>
      </c>
      <c r="F71" s="198" t="s">
        <v>115</v>
      </c>
      <c r="G71" s="199" t="s">
        <v>113</v>
      </c>
      <c r="H71" s="198" t="s">
        <v>53</v>
      </c>
      <c r="J71" s="142" t="str">
        <f t="shared" si="45"/>
        <v>ADSL1024/512Premium</v>
      </c>
      <c r="L71" s="160">
        <f>INDEX(Mapping!$J:$J,MATCH(C$3&amp;C71,Mapping!$B:$B,0))</f>
        <v>1</v>
      </c>
      <c r="M71" s="148" t="str">
        <f>INDEX(Mapping!$H:$H,MATCH($E71,Mapping!$B:$B,0))</f>
        <v>WBA ZM Ethernet</v>
      </c>
      <c r="N71" s="148" t="str">
        <f>INDEX(Mapping!$I:$I,MATCH($E71&amp;$G71,Mapping!$B:$B,0))</f>
        <v>premium</v>
      </c>
      <c r="O71" s="148" t="str">
        <f>INDEX(Mapping!$I:$I,MATCH($D71,Mapping!$B:$B,0))</f>
        <v>ADSL</v>
      </c>
      <c r="P71" s="148" t="str">
        <f>INDEX(Mapping!$H:$H,MATCH($F71,Mapping!$B:$B,0))</f>
        <v>nvt</v>
      </c>
      <c r="Q71" s="148" t="str">
        <f>INDEX(Mapping!$J:$J,MATCH($E71&amp;$G71,Mapping!$B:$B,0))</f>
        <v>metro</v>
      </c>
      <c r="R71" s="148" t="str">
        <f>INDEX(Mapping!$I:$I,MATCH($J71,Mapping!$B:$B,0))</f>
        <v>1 Mbps/1 Mbps</v>
      </c>
      <c r="T71" s="148" t="str">
        <f>INDEX(Mapping!$K:$K,MATCH($E71&amp;$G71,Mapping!$B:$B,0))</f>
        <v>metro-nationaal</v>
      </c>
      <c r="U71" s="142" t="str">
        <f t="shared" si="46"/>
        <v>WBA ZM Ethernet1 Mbps/1 Mbpspremiummetro</v>
      </c>
      <c r="W71" s="160">
        <f>MATCH($J71,'Tarieven ZM'!$B:$B,0)</f>
        <v>23</v>
      </c>
      <c r="X71" s="148">
        <f>INDEX('Tarieven ZM'!$H:$H,$W71)</f>
        <v>1000</v>
      </c>
      <c r="Y71" s="161">
        <f>-INDEX(Parameters!$B:$B,MATCH(Y$3,Parameters!$A:$A,0))*$X71</f>
        <v>0</v>
      </c>
      <c r="Z71" s="149">
        <f>-INDEX(Parameters!$B:$B,MATCH(Z$3,Parameters!$A:$A,0))*$X71</f>
        <v>0</v>
      </c>
      <c r="AA71" s="148">
        <f t="shared" si="47"/>
        <v>1000</v>
      </c>
      <c r="AB71" s="148">
        <f>AA71/INDEX(Parameters!$B:$B,MATCH("AfschrijftermijnVVE"&amp;12*$C71,Parameters!$A:$A,0))</f>
        <v>27.777777777777779</v>
      </c>
      <c r="AC71" s="148">
        <f>INDEX('Tarieven ZM'!$G:$G,$W71)</f>
        <v>1000</v>
      </c>
      <c r="AD71" s="161">
        <f>-INDEX(Parameters!$B:$B,MATCH(AD$3,Parameters!$A:$A,0))*$AC71</f>
        <v>0</v>
      </c>
      <c r="AE71" s="161">
        <f>-INDEX(Parameters!$B:$B,MATCH(AE$3,Parameters!$A:$A,0))*$AC71</f>
        <v>0</v>
      </c>
      <c r="AF71" s="148">
        <f t="shared" si="48"/>
        <v>1000</v>
      </c>
      <c r="AG71" s="151">
        <f t="shared" si="58"/>
        <v>1027.7777777777778</v>
      </c>
      <c r="AH71" s="123"/>
      <c r="AI71" s="147">
        <f>IF(R71&lt;&gt;"n.a.",MATCH($U71,'Tarieven W&amp;O'!$B:$B,0),"nvt")</f>
        <v>138</v>
      </c>
      <c r="AJ71" s="148">
        <f>IF(AI71&lt;&gt;"nvt",INDEX('Tarieven W&amp;O'!$H:$H,$AI71),0)</f>
        <v>0</v>
      </c>
      <c r="AK71" s="148">
        <f>IF(AI71&lt;&gt;"nvt",INDEX('Tarieven W&amp;O'!$I:$I,$AI71),0)</f>
        <v>5</v>
      </c>
      <c r="AL71" s="277">
        <f>IF(AI71&lt;&gt;"nvt",-INDEX(Parameters!$B:$B,MATCH(AL$3&amp;$M71,Parameters!$A:$A,0))*(AJ71+AK71),0)</f>
        <v>0</v>
      </c>
      <c r="AM71" s="442"/>
      <c r="AN71" s="262">
        <f t="shared" si="49"/>
        <v>5</v>
      </c>
      <c r="AO71" s="262">
        <f>AN71/INDEX(Parameters!$B:$B,MATCH("AfschrijftermijnVVE"&amp;12*$C71,Parameters!$A:$A,0))</f>
        <v>0.1388888888888889</v>
      </c>
      <c r="AP71" s="179">
        <f t="shared" si="50"/>
        <v>138</v>
      </c>
      <c r="AQ71" s="202">
        <f>IF(AP71&lt;&gt;"nvt",INDEX('Tarieven W&amp;O'!$G:$G,$AP71),0)</f>
        <v>7.41</v>
      </c>
      <c r="AR71" s="277">
        <f>-INDEX(Parameters!$B:$B,MATCH(AR$3&amp;$M71&amp;O71,Parameters!$A:$A,0))*(AQ71)</f>
        <v>0</v>
      </c>
      <c r="AS71" s="262">
        <f>Parameters!$D$54</f>
        <v>2</v>
      </c>
      <c r="AT71" s="442">
        <f>IF(M71="WBA CM Ethernet",0,'EDC Minus'!$H$27)</f>
        <v>1</v>
      </c>
      <c r="AU71" s="150">
        <f t="shared" si="59"/>
        <v>10.41</v>
      </c>
      <c r="AV71" s="150">
        <f t="shared" si="60"/>
        <v>10.548888888888889</v>
      </c>
      <c r="AW71" s="150"/>
      <c r="AX71" s="150">
        <f>Parameters!$B$6*AV71</f>
        <v>0.1054888888888889</v>
      </c>
      <c r="AY71" s="202">
        <v>0</v>
      </c>
      <c r="AZ71" s="202"/>
      <c r="BA71" s="150">
        <f t="shared" si="61"/>
        <v>0.1054888888888889</v>
      </c>
      <c r="BB71" s="150"/>
      <c r="BC71" s="151">
        <f t="shared" si="34"/>
        <v>10.654377777777778</v>
      </c>
      <c r="BD71" s="209"/>
      <c r="BE71" s="140">
        <f t="shared" ref="BE71:BE103" si="63">AG71-BC71</f>
        <v>1017.1234000000001</v>
      </c>
      <c r="BF71" s="141">
        <f t="shared" ref="BF71:BF103" si="64">IF(AG71=0,-999%,BE71/AG71)</f>
        <v>0.9896335783783784</v>
      </c>
      <c r="BG71" s="142" t="b">
        <f t="shared" si="51"/>
        <v>0</v>
      </c>
      <c r="BH71" s="148"/>
      <c r="BI71" s="188" t="s">
        <v>538</v>
      </c>
      <c r="BJ71" s="189"/>
      <c r="BK71">
        <f>VLOOKUP(J71,'Tarieven ZM'!$B$7:$I$146,8,0)</f>
        <v>0</v>
      </c>
      <c r="BL71" s="179" t="str">
        <f>INDEX(Mapping!$M:$M,MATCH($J71,Mapping!$B:$B,0))</f>
        <v>nvt</v>
      </c>
      <c r="BM71" s="282">
        <v>0</v>
      </c>
      <c r="BN71" s="262">
        <f>BM71/INDEX(Parameters!$B:$B,MATCH("AfschrijftermijnVVE"&amp;12*$C71,Parameters!$A:$A,0))</f>
        <v>0</v>
      </c>
      <c r="BO71" s="262">
        <f>Parameters!$D$59+INDEX('inkoop ULL tbv Epacity'!I:I,MATCH($BL71,'inkoop ULL tbv Epacity'!H:H,0))</f>
        <v>1</v>
      </c>
      <c r="BP71" s="263">
        <f t="shared" si="43"/>
        <v>1</v>
      </c>
      <c r="BQ71" s="203"/>
      <c r="BR71" s="262">
        <f>Parameters!$B$12*AG71</f>
        <v>102.77777777777779</v>
      </c>
      <c r="BS71" s="262">
        <f>SUM(Distributievergoedingen!$F$12,Distributievergoedingen!$I$12,Distributievergoedingen!$L$12,Distributievergoedingen!$O$12)*AF71+SUM(Distributievergoedingen!$O$12*AA71+Distributievergoedingen!$R$12+Distributievergoedingen!$U$12+Distributievergoedingen!$X$12)/(MAX(36,12*L71))</f>
        <v>112.77777777777777</v>
      </c>
      <c r="BT71" s="202"/>
      <c r="BU71" s="202">
        <f t="shared" si="52"/>
        <v>215.55555555555554</v>
      </c>
      <c r="BW71" s="151">
        <f t="shared" si="53"/>
        <v>216.55555555555554</v>
      </c>
      <c r="BY71" s="140">
        <f t="shared" si="54"/>
        <v>811.22222222222229</v>
      </c>
      <c r="BZ71" s="141">
        <f t="shared" si="55"/>
        <v>0.78929729729729736</v>
      </c>
      <c r="CA71" s="142" t="b">
        <f t="shared" si="56"/>
        <v>0</v>
      </c>
    </row>
    <row r="72" spans="1:79">
      <c r="A72" s="160" t="str">
        <f t="shared" si="44"/>
        <v>2ADSLPremiumnationaal2048/512</v>
      </c>
      <c r="B72" s="142" t="str">
        <f t="shared" ref="B72:B104" si="65">C72&amp;D72&amp;H72&amp;E72</f>
        <v>2ADSL2048/512Premium</v>
      </c>
      <c r="C72" s="198">
        <v>2</v>
      </c>
      <c r="D72" s="198" t="s">
        <v>42</v>
      </c>
      <c r="E72" s="198" t="s">
        <v>70</v>
      </c>
      <c r="F72" s="198" t="s">
        <v>115</v>
      </c>
      <c r="G72" s="199" t="s">
        <v>113</v>
      </c>
      <c r="H72" s="198" t="s">
        <v>54</v>
      </c>
      <c r="J72" s="142" t="str">
        <f t="shared" si="45"/>
        <v>ADSL2048/512Premium</v>
      </c>
      <c r="L72" s="160">
        <f>INDEX(Mapping!$J:$J,MATCH(C$3&amp;C72,Mapping!$B:$B,0))</f>
        <v>1</v>
      </c>
      <c r="M72" s="148" t="str">
        <f>INDEX(Mapping!$H:$H,MATCH($E72,Mapping!$B:$B,0))</f>
        <v>WBA ZM Ethernet</v>
      </c>
      <c r="N72" s="148" t="str">
        <f>INDEX(Mapping!$I:$I,MATCH($E72&amp;$G72,Mapping!$B:$B,0))</f>
        <v>premium</v>
      </c>
      <c r="O72" s="148" t="str">
        <f>INDEX(Mapping!$I:$I,MATCH($D72,Mapping!$B:$B,0))</f>
        <v>ADSL</v>
      </c>
      <c r="P72" s="148" t="str">
        <f>INDEX(Mapping!$H:$H,MATCH($F72,Mapping!$B:$B,0))</f>
        <v>nvt</v>
      </c>
      <c r="Q72" s="148" t="str">
        <f>INDEX(Mapping!$J:$J,MATCH($E72&amp;$G72,Mapping!$B:$B,0))</f>
        <v>metro</v>
      </c>
      <c r="R72" s="148" t="str">
        <f>INDEX(Mapping!$I:$I,MATCH($J72,Mapping!$B:$B,0))</f>
        <v>2 Mbps/1 Mbps</v>
      </c>
      <c r="T72" s="148" t="str">
        <f>INDEX(Mapping!$K:$K,MATCH($E72&amp;$G72,Mapping!$B:$B,0))</f>
        <v>metro-nationaal</v>
      </c>
      <c r="U72" s="142" t="str">
        <f t="shared" si="46"/>
        <v>WBA ZM Ethernet2 Mbps/1 Mbpspremiummetro</v>
      </c>
      <c r="W72" s="160">
        <f>MATCH($J72,'Tarieven ZM'!$B:$B,0)</f>
        <v>24</v>
      </c>
      <c r="X72" s="148">
        <f>INDEX('Tarieven ZM'!$H:$H,$W72)</f>
        <v>1000</v>
      </c>
      <c r="Y72" s="161">
        <f>-INDEX(Parameters!$B:$B,MATCH(Y$3,Parameters!$A:$A,0))*$X72</f>
        <v>0</v>
      </c>
      <c r="Z72" s="149">
        <f>-INDEX(Parameters!$B:$B,MATCH(Z$3,Parameters!$A:$A,0))*$X72</f>
        <v>0</v>
      </c>
      <c r="AA72" s="148">
        <f t="shared" si="47"/>
        <v>1000</v>
      </c>
      <c r="AB72" s="148">
        <f>AA72/INDEX(Parameters!$B:$B,MATCH("AfschrijftermijnVVE"&amp;12*$C72,Parameters!$A:$A,0))</f>
        <v>27.777777777777779</v>
      </c>
      <c r="AC72" s="148">
        <f>INDEX('Tarieven ZM'!$G:$G,$W72)</f>
        <v>1000</v>
      </c>
      <c r="AD72" s="161">
        <f>-INDEX(Parameters!$B:$B,MATCH(AD$3,Parameters!$A:$A,0))*$AC72</f>
        <v>0</v>
      </c>
      <c r="AE72" s="161">
        <f>-INDEX(Parameters!$B:$B,MATCH(AE$3,Parameters!$A:$A,0))*$AC72</f>
        <v>0</v>
      </c>
      <c r="AF72" s="148">
        <f t="shared" si="48"/>
        <v>1000</v>
      </c>
      <c r="AG72" s="151">
        <f t="shared" ref="AG72:AG104" si="66">SUM(AB72,AF72)</f>
        <v>1027.7777777777778</v>
      </c>
      <c r="AH72" s="123"/>
      <c r="AI72" s="147">
        <f>IF(R72&lt;&gt;"n.a.",MATCH($U72,'Tarieven W&amp;O'!$B:$B,0),"nvt")</f>
        <v>143</v>
      </c>
      <c r="AJ72" s="148">
        <f>IF(AI72&lt;&gt;"nvt",INDEX('Tarieven W&amp;O'!$H:$H,$AI72),0)</f>
        <v>0</v>
      </c>
      <c r="AK72" s="148">
        <f>IF(AI72&lt;&gt;"nvt",INDEX('Tarieven W&amp;O'!$I:$I,$AI72),0)</f>
        <v>5</v>
      </c>
      <c r="AL72" s="277">
        <f>IF(AI72&lt;&gt;"nvt",-INDEX(Parameters!$B:$B,MATCH(AL$3&amp;$M72,Parameters!$A:$A,0))*(AJ72+AK72),0)</f>
        <v>0</v>
      </c>
      <c r="AM72" s="442"/>
      <c r="AN72" s="262">
        <f t="shared" si="49"/>
        <v>5</v>
      </c>
      <c r="AO72" s="262">
        <f>AN72/INDEX(Parameters!$B:$B,MATCH("AfschrijftermijnVVE"&amp;12*$C72,Parameters!$A:$A,0))</f>
        <v>0.1388888888888889</v>
      </c>
      <c r="AP72" s="179">
        <f t="shared" si="50"/>
        <v>143</v>
      </c>
      <c r="AQ72" s="202">
        <f>IF(AP72&lt;&gt;"nvt",INDEX('Tarieven W&amp;O'!$G:$G,$AP72),0)</f>
        <v>12.35</v>
      </c>
      <c r="AR72" s="277">
        <f>-INDEX(Parameters!$B:$B,MATCH(AR$3&amp;$M72&amp;O72,Parameters!$A:$A,0))*(AQ72)</f>
        <v>0</v>
      </c>
      <c r="AS72" s="262">
        <f>Parameters!$D$54</f>
        <v>2</v>
      </c>
      <c r="AT72" s="442">
        <f>IF(M72="WBA CM Ethernet",0,'EDC Minus'!$H$27)</f>
        <v>1</v>
      </c>
      <c r="AU72" s="150">
        <f t="shared" ref="AU72:AU104" si="67">SUM(AQ72:AT72)</f>
        <v>15.35</v>
      </c>
      <c r="AV72" s="150">
        <f t="shared" ref="AV72:AV104" si="68">SUM(AO72,AU72)</f>
        <v>15.488888888888889</v>
      </c>
      <c r="AW72" s="150"/>
      <c r="AX72" s="150">
        <f>Parameters!$B$6*AV72</f>
        <v>0.15488888888888888</v>
      </c>
      <c r="AY72" s="202">
        <v>0</v>
      </c>
      <c r="AZ72" s="202"/>
      <c r="BA72" s="150">
        <f t="shared" ref="BA72:BA104" si="69">SUM(AX72:AZ72)</f>
        <v>0.15488888888888888</v>
      </c>
      <c r="BB72" s="150"/>
      <c r="BC72" s="151">
        <f t="shared" ref="BC72:BC104" si="70">SUM(AV72,BA72)</f>
        <v>15.643777777777778</v>
      </c>
      <c r="BD72" s="209"/>
      <c r="BE72" s="140">
        <f t="shared" si="63"/>
        <v>1012.134</v>
      </c>
      <c r="BF72" s="141">
        <f t="shared" si="64"/>
        <v>0.98477902702702702</v>
      </c>
      <c r="BG72" s="142" t="b">
        <f t="shared" si="51"/>
        <v>0</v>
      </c>
      <c r="BH72" s="148"/>
      <c r="BI72" s="188" t="s">
        <v>538</v>
      </c>
      <c r="BJ72" s="189"/>
      <c r="BK72">
        <f>VLOOKUP(J72,'Tarieven ZM'!$B$7:$I$146,8,0)</f>
        <v>0</v>
      </c>
      <c r="BL72" s="179" t="str">
        <f>INDEX(Mapping!$M:$M,MATCH($J72,Mapping!$B:$B,0))</f>
        <v>nvt</v>
      </c>
      <c r="BM72" s="282">
        <v>0</v>
      </c>
      <c r="BN72" s="262">
        <f>BM72/INDEX(Parameters!$B:$B,MATCH("AfschrijftermijnVVE"&amp;12*$C72,Parameters!$A:$A,0))</f>
        <v>0</v>
      </c>
      <c r="BO72" s="262">
        <f>Parameters!$D$59+INDEX('inkoop ULL tbv Epacity'!I:I,MATCH($BL72,'inkoop ULL tbv Epacity'!H:H,0))</f>
        <v>1</v>
      </c>
      <c r="BP72" s="263">
        <f t="shared" si="43"/>
        <v>1</v>
      </c>
      <c r="BQ72" s="203"/>
      <c r="BR72" s="262">
        <f>Parameters!$B$12*AG72</f>
        <v>102.77777777777779</v>
      </c>
      <c r="BS72" s="262">
        <f>SUM(Distributievergoedingen!$F$12,Distributievergoedingen!$I$12,Distributievergoedingen!$L$12,Distributievergoedingen!$O$12)*AF72+SUM(Distributievergoedingen!$O$12*AA72+Distributievergoedingen!$R$12+Distributievergoedingen!$U$12+Distributievergoedingen!$X$12)/(MAX(36,12*L72))</f>
        <v>112.77777777777777</v>
      </c>
      <c r="BT72" s="202"/>
      <c r="BU72" s="202">
        <f t="shared" si="52"/>
        <v>215.55555555555554</v>
      </c>
      <c r="BW72" s="151">
        <f t="shared" si="53"/>
        <v>216.55555555555554</v>
      </c>
      <c r="BY72" s="140">
        <f t="shared" si="54"/>
        <v>811.22222222222229</v>
      </c>
      <c r="BZ72" s="141">
        <f t="shared" si="55"/>
        <v>0.78929729729729736</v>
      </c>
      <c r="CA72" s="142" t="b">
        <f t="shared" si="56"/>
        <v>0</v>
      </c>
    </row>
    <row r="73" spans="1:79">
      <c r="A73" s="160" t="str">
        <f t="shared" si="44"/>
        <v>2ADSLPremiumnationaal4096/1024</v>
      </c>
      <c r="B73" s="142" t="str">
        <f t="shared" si="65"/>
        <v>2ADSL4096/1024Premium</v>
      </c>
      <c r="C73" s="198">
        <v>2</v>
      </c>
      <c r="D73" s="198" t="s">
        <v>42</v>
      </c>
      <c r="E73" s="198" t="s">
        <v>70</v>
      </c>
      <c r="F73" s="198" t="s">
        <v>115</v>
      </c>
      <c r="G73" s="199" t="s">
        <v>113</v>
      </c>
      <c r="H73" s="198" t="s">
        <v>57</v>
      </c>
      <c r="J73" s="142" t="str">
        <f t="shared" si="45"/>
        <v>ADSL4096/1024Premium</v>
      </c>
      <c r="L73" s="160">
        <f>INDEX(Mapping!$J:$J,MATCH(C$3&amp;C73,Mapping!$B:$B,0))</f>
        <v>1</v>
      </c>
      <c r="M73" s="148" t="str">
        <f>INDEX(Mapping!$H:$H,MATCH($E73,Mapping!$B:$B,0))</f>
        <v>WBA ZM Ethernet</v>
      </c>
      <c r="N73" s="148" t="str">
        <f>INDEX(Mapping!$I:$I,MATCH($E73&amp;$G73,Mapping!$B:$B,0))</f>
        <v>premium</v>
      </c>
      <c r="O73" s="148" t="str">
        <f>INDEX(Mapping!$I:$I,MATCH($D73,Mapping!$B:$B,0))</f>
        <v>ADSL</v>
      </c>
      <c r="P73" s="148" t="str">
        <f>INDEX(Mapping!$H:$H,MATCH($F73,Mapping!$B:$B,0))</f>
        <v>nvt</v>
      </c>
      <c r="Q73" s="148" t="str">
        <f>INDEX(Mapping!$J:$J,MATCH($E73&amp;$G73,Mapping!$B:$B,0))</f>
        <v>metro</v>
      </c>
      <c r="R73" s="148" t="str">
        <f>INDEX(Mapping!$I:$I,MATCH($J73,Mapping!$B:$B,0))</f>
        <v>5 Mbps/1 Mbps</v>
      </c>
      <c r="T73" s="148" t="str">
        <f>INDEX(Mapping!$K:$K,MATCH($E73&amp;$G73,Mapping!$B:$B,0))</f>
        <v>metro-nationaal</v>
      </c>
      <c r="U73" s="142" t="str">
        <f t="shared" si="46"/>
        <v>WBA ZM Ethernet5 Mbps/1 Mbpspremiummetro</v>
      </c>
      <c r="W73" s="160">
        <f>MATCH($J73,'Tarieven ZM'!$B:$B,0)</f>
        <v>25</v>
      </c>
      <c r="X73" s="148">
        <f>INDEX('Tarieven ZM'!$H:$H,$W73)</f>
        <v>1000</v>
      </c>
      <c r="Y73" s="161">
        <f>-INDEX(Parameters!$B:$B,MATCH(Y$3,Parameters!$A:$A,0))*$X73</f>
        <v>0</v>
      </c>
      <c r="Z73" s="149">
        <f>-INDEX(Parameters!$B:$B,MATCH(Z$3,Parameters!$A:$A,0))*$X73</f>
        <v>0</v>
      </c>
      <c r="AA73" s="148">
        <f t="shared" si="47"/>
        <v>1000</v>
      </c>
      <c r="AB73" s="148">
        <f>AA73/INDEX(Parameters!$B:$B,MATCH("AfschrijftermijnVVE"&amp;12*$C73,Parameters!$A:$A,0))</f>
        <v>27.777777777777779</v>
      </c>
      <c r="AC73" s="148">
        <f>INDEX('Tarieven ZM'!$G:$G,$W73)</f>
        <v>1000</v>
      </c>
      <c r="AD73" s="161">
        <f>-INDEX(Parameters!$B:$B,MATCH(AD$3,Parameters!$A:$A,0))*$AC73</f>
        <v>0</v>
      </c>
      <c r="AE73" s="161">
        <f>-INDEX(Parameters!$B:$B,MATCH(AE$3,Parameters!$A:$A,0))*$AC73</f>
        <v>0</v>
      </c>
      <c r="AF73" s="148">
        <f t="shared" si="48"/>
        <v>1000</v>
      </c>
      <c r="AG73" s="151">
        <f t="shared" si="66"/>
        <v>1027.7777777777778</v>
      </c>
      <c r="AH73" s="123"/>
      <c r="AI73" s="147">
        <f>IF(R73&lt;&gt;"n.a.",MATCH($U73,'Tarieven W&amp;O'!$B:$B,0),"nvt")</f>
        <v>144</v>
      </c>
      <c r="AJ73" s="148">
        <f>IF(AI73&lt;&gt;"nvt",INDEX('Tarieven W&amp;O'!$H:$H,$AI73),0)</f>
        <v>0</v>
      </c>
      <c r="AK73" s="148">
        <f>IF(AI73&lt;&gt;"nvt",INDEX('Tarieven W&amp;O'!$I:$I,$AI73),0)</f>
        <v>5</v>
      </c>
      <c r="AL73" s="277">
        <f>IF(AI73&lt;&gt;"nvt",-INDEX(Parameters!$B:$B,MATCH(AL$3&amp;$M73,Parameters!$A:$A,0))*(AJ73+AK73),0)</f>
        <v>0</v>
      </c>
      <c r="AM73" s="442"/>
      <c r="AN73" s="262">
        <f t="shared" si="49"/>
        <v>5</v>
      </c>
      <c r="AO73" s="262">
        <f>AN73/INDEX(Parameters!$B:$B,MATCH("AfschrijftermijnVVE"&amp;12*$C73,Parameters!$A:$A,0))</f>
        <v>0.1388888888888889</v>
      </c>
      <c r="AP73" s="179">
        <f t="shared" si="50"/>
        <v>144</v>
      </c>
      <c r="AQ73" s="202">
        <f>IF(AP73&lt;&gt;"nvt",INDEX('Tarieven W&amp;O'!$G:$G,$AP73),0)</f>
        <v>17.29</v>
      </c>
      <c r="AR73" s="277">
        <f>-INDEX(Parameters!$B:$B,MATCH(AR$3&amp;$M73&amp;O73,Parameters!$A:$A,0))*(AQ73)</f>
        <v>0</v>
      </c>
      <c r="AS73" s="262">
        <f>Parameters!$D$54</f>
        <v>2</v>
      </c>
      <c r="AT73" s="442">
        <f>IF(M73="WBA CM Ethernet",0,'EDC Minus'!$H$27)</f>
        <v>1</v>
      </c>
      <c r="AU73" s="150">
        <f t="shared" si="67"/>
        <v>20.29</v>
      </c>
      <c r="AV73" s="150">
        <f t="shared" si="68"/>
        <v>20.428888888888888</v>
      </c>
      <c r="AW73" s="150"/>
      <c r="AX73" s="150">
        <f>Parameters!$B$6*AV73</f>
        <v>0.20428888888888888</v>
      </c>
      <c r="AY73" s="202">
        <v>0</v>
      </c>
      <c r="AZ73" s="202"/>
      <c r="BA73" s="150">
        <f t="shared" si="69"/>
        <v>0.20428888888888888</v>
      </c>
      <c r="BB73" s="150"/>
      <c r="BC73" s="151">
        <f t="shared" si="70"/>
        <v>20.633177777777778</v>
      </c>
      <c r="BD73" s="209"/>
      <c r="BE73" s="140">
        <f t="shared" si="63"/>
        <v>1007.1446000000001</v>
      </c>
      <c r="BF73" s="141">
        <f t="shared" si="64"/>
        <v>0.97992447567567575</v>
      </c>
      <c r="BG73" s="142" t="b">
        <f t="shared" si="51"/>
        <v>0</v>
      </c>
      <c r="BH73" s="148"/>
      <c r="BI73" s="188" t="s">
        <v>538</v>
      </c>
      <c r="BJ73" s="189"/>
      <c r="BK73">
        <f>VLOOKUP(J73,'Tarieven ZM'!$B$7:$I$146,8,0)</f>
        <v>0</v>
      </c>
      <c r="BL73" s="179" t="str">
        <f>INDEX(Mapping!$M:$M,MATCH($J73,Mapping!$B:$B,0))</f>
        <v>Premium &gt; 2/2Mbps</v>
      </c>
      <c r="BM73" s="282">
        <v>0</v>
      </c>
      <c r="BN73" s="262">
        <f>BM73/INDEX(Parameters!$B:$B,MATCH("AfschrijftermijnVVE"&amp;12*$C73,Parameters!$A:$A,0))</f>
        <v>0</v>
      </c>
      <c r="BO73" s="262">
        <f>Parameters!$D$59+INDEX('inkoop ULL tbv Epacity'!I:I,MATCH($BL73,'inkoop ULL tbv Epacity'!H:H,0))</f>
        <v>17.02</v>
      </c>
      <c r="BP73" s="263">
        <f t="shared" si="43"/>
        <v>17.02</v>
      </c>
      <c r="BQ73" s="203"/>
      <c r="BR73" s="262">
        <f>Parameters!$B$12*AG73</f>
        <v>102.77777777777779</v>
      </c>
      <c r="BS73" s="262">
        <f>SUM(Distributievergoedingen!$F$12,Distributievergoedingen!$I$12,Distributievergoedingen!$L$12,Distributievergoedingen!$O$12)*AF73+SUM(Distributievergoedingen!$O$12*AA73+Distributievergoedingen!$R$12+Distributievergoedingen!$U$12+Distributievergoedingen!$X$12)/(MAX(36,12*L73))</f>
        <v>112.77777777777777</v>
      </c>
      <c r="BT73" s="202"/>
      <c r="BU73" s="202">
        <f t="shared" si="52"/>
        <v>215.55555555555554</v>
      </c>
      <c r="BW73" s="151">
        <f t="shared" si="53"/>
        <v>232.57555555555555</v>
      </c>
      <c r="BY73" s="140">
        <f t="shared" si="54"/>
        <v>795.2022222222223</v>
      </c>
      <c r="BZ73" s="141">
        <f t="shared" si="55"/>
        <v>0.77371027027027028</v>
      </c>
      <c r="CA73" s="142" t="b">
        <f t="shared" si="56"/>
        <v>0</v>
      </c>
    </row>
    <row r="74" spans="1:79">
      <c r="A74" s="160" t="str">
        <f t="shared" si="44"/>
        <v>2ADSLPremiumnationaal8000/1024</v>
      </c>
      <c r="B74" s="142" t="str">
        <f t="shared" si="65"/>
        <v>2ADSL8000/1024Premium</v>
      </c>
      <c r="C74" s="198">
        <v>2</v>
      </c>
      <c r="D74" s="198" t="s">
        <v>42</v>
      </c>
      <c r="E74" s="198" t="s">
        <v>70</v>
      </c>
      <c r="F74" s="198" t="s">
        <v>115</v>
      </c>
      <c r="G74" s="199" t="s">
        <v>113</v>
      </c>
      <c r="H74" s="198" t="s">
        <v>60</v>
      </c>
      <c r="J74" s="142" t="str">
        <f t="shared" si="45"/>
        <v>ADSL8000/1024Premium</v>
      </c>
      <c r="L74" s="160">
        <f>INDEX(Mapping!$J:$J,MATCH(C$3&amp;C74,Mapping!$B:$B,0))</f>
        <v>1</v>
      </c>
      <c r="M74" s="148" t="str">
        <f>INDEX(Mapping!$H:$H,MATCH($E74,Mapping!$B:$B,0))</f>
        <v>WBA ZM Ethernet</v>
      </c>
      <c r="N74" s="148" t="str">
        <f>INDEX(Mapping!$I:$I,MATCH($E74&amp;$G74,Mapping!$B:$B,0))</f>
        <v>premium</v>
      </c>
      <c r="O74" s="148" t="str">
        <f>INDEX(Mapping!$I:$I,MATCH($D74,Mapping!$B:$B,0))</f>
        <v>ADSL</v>
      </c>
      <c r="P74" s="148" t="str">
        <f>INDEX(Mapping!$H:$H,MATCH($F74,Mapping!$B:$B,0))</f>
        <v>nvt</v>
      </c>
      <c r="Q74" s="148" t="str">
        <f>INDEX(Mapping!$J:$J,MATCH($E74&amp;$G74,Mapping!$B:$B,0))</f>
        <v>metro</v>
      </c>
      <c r="R74" s="148" t="str">
        <f>INDEX(Mapping!$I:$I,MATCH($J74,Mapping!$B:$B,0))</f>
        <v>10 Mbps/5 Mbps</v>
      </c>
      <c r="T74" s="148" t="str">
        <f>INDEX(Mapping!$K:$K,MATCH($E74&amp;$G74,Mapping!$B:$B,0))</f>
        <v>metro-nationaal</v>
      </c>
      <c r="U74" s="142" t="str">
        <f t="shared" si="46"/>
        <v>WBA ZM Ethernet10 Mbps/5 Mbpspremiummetro</v>
      </c>
      <c r="W74" s="160">
        <f>MATCH($J74,'Tarieven ZM'!$B:$B,0)</f>
        <v>26</v>
      </c>
      <c r="X74" s="148">
        <f>INDEX('Tarieven ZM'!$H:$H,$W74)</f>
        <v>1000</v>
      </c>
      <c r="Y74" s="161">
        <f>-INDEX(Parameters!$B:$B,MATCH(Y$3,Parameters!$A:$A,0))*$X74</f>
        <v>0</v>
      </c>
      <c r="Z74" s="149">
        <f>-INDEX(Parameters!$B:$B,MATCH(Z$3,Parameters!$A:$A,0))*$X74</f>
        <v>0</v>
      </c>
      <c r="AA74" s="148">
        <f t="shared" si="47"/>
        <v>1000</v>
      </c>
      <c r="AB74" s="148">
        <f>AA74/INDEX(Parameters!$B:$B,MATCH("AfschrijftermijnVVE"&amp;12*$C74,Parameters!$A:$A,0))</f>
        <v>27.777777777777779</v>
      </c>
      <c r="AC74" s="148">
        <f>INDEX('Tarieven ZM'!$G:$G,$W74)</f>
        <v>1000</v>
      </c>
      <c r="AD74" s="161">
        <f>-INDEX(Parameters!$B:$B,MATCH(AD$3,Parameters!$A:$A,0))*$AC74</f>
        <v>0</v>
      </c>
      <c r="AE74" s="161">
        <f>-INDEX(Parameters!$B:$B,MATCH(AE$3,Parameters!$A:$A,0))*$AC74</f>
        <v>0</v>
      </c>
      <c r="AF74" s="148">
        <f t="shared" si="48"/>
        <v>1000</v>
      </c>
      <c r="AG74" s="151">
        <f t="shared" si="66"/>
        <v>1027.7777777777778</v>
      </c>
      <c r="AH74" s="123"/>
      <c r="AI74" s="147">
        <f>IF(R74&lt;&gt;"n.a.",MATCH($U74,'Tarieven W&amp;O'!$B:$B,0),"nvt")</f>
        <v>145</v>
      </c>
      <c r="AJ74" s="148">
        <f>IF(AI74&lt;&gt;"nvt",INDEX('Tarieven W&amp;O'!$H:$H,$AI74),0)</f>
        <v>0</v>
      </c>
      <c r="AK74" s="148">
        <f>IF(AI74&lt;&gt;"nvt",INDEX('Tarieven W&amp;O'!$I:$I,$AI74),0)</f>
        <v>5</v>
      </c>
      <c r="AL74" s="277">
        <f>IF(AI74&lt;&gt;"nvt",-INDEX(Parameters!$B:$B,MATCH(AL$3&amp;$M74,Parameters!$A:$A,0))*(AJ74+AK74),0)</f>
        <v>0</v>
      </c>
      <c r="AM74" s="442"/>
      <c r="AN74" s="262">
        <f t="shared" si="49"/>
        <v>5</v>
      </c>
      <c r="AO74" s="262">
        <f>AN74/INDEX(Parameters!$B:$B,MATCH("AfschrijftermijnVVE"&amp;12*$C74,Parameters!$A:$A,0))</f>
        <v>0.1388888888888889</v>
      </c>
      <c r="AP74" s="179">
        <f t="shared" si="50"/>
        <v>145</v>
      </c>
      <c r="AQ74" s="202">
        <f>IF(AP74&lt;&gt;"nvt",INDEX('Tarieven W&amp;O'!$G:$G,$AP74),0)</f>
        <v>22.24</v>
      </c>
      <c r="AR74" s="277">
        <f>-INDEX(Parameters!$B:$B,MATCH(AR$3&amp;$M74&amp;O74,Parameters!$A:$A,0))*(AQ74)</f>
        <v>0</v>
      </c>
      <c r="AS74" s="262">
        <f>Parameters!$D$54</f>
        <v>2</v>
      </c>
      <c r="AT74" s="442">
        <f>IF(M74="WBA CM Ethernet",0,'EDC Minus'!$H$27)</f>
        <v>1</v>
      </c>
      <c r="AU74" s="150">
        <f t="shared" si="67"/>
        <v>25.24</v>
      </c>
      <c r="AV74" s="150">
        <f t="shared" si="68"/>
        <v>25.378888888888888</v>
      </c>
      <c r="AW74" s="150"/>
      <c r="AX74" s="150">
        <f>Parameters!$B$6*AV74</f>
        <v>0.2537888888888889</v>
      </c>
      <c r="AY74" s="202">
        <v>0</v>
      </c>
      <c r="AZ74" s="202"/>
      <c r="BA74" s="150">
        <f t="shared" si="69"/>
        <v>0.2537888888888889</v>
      </c>
      <c r="BB74" s="150"/>
      <c r="BC74" s="151">
        <f t="shared" si="70"/>
        <v>25.632677777777776</v>
      </c>
      <c r="BD74" s="209"/>
      <c r="BE74" s="140">
        <f t="shared" si="63"/>
        <v>1002.1451000000001</v>
      </c>
      <c r="BF74" s="141">
        <f t="shared" si="64"/>
        <v>0.97506009729729737</v>
      </c>
      <c r="BG74" s="142" t="b">
        <f t="shared" si="51"/>
        <v>0</v>
      </c>
      <c r="BH74" s="148"/>
      <c r="BI74" s="188" t="s">
        <v>538</v>
      </c>
      <c r="BJ74" s="189"/>
      <c r="BK74">
        <f>VLOOKUP(J74,'Tarieven ZM'!$B$7:$I$146,8,0)</f>
        <v>0</v>
      </c>
      <c r="BL74" s="179" t="str">
        <f>INDEX(Mapping!$M:$M,MATCH($J74,Mapping!$B:$B,0))</f>
        <v>Premium &gt; 2/2Mbps</v>
      </c>
      <c r="BM74" s="282">
        <v>0</v>
      </c>
      <c r="BN74" s="262">
        <f>BM74/INDEX(Parameters!$B:$B,MATCH("AfschrijftermijnVVE"&amp;12*$C74,Parameters!$A:$A,0))</f>
        <v>0</v>
      </c>
      <c r="BO74" s="262">
        <f>Parameters!$D$59+INDEX('inkoop ULL tbv Epacity'!I:I,MATCH($BL74,'inkoop ULL tbv Epacity'!H:H,0))</f>
        <v>17.02</v>
      </c>
      <c r="BP74" s="263">
        <f t="shared" si="43"/>
        <v>17.02</v>
      </c>
      <c r="BQ74" s="203"/>
      <c r="BR74" s="262">
        <f>Parameters!$B$12*AG74</f>
        <v>102.77777777777779</v>
      </c>
      <c r="BS74" s="262">
        <f>SUM(Distributievergoedingen!$F$12,Distributievergoedingen!$I$12,Distributievergoedingen!$L$12,Distributievergoedingen!$O$12)*AF74+SUM(Distributievergoedingen!$O$12*AA74+Distributievergoedingen!$R$12+Distributievergoedingen!$U$12+Distributievergoedingen!$X$12)/(MAX(36,12*L74))</f>
        <v>112.77777777777777</v>
      </c>
      <c r="BT74" s="202"/>
      <c r="BU74" s="202">
        <f t="shared" si="52"/>
        <v>215.55555555555554</v>
      </c>
      <c r="BW74" s="151">
        <f t="shared" si="53"/>
        <v>232.57555555555555</v>
      </c>
      <c r="BY74" s="140">
        <f t="shared" si="54"/>
        <v>795.2022222222223</v>
      </c>
      <c r="BZ74" s="141">
        <f t="shared" si="55"/>
        <v>0.77371027027027028</v>
      </c>
      <c r="CA74" s="142" t="b">
        <f t="shared" si="56"/>
        <v>0</v>
      </c>
    </row>
    <row r="75" spans="1:79">
      <c r="A75" s="160" t="str">
        <f t="shared" si="44"/>
        <v>2ADSLPremiumnationaal12000/1024</v>
      </c>
      <c r="B75" s="142" t="str">
        <f t="shared" si="65"/>
        <v>2ADSL12000/1024Premium</v>
      </c>
      <c r="C75" s="198">
        <v>2</v>
      </c>
      <c r="D75" s="198" t="s">
        <v>42</v>
      </c>
      <c r="E75" s="198" t="s">
        <v>70</v>
      </c>
      <c r="F75" s="198" t="s">
        <v>115</v>
      </c>
      <c r="G75" s="199" t="s">
        <v>113</v>
      </c>
      <c r="H75" s="198" t="s">
        <v>61</v>
      </c>
      <c r="J75" s="142" t="str">
        <f t="shared" si="45"/>
        <v>ADSL12000/1024Premium</v>
      </c>
      <c r="L75" s="160">
        <f>INDEX(Mapping!$J:$J,MATCH(C$3&amp;C75,Mapping!$B:$B,0))</f>
        <v>1</v>
      </c>
      <c r="M75" s="148" t="str">
        <f>INDEX(Mapping!$H:$H,MATCH($E75,Mapping!$B:$B,0))</f>
        <v>WBA ZM Ethernet</v>
      </c>
      <c r="N75" s="148" t="str">
        <f>INDEX(Mapping!$I:$I,MATCH($E75&amp;$G75,Mapping!$B:$B,0))</f>
        <v>premium</v>
      </c>
      <c r="O75" s="148" t="str">
        <f>INDEX(Mapping!$I:$I,MATCH($D75,Mapping!$B:$B,0))</f>
        <v>ADSL</v>
      </c>
      <c r="P75" s="148" t="str">
        <f>INDEX(Mapping!$H:$H,MATCH($F75,Mapping!$B:$B,0))</f>
        <v>nvt</v>
      </c>
      <c r="Q75" s="148" t="str">
        <f>INDEX(Mapping!$J:$J,MATCH($E75&amp;$G75,Mapping!$B:$B,0))</f>
        <v>metro</v>
      </c>
      <c r="R75" s="148" t="str">
        <f>INDEX(Mapping!$I:$I,MATCH($J75,Mapping!$B:$B,0))</f>
        <v>20 Mbps/10 Mbps</v>
      </c>
      <c r="T75" s="148" t="str">
        <f>INDEX(Mapping!$K:$K,MATCH($E75&amp;$G75,Mapping!$B:$B,0))</f>
        <v>metro-nationaal</v>
      </c>
      <c r="U75" s="142" t="str">
        <f t="shared" si="46"/>
        <v>WBA ZM Ethernet20 Mbps/10 Mbpspremiummetro</v>
      </c>
      <c r="W75" s="160">
        <f>MATCH($J75,'Tarieven ZM'!$B:$B,0)</f>
        <v>27</v>
      </c>
      <c r="X75" s="148">
        <f>INDEX('Tarieven ZM'!$H:$H,$W75)</f>
        <v>1000</v>
      </c>
      <c r="Y75" s="161">
        <f>-INDEX(Parameters!$B:$B,MATCH(Y$3,Parameters!$A:$A,0))*$X75</f>
        <v>0</v>
      </c>
      <c r="Z75" s="149">
        <f>-INDEX(Parameters!$B:$B,MATCH(Z$3,Parameters!$A:$A,0))*$X75</f>
        <v>0</v>
      </c>
      <c r="AA75" s="148">
        <f t="shared" si="47"/>
        <v>1000</v>
      </c>
      <c r="AB75" s="148">
        <f>AA75/INDEX(Parameters!$B:$B,MATCH("AfschrijftermijnVVE"&amp;12*$C75,Parameters!$A:$A,0))</f>
        <v>27.777777777777779</v>
      </c>
      <c r="AC75" s="148">
        <f>INDEX('Tarieven ZM'!$G:$G,$W75)</f>
        <v>1000</v>
      </c>
      <c r="AD75" s="161">
        <f>-INDEX(Parameters!$B:$B,MATCH(AD$3,Parameters!$A:$A,0))*$AC75</f>
        <v>0</v>
      </c>
      <c r="AE75" s="161">
        <f>-INDEX(Parameters!$B:$B,MATCH(AE$3,Parameters!$A:$A,0))*$AC75</f>
        <v>0</v>
      </c>
      <c r="AF75" s="148">
        <f t="shared" si="48"/>
        <v>1000</v>
      </c>
      <c r="AG75" s="151">
        <f t="shared" si="66"/>
        <v>1027.7777777777778</v>
      </c>
      <c r="AH75" s="123"/>
      <c r="AI75" s="147">
        <f>IF(R75&lt;&gt;"n.a.",MATCH($U75,'Tarieven W&amp;O'!$B:$B,0),"nvt")</f>
        <v>146</v>
      </c>
      <c r="AJ75" s="148">
        <f>IF(AI75&lt;&gt;"nvt",INDEX('Tarieven W&amp;O'!$H:$H,$AI75),0)</f>
        <v>0</v>
      </c>
      <c r="AK75" s="148">
        <f>IF(AI75&lt;&gt;"nvt",INDEX('Tarieven W&amp;O'!$I:$I,$AI75),0)</f>
        <v>5</v>
      </c>
      <c r="AL75" s="277">
        <f>IF(AI75&lt;&gt;"nvt",-INDEX(Parameters!$B:$B,MATCH(AL$3&amp;$M75,Parameters!$A:$A,0))*(AJ75+AK75),0)</f>
        <v>0</v>
      </c>
      <c r="AM75" s="442"/>
      <c r="AN75" s="262">
        <f t="shared" si="49"/>
        <v>5</v>
      </c>
      <c r="AO75" s="262">
        <f>AN75/INDEX(Parameters!$B:$B,MATCH("AfschrijftermijnVVE"&amp;12*$C75,Parameters!$A:$A,0))</f>
        <v>0.1388888888888889</v>
      </c>
      <c r="AP75" s="179">
        <f t="shared" si="50"/>
        <v>146</v>
      </c>
      <c r="AQ75" s="202">
        <f>IF(AP75&lt;&gt;"nvt",INDEX('Tarieven W&amp;O'!$G:$G,$AP75),0)</f>
        <v>27.18</v>
      </c>
      <c r="AR75" s="277">
        <f>-INDEX(Parameters!$B:$B,MATCH(AR$3&amp;$M75&amp;O75,Parameters!$A:$A,0))*(AQ75)</f>
        <v>0</v>
      </c>
      <c r="AS75" s="262">
        <f>Parameters!$D$54</f>
        <v>2</v>
      </c>
      <c r="AT75" s="442">
        <f>IF(M75="WBA CM Ethernet",0,'EDC Minus'!$H$27)</f>
        <v>1</v>
      </c>
      <c r="AU75" s="150">
        <f t="shared" si="67"/>
        <v>30.18</v>
      </c>
      <c r="AV75" s="150">
        <f t="shared" si="68"/>
        <v>30.318888888888889</v>
      </c>
      <c r="AW75" s="150"/>
      <c r="AX75" s="150">
        <f>Parameters!$B$6*AV75</f>
        <v>0.3031888888888889</v>
      </c>
      <c r="AY75" s="202">
        <v>0</v>
      </c>
      <c r="AZ75" s="202"/>
      <c r="BA75" s="150">
        <f t="shared" si="69"/>
        <v>0.3031888888888889</v>
      </c>
      <c r="BB75" s="150"/>
      <c r="BC75" s="151">
        <f t="shared" si="70"/>
        <v>30.622077777777779</v>
      </c>
      <c r="BD75" s="209"/>
      <c r="BE75" s="140">
        <f t="shared" si="63"/>
        <v>997.15570000000002</v>
      </c>
      <c r="BF75" s="141">
        <f t="shared" si="64"/>
        <v>0.97020554594594588</v>
      </c>
      <c r="BG75" s="142" t="b">
        <f t="shared" si="51"/>
        <v>0</v>
      </c>
      <c r="BH75" s="148"/>
      <c r="BI75" s="188" t="s">
        <v>538</v>
      </c>
      <c r="BJ75" s="189"/>
      <c r="BK75">
        <f>VLOOKUP(J75,'Tarieven ZM'!$B$7:$I$146,8,0)</f>
        <v>0</v>
      </c>
      <c r="BL75" s="179" t="str">
        <f>INDEX(Mapping!$M:$M,MATCH($J75,Mapping!$B:$B,0))</f>
        <v>Premium &gt; 2/2Mbps</v>
      </c>
      <c r="BM75" s="282">
        <v>0</v>
      </c>
      <c r="BN75" s="262">
        <f>BM75/INDEX(Parameters!$B:$B,MATCH("AfschrijftermijnVVE"&amp;12*$C75,Parameters!$A:$A,0))</f>
        <v>0</v>
      </c>
      <c r="BO75" s="262">
        <f>Parameters!$D$59+INDEX('inkoop ULL tbv Epacity'!I:I,MATCH($BL75,'inkoop ULL tbv Epacity'!H:H,0))</f>
        <v>17.02</v>
      </c>
      <c r="BP75" s="263">
        <f t="shared" si="43"/>
        <v>17.02</v>
      </c>
      <c r="BQ75" s="203"/>
      <c r="BR75" s="262">
        <f>Parameters!$B$12*AG75</f>
        <v>102.77777777777779</v>
      </c>
      <c r="BS75" s="262">
        <f>SUM(Distributievergoedingen!$F$12,Distributievergoedingen!$I$12,Distributievergoedingen!$L$12,Distributievergoedingen!$O$12)*AF75+SUM(Distributievergoedingen!$O$12*AA75+Distributievergoedingen!$R$12+Distributievergoedingen!$U$12+Distributievergoedingen!$X$12)/(MAX(36,12*L75))</f>
        <v>112.77777777777777</v>
      </c>
      <c r="BT75" s="202"/>
      <c r="BU75" s="202">
        <f t="shared" si="52"/>
        <v>215.55555555555554</v>
      </c>
      <c r="BW75" s="151">
        <f t="shared" si="53"/>
        <v>232.57555555555555</v>
      </c>
      <c r="BY75" s="140">
        <f t="shared" si="54"/>
        <v>795.2022222222223</v>
      </c>
      <c r="BZ75" s="141">
        <f t="shared" si="55"/>
        <v>0.77371027027027028</v>
      </c>
      <c r="CA75" s="142" t="b">
        <f t="shared" si="56"/>
        <v>0</v>
      </c>
    </row>
    <row r="76" spans="1:79">
      <c r="A76" s="160" t="str">
        <f t="shared" si="44"/>
        <v>2SDSLPremiumnationaal256/256</v>
      </c>
      <c r="B76" s="142" t="str">
        <f t="shared" si="65"/>
        <v>2SDSL256/256Premium</v>
      </c>
      <c r="C76" s="198">
        <v>2</v>
      </c>
      <c r="D76" s="198" t="s">
        <v>64</v>
      </c>
      <c r="E76" s="198" t="s">
        <v>70</v>
      </c>
      <c r="F76" s="198" t="s">
        <v>115</v>
      </c>
      <c r="G76" s="199" t="s">
        <v>113</v>
      </c>
      <c r="H76" s="198" t="s">
        <v>48</v>
      </c>
      <c r="J76" s="142" t="str">
        <f t="shared" si="45"/>
        <v>SDSL256/256Premium</v>
      </c>
      <c r="L76" s="160">
        <f>INDEX(Mapping!$J:$J,MATCH(C$3&amp;C76,Mapping!$B:$B,0))</f>
        <v>1</v>
      </c>
      <c r="M76" s="148" t="str">
        <f>INDEX(Mapping!$H:$H,MATCH($E76,Mapping!$B:$B,0))</f>
        <v>WBA ZM Ethernet</v>
      </c>
      <c r="N76" s="148" t="str">
        <f>INDEX(Mapping!$I:$I,MATCH($E76&amp;$G76,Mapping!$B:$B,0))</f>
        <v>premium</v>
      </c>
      <c r="O76" s="148" t="str">
        <f>INDEX(Mapping!$I:$I,MATCH($D76,Mapping!$B:$B,0))</f>
        <v>SDSL</v>
      </c>
      <c r="P76" s="148" t="str">
        <f>INDEX(Mapping!$H:$H,MATCH($F76,Mapping!$B:$B,0))</f>
        <v>nvt</v>
      </c>
      <c r="Q76" s="148" t="str">
        <f>INDEX(Mapping!$J:$J,MATCH($E76&amp;$G76,Mapping!$B:$B,0))</f>
        <v>metro</v>
      </c>
      <c r="R76" s="148" t="str">
        <f>INDEX(Mapping!$I:$I,MATCH($J76,Mapping!$B:$B,0))</f>
        <v>1 Mbps/1 Mbps</v>
      </c>
      <c r="T76" s="148" t="str">
        <f>INDEX(Mapping!$K:$K,MATCH($E76&amp;$G76,Mapping!$B:$B,0))</f>
        <v>metro-nationaal</v>
      </c>
      <c r="U76" s="142" t="str">
        <f t="shared" si="46"/>
        <v>WBA ZM Ethernet1 Mbps/1 Mbpspremiummetro</v>
      </c>
      <c r="W76" s="160">
        <f>MATCH($J76,'Tarieven ZM'!$B:$B,0)</f>
        <v>28</v>
      </c>
      <c r="X76" s="148">
        <f>INDEX('Tarieven ZM'!$H:$H,$W76)</f>
        <v>1000</v>
      </c>
      <c r="Y76" s="161">
        <f>-INDEX(Parameters!$B:$B,MATCH(Y$3,Parameters!$A:$A,0))*$X76</f>
        <v>0</v>
      </c>
      <c r="Z76" s="149">
        <f>-INDEX(Parameters!$B:$B,MATCH(Z$3,Parameters!$A:$A,0))*$X76</f>
        <v>0</v>
      </c>
      <c r="AA76" s="148">
        <f t="shared" si="47"/>
        <v>1000</v>
      </c>
      <c r="AB76" s="148">
        <f>AA76/INDEX(Parameters!$B:$B,MATCH("AfschrijftermijnVVE"&amp;12*$C76,Parameters!$A:$A,0))</f>
        <v>27.777777777777779</v>
      </c>
      <c r="AC76" s="148">
        <f>INDEX('Tarieven ZM'!$G:$G,$W76)</f>
        <v>1000</v>
      </c>
      <c r="AD76" s="161">
        <f>-INDEX(Parameters!$B:$B,MATCH(AD$3,Parameters!$A:$A,0))*$AC76</f>
        <v>0</v>
      </c>
      <c r="AE76" s="161">
        <f>-INDEX(Parameters!$B:$B,MATCH(AE$3,Parameters!$A:$A,0))*$AC76</f>
        <v>0</v>
      </c>
      <c r="AF76" s="148">
        <f t="shared" si="48"/>
        <v>1000</v>
      </c>
      <c r="AG76" s="151">
        <f t="shared" si="66"/>
        <v>1027.7777777777778</v>
      </c>
      <c r="AH76" s="123"/>
      <c r="AI76" s="147">
        <f>IF(R76&lt;&gt;"n.a.",MATCH($U76,'Tarieven W&amp;O'!$B:$B,0),"nvt")</f>
        <v>138</v>
      </c>
      <c r="AJ76" s="148">
        <f>IF(AI76&lt;&gt;"nvt",INDEX('Tarieven W&amp;O'!$H:$H,$AI76),0)</f>
        <v>0</v>
      </c>
      <c r="AK76" s="148">
        <f>IF(AI76&lt;&gt;"nvt",INDEX('Tarieven W&amp;O'!$I:$I,$AI76),0)</f>
        <v>5</v>
      </c>
      <c r="AL76" s="277">
        <f>IF(AI76&lt;&gt;"nvt",-INDEX(Parameters!$B:$B,MATCH(AL$3&amp;$M76,Parameters!$A:$A,0))*(AJ76+AK76),0)</f>
        <v>0</v>
      </c>
      <c r="AM76" s="442"/>
      <c r="AN76" s="262">
        <f t="shared" si="49"/>
        <v>5</v>
      </c>
      <c r="AO76" s="262">
        <f>AN76/INDEX(Parameters!$B:$B,MATCH("AfschrijftermijnVVE"&amp;12*$C76,Parameters!$A:$A,0))</f>
        <v>0.1388888888888889</v>
      </c>
      <c r="AP76" s="179">
        <f t="shared" si="50"/>
        <v>138</v>
      </c>
      <c r="AQ76" s="202">
        <f>IF(AP76&lt;&gt;"nvt",INDEX('Tarieven W&amp;O'!$G:$G,$AP76),0)</f>
        <v>7.41</v>
      </c>
      <c r="AR76" s="277">
        <f>-INDEX(Parameters!$B:$B,MATCH(AR$3&amp;$M76&amp;O76,Parameters!$A:$A,0))*(AQ76)</f>
        <v>0</v>
      </c>
      <c r="AS76" s="262">
        <f>Parameters!$D$54</f>
        <v>2</v>
      </c>
      <c r="AT76" s="442">
        <f>IF(M76="WBA CM Ethernet",0,'EDC Minus'!$H$27)</f>
        <v>1</v>
      </c>
      <c r="AU76" s="150">
        <f t="shared" si="67"/>
        <v>10.41</v>
      </c>
      <c r="AV76" s="150">
        <f t="shared" si="68"/>
        <v>10.548888888888889</v>
      </c>
      <c r="AW76" s="150"/>
      <c r="AX76" s="150">
        <f>Parameters!$B$6*AV76</f>
        <v>0.1054888888888889</v>
      </c>
      <c r="AY76" s="202">
        <v>0</v>
      </c>
      <c r="AZ76" s="202"/>
      <c r="BA76" s="150">
        <f t="shared" si="69"/>
        <v>0.1054888888888889</v>
      </c>
      <c r="BB76" s="150"/>
      <c r="BC76" s="151">
        <f t="shared" si="70"/>
        <v>10.654377777777778</v>
      </c>
      <c r="BD76" s="209"/>
      <c r="BE76" s="140">
        <f t="shared" si="63"/>
        <v>1017.1234000000001</v>
      </c>
      <c r="BF76" s="141">
        <f t="shared" si="64"/>
        <v>0.9896335783783784</v>
      </c>
      <c r="BG76" s="142" t="b">
        <f t="shared" si="51"/>
        <v>0</v>
      </c>
      <c r="BH76" s="148"/>
      <c r="BI76" s="188" t="s">
        <v>538</v>
      </c>
      <c r="BJ76" s="189"/>
      <c r="BK76">
        <f>VLOOKUP(J76,'Tarieven ZM'!$B$7:$I$146,8,0)</f>
        <v>0</v>
      </c>
      <c r="BL76" s="179" t="str">
        <f>INDEX(Mapping!$M:$M,MATCH($J76,Mapping!$B:$B,0))</f>
        <v>nvt</v>
      </c>
      <c r="BM76" s="282">
        <v>0</v>
      </c>
      <c r="BN76" s="262">
        <f>BM76/INDEX(Parameters!$B:$B,MATCH("AfschrijftermijnVVE"&amp;12*$C76,Parameters!$A:$A,0))</f>
        <v>0</v>
      </c>
      <c r="BO76" s="262">
        <f>Parameters!$D$59+INDEX('inkoop ULL tbv Epacity'!I:I,MATCH($BL76,'inkoop ULL tbv Epacity'!H:H,0))</f>
        <v>1</v>
      </c>
      <c r="BP76" s="263">
        <f t="shared" si="43"/>
        <v>1</v>
      </c>
      <c r="BQ76" s="203"/>
      <c r="BR76" s="262">
        <f>Parameters!$B$12*AG76</f>
        <v>102.77777777777779</v>
      </c>
      <c r="BS76" s="262">
        <f>SUM(Distributievergoedingen!$F$12,Distributievergoedingen!$I$12,Distributievergoedingen!$L$12,Distributievergoedingen!$O$12)*AF76+SUM(Distributievergoedingen!$O$12*AA76+Distributievergoedingen!$R$12+Distributievergoedingen!$U$12+Distributievergoedingen!$X$12)/(MAX(36,12*L76))</f>
        <v>112.77777777777777</v>
      </c>
      <c r="BT76" s="202"/>
      <c r="BU76" s="202">
        <f t="shared" si="52"/>
        <v>215.55555555555554</v>
      </c>
      <c r="BW76" s="151">
        <f t="shared" si="53"/>
        <v>216.55555555555554</v>
      </c>
      <c r="BY76" s="140">
        <f t="shared" si="54"/>
        <v>811.22222222222229</v>
      </c>
      <c r="BZ76" s="141">
        <f t="shared" si="55"/>
        <v>0.78929729729729736</v>
      </c>
      <c r="CA76" s="142" t="b">
        <f t="shared" si="56"/>
        <v>0</v>
      </c>
    </row>
    <row r="77" spans="1:79">
      <c r="A77" s="160" t="str">
        <f t="shared" si="44"/>
        <v>2SDSLPremiumnationaal512/512</v>
      </c>
      <c r="B77" s="142" t="str">
        <f t="shared" si="65"/>
        <v>2SDSL512/512Premium</v>
      </c>
      <c r="C77" s="198">
        <v>2</v>
      </c>
      <c r="D77" s="198" t="s">
        <v>64</v>
      </c>
      <c r="E77" s="198" t="s">
        <v>70</v>
      </c>
      <c r="F77" s="198" t="s">
        <v>115</v>
      </c>
      <c r="G77" s="199" t="s">
        <v>113</v>
      </c>
      <c r="H77" s="198" t="s">
        <v>50</v>
      </c>
      <c r="J77" s="142" t="str">
        <f t="shared" si="45"/>
        <v>SDSL512/512Premium</v>
      </c>
      <c r="L77" s="160">
        <f>INDEX(Mapping!$J:$J,MATCH(C$3&amp;C77,Mapping!$B:$B,0))</f>
        <v>1</v>
      </c>
      <c r="M77" s="148" t="str">
        <f>INDEX(Mapping!$H:$H,MATCH($E77,Mapping!$B:$B,0))</f>
        <v>WBA ZM Ethernet</v>
      </c>
      <c r="N77" s="148" t="str">
        <f>INDEX(Mapping!$I:$I,MATCH($E77&amp;$G77,Mapping!$B:$B,0))</f>
        <v>premium</v>
      </c>
      <c r="O77" s="148" t="str">
        <f>INDEX(Mapping!$I:$I,MATCH($D77,Mapping!$B:$B,0))</f>
        <v>SDSL</v>
      </c>
      <c r="P77" s="148" t="str">
        <f>INDEX(Mapping!$H:$H,MATCH($F77,Mapping!$B:$B,0))</f>
        <v>nvt</v>
      </c>
      <c r="Q77" s="148" t="str">
        <f>INDEX(Mapping!$J:$J,MATCH($E77&amp;$G77,Mapping!$B:$B,0))</f>
        <v>metro</v>
      </c>
      <c r="R77" s="148" t="str">
        <f>INDEX(Mapping!$I:$I,MATCH($J77,Mapping!$B:$B,0))</f>
        <v>1 Mbps/1 Mbps</v>
      </c>
      <c r="T77" s="148" t="str">
        <f>INDEX(Mapping!$K:$K,MATCH($E77&amp;$G77,Mapping!$B:$B,0))</f>
        <v>metro-nationaal</v>
      </c>
      <c r="U77" s="142" t="str">
        <f t="shared" si="46"/>
        <v>WBA ZM Ethernet1 Mbps/1 Mbpspremiummetro</v>
      </c>
      <c r="W77" s="160">
        <f>MATCH($J77,'Tarieven ZM'!$B:$B,0)</f>
        <v>29</v>
      </c>
      <c r="X77" s="148">
        <f>INDEX('Tarieven ZM'!$H:$H,$W77)</f>
        <v>1000</v>
      </c>
      <c r="Y77" s="161">
        <f>-INDEX(Parameters!$B:$B,MATCH(Y$3,Parameters!$A:$A,0))*$X77</f>
        <v>0</v>
      </c>
      <c r="Z77" s="149">
        <f>-INDEX(Parameters!$B:$B,MATCH(Z$3,Parameters!$A:$A,0))*$X77</f>
        <v>0</v>
      </c>
      <c r="AA77" s="148">
        <f t="shared" si="47"/>
        <v>1000</v>
      </c>
      <c r="AB77" s="148">
        <f>AA77/INDEX(Parameters!$B:$B,MATCH("AfschrijftermijnVVE"&amp;12*$C77,Parameters!$A:$A,0))</f>
        <v>27.777777777777779</v>
      </c>
      <c r="AC77" s="148">
        <f>INDEX('Tarieven ZM'!$G:$G,$W77)</f>
        <v>1000</v>
      </c>
      <c r="AD77" s="161">
        <f>-INDEX(Parameters!$B:$B,MATCH(AD$3,Parameters!$A:$A,0))*$AC77</f>
        <v>0</v>
      </c>
      <c r="AE77" s="161">
        <f>-INDEX(Parameters!$B:$B,MATCH(AE$3,Parameters!$A:$A,0))*$AC77</f>
        <v>0</v>
      </c>
      <c r="AF77" s="148">
        <f t="shared" si="48"/>
        <v>1000</v>
      </c>
      <c r="AG77" s="151">
        <f t="shared" si="66"/>
        <v>1027.7777777777778</v>
      </c>
      <c r="AH77" s="123"/>
      <c r="AI77" s="147">
        <f>IF(R77&lt;&gt;"n.a.",MATCH($U77,'Tarieven W&amp;O'!$B:$B,0),"nvt")</f>
        <v>138</v>
      </c>
      <c r="AJ77" s="148">
        <f>IF(AI77&lt;&gt;"nvt",INDEX('Tarieven W&amp;O'!$H:$H,$AI77),0)</f>
        <v>0</v>
      </c>
      <c r="AK77" s="148">
        <f>IF(AI77&lt;&gt;"nvt",INDEX('Tarieven W&amp;O'!$I:$I,$AI77),0)</f>
        <v>5</v>
      </c>
      <c r="AL77" s="277">
        <f>IF(AI77&lt;&gt;"nvt",-INDEX(Parameters!$B:$B,MATCH(AL$3&amp;$M77,Parameters!$A:$A,0))*(AJ77+AK77),0)</f>
        <v>0</v>
      </c>
      <c r="AM77" s="442"/>
      <c r="AN77" s="262">
        <f t="shared" si="49"/>
        <v>5</v>
      </c>
      <c r="AO77" s="262">
        <f>AN77/INDEX(Parameters!$B:$B,MATCH("AfschrijftermijnVVE"&amp;12*$C77,Parameters!$A:$A,0))</f>
        <v>0.1388888888888889</v>
      </c>
      <c r="AP77" s="179">
        <f t="shared" si="50"/>
        <v>138</v>
      </c>
      <c r="AQ77" s="202">
        <f>IF(AP77&lt;&gt;"nvt",INDEX('Tarieven W&amp;O'!$G:$G,$AP77),0)</f>
        <v>7.41</v>
      </c>
      <c r="AR77" s="277">
        <f>-INDEX(Parameters!$B:$B,MATCH(AR$3&amp;$M77&amp;O77,Parameters!$A:$A,0))*(AQ77)</f>
        <v>0</v>
      </c>
      <c r="AS77" s="262">
        <f>Parameters!$D$54</f>
        <v>2</v>
      </c>
      <c r="AT77" s="442">
        <f>IF(M77="WBA CM Ethernet",0,'EDC Minus'!$H$27)</f>
        <v>1</v>
      </c>
      <c r="AU77" s="150">
        <f t="shared" si="67"/>
        <v>10.41</v>
      </c>
      <c r="AV77" s="150">
        <f t="shared" si="68"/>
        <v>10.548888888888889</v>
      </c>
      <c r="AW77" s="150"/>
      <c r="AX77" s="150">
        <f>Parameters!$B$6*AV77</f>
        <v>0.1054888888888889</v>
      </c>
      <c r="AY77" s="202">
        <v>0</v>
      </c>
      <c r="AZ77" s="202"/>
      <c r="BA77" s="150">
        <f t="shared" si="69"/>
        <v>0.1054888888888889</v>
      </c>
      <c r="BB77" s="150"/>
      <c r="BC77" s="151">
        <f t="shared" si="70"/>
        <v>10.654377777777778</v>
      </c>
      <c r="BD77" s="209"/>
      <c r="BE77" s="140">
        <f t="shared" si="63"/>
        <v>1017.1234000000001</v>
      </c>
      <c r="BF77" s="141">
        <f t="shared" si="64"/>
        <v>0.9896335783783784</v>
      </c>
      <c r="BG77" s="142" t="b">
        <f t="shared" si="51"/>
        <v>0</v>
      </c>
      <c r="BH77" s="148"/>
      <c r="BI77" s="188" t="s">
        <v>538</v>
      </c>
      <c r="BJ77" s="189"/>
      <c r="BK77">
        <f>VLOOKUP(J77,'Tarieven ZM'!$B$7:$I$146,8,0)</f>
        <v>0</v>
      </c>
      <c r="BL77" s="179" t="str">
        <f>INDEX(Mapping!$M:$M,MATCH($J77,Mapping!$B:$B,0))</f>
        <v>nvt</v>
      </c>
      <c r="BM77" s="282">
        <v>0</v>
      </c>
      <c r="BN77" s="262">
        <f>BM77/INDEX(Parameters!$B:$B,MATCH("AfschrijftermijnVVE"&amp;12*$C77,Parameters!$A:$A,0))</f>
        <v>0</v>
      </c>
      <c r="BO77" s="262">
        <f>Parameters!$D$59+INDEX('inkoop ULL tbv Epacity'!I:I,MATCH($BL77,'inkoop ULL tbv Epacity'!H:H,0))</f>
        <v>1</v>
      </c>
      <c r="BP77" s="263">
        <f t="shared" si="43"/>
        <v>1</v>
      </c>
      <c r="BQ77" s="203"/>
      <c r="BR77" s="262">
        <f>Parameters!$B$12*AG77</f>
        <v>102.77777777777779</v>
      </c>
      <c r="BS77" s="262">
        <f>SUM(Distributievergoedingen!$F$12,Distributievergoedingen!$I$12,Distributievergoedingen!$L$12,Distributievergoedingen!$O$12)*AF77+SUM(Distributievergoedingen!$O$12*AA77+Distributievergoedingen!$R$12+Distributievergoedingen!$U$12+Distributievergoedingen!$X$12)/(MAX(36,12*L77))</f>
        <v>112.77777777777777</v>
      </c>
      <c r="BT77" s="202"/>
      <c r="BU77" s="202">
        <f t="shared" si="52"/>
        <v>215.55555555555554</v>
      </c>
      <c r="BW77" s="151">
        <f t="shared" si="53"/>
        <v>216.55555555555554</v>
      </c>
      <c r="BY77" s="140">
        <f t="shared" si="54"/>
        <v>811.22222222222229</v>
      </c>
      <c r="BZ77" s="141">
        <f t="shared" si="55"/>
        <v>0.78929729729729736</v>
      </c>
      <c r="CA77" s="142" t="b">
        <f t="shared" si="56"/>
        <v>0</v>
      </c>
    </row>
    <row r="78" spans="1:79">
      <c r="A78" s="160" t="str">
        <f t="shared" si="44"/>
        <v>2SDSLPremiumnationaal1024/1024</v>
      </c>
      <c r="B78" s="142" t="str">
        <f t="shared" si="65"/>
        <v>2SDSL1024/1024Premium</v>
      </c>
      <c r="C78" s="198">
        <v>2</v>
      </c>
      <c r="D78" s="198" t="s">
        <v>64</v>
      </c>
      <c r="E78" s="198" t="s">
        <v>70</v>
      </c>
      <c r="F78" s="198" t="s">
        <v>115</v>
      </c>
      <c r="G78" s="199" t="s">
        <v>113</v>
      </c>
      <c r="H78" s="198" t="s">
        <v>66</v>
      </c>
      <c r="J78" s="142" t="str">
        <f t="shared" si="45"/>
        <v>SDSL1024/1024Premium</v>
      </c>
      <c r="L78" s="160">
        <f>INDEX(Mapping!$J:$J,MATCH(C$3&amp;C78,Mapping!$B:$B,0))</f>
        <v>1</v>
      </c>
      <c r="M78" s="148" t="str">
        <f>INDEX(Mapping!$H:$H,MATCH($E78,Mapping!$B:$B,0))</f>
        <v>WBA ZM Ethernet</v>
      </c>
      <c r="N78" s="148" t="str">
        <f>INDEX(Mapping!$I:$I,MATCH($E78&amp;$G78,Mapping!$B:$B,0))</f>
        <v>premium</v>
      </c>
      <c r="O78" s="148" t="str">
        <f>INDEX(Mapping!$I:$I,MATCH($D78,Mapping!$B:$B,0))</f>
        <v>SDSL</v>
      </c>
      <c r="P78" s="148" t="str">
        <f>INDEX(Mapping!$H:$H,MATCH($F78,Mapping!$B:$B,0))</f>
        <v>nvt</v>
      </c>
      <c r="Q78" s="148" t="str">
        <f>INDEX(Mapping!$J:$J,MATCH($E78&amp;$G78,Mapping!$B:$B,0))</f>
        <v>metro</v>
      </c>
      <c r="R78" s="148" t="str">
        <f>INDEX(Mapping!$I:$I,MATCH($J78,Mapping!$B:$B,0))</f>
        <v>1 Mbps/1 Mbps</v>
      </c>
      <c r="T78" s="148" t="str">
        <f>INDEX(Mapping!$K:$K,MATCH($E78&amp;$G78,Mapping!$B:$B,0))</f>
        <v>metro-nationaal</v>
      </c>
      <c r="U78" s="142" t="str">
        <f t="shared" si="46"/>
        <v>WBA ZM Ethernet1 Mbps/1 Mbpspremiummetro</v>
      </c>
      <c r="W78" s="160">
        <f>MATCH($J78,'Tarieven ZM'!$B:$B,0)</f>
        <v>30</v>
      </c>
      <c r="X78" s="148">
        <f>INDEX('Tarieven ZM'!$H:$H,$W78)</f>
        <v>1000</v>
      </c>
      <c r="Y78" s="161">
        <f>-INDEX(Parameters!$B:$B,MATCH(Y$3,Parameters!$A:$A,0))*$X78</f>
        <v>0</v>
      </c>
      <c r="Z78" s="149">
        <f>-INDEX(Parameters!$B:$B,MATCH(Z$3,Parameters!$A:$A,0))*$X78</f>
        <v>0</v>
      </c>
      <c r="AA78" s="148">
        <f t="shared" si="47"/>
        <v>1000</v>
      </c>
      <c r="AB78" s="148">
        <f>AA78/INDEX(Parameters!$B:$B,MATCH("AfschrijftermijnVVE"&amp;12*$C78,Parameters!$A:$A,0))</f>
        <v>27.777777777777779</v>
      </c>
      <c r="AC78" s="148">
        <f>INDEX('Tarieven ZM'!$G:$G,$W78)</f>
        <v>1000</v>
      </c>
      <c r="AD78" s="161">
        <f>-INDEX(Parameters!$B:$B,MATCH(AD$3,Parameters!$A:$A,0))*$AC78</f>
        <v>0</v>
      </c>
      <c r="AE78" s="161">
        <f>-INDEX(Parameters!$B:$B,MATCH(AE$3,Parameters!$A:$A,0))*$AC78</f>
        <v>0</v>
      </c>
      <c r="AF78" s="148">
        <f t="shared" si="48"/>
        <v>1000</v>
      </c>
      <c r="AG78" s="151">
        <f t="shared" si="66"/>
        <v>1027.7777777777778</v>
      </c>
      <c r="AH78" s="123"/>
      <c r="AI78" s="147">
        <f>IF(R78&lt;&gt;"n.a.",MATCH($U78,'Tarieven W&amp;O'!$B:$B,0),"nvt")</f>
        <v>138</v>
      </c>
      <c r="AJ78" s="148">
        <f>IF(AI78&lt;&gt;"nvt",INDEX('Tarieven W&amp;O'!$H:$H,$AI78),0)</f>
        <v>0</v>
      </c>
      <c r="AK78" s="148">
        <f>IF(AI78&lt;&gt;"nvt",INDEX('Tarieven W&amp;O'!$I:$I,$AI78),0)</f>
        <v>5</v>
      </c>
      <c r="AL78" s="277">
        <f>IF(AI78&lt;&gt;"nvt",-INDEX(Parameters!$B:$B,MATCH(AL$3&amp;$M78,Parameters!$A:$A,0))*(AJ78+AK78),0)</f>
        <v>0</v>
      </c>
      <c r="AM78" s="442"/>
      <c r="AN78" s="262">
        <f t="shared" si="49"/>
        <v>5</v>
      </c>
      <c r="AO78" s="262">
        <f>AN78/INDEX(Parameters!$B:$B,MATCH("AfschrijftermijnVVE"&amp;12*$C78,Parameters!$A:$A,0))</f>
        <v>0.1388888888888889</v>
      </c>
      <c r="AP78" s="179">
        <f t="shared" si="50"/>
        <v>138</v>
      </c>
      <c r="AQ78" s="202">
        <f>IF(AP78&lt;&gt;"nvt",INDEX('Tarieven W&amp;O'!$G:$G,$AP78),0)</f>
        <v>7.41</v>
      </c>
      <c r="AR78" s="277">
        <f>-INDEX(Parameters!$B:$B,MATCH(AR$3&amp;$M78&amp;O78,Parameters!$A:$A,0))*(AQ78)</f>
        <v>0</v>
      </c>
      <c r="AS78" s="262">
        <f>Parameters!$D$54</f>
        <v>2</v>
      </c>
      <c r="AT78" s="442">
        <f>IF(M78="WBA CM Ethernet",0,'EDC Minus'!$H$27)</f>
        <v>1</v>
      </c>
      <c r="AU78" s="150">
        <f t="shared" si="67"/>
        <v>10.41</v>
      </c>
      <c r="AV78" s="150">
        <f t="shared" si="68"/>
        <v>10.548888888888889</v>
      </c>
      <c r="AW78" s="150"/>
      <c r="AX78" s="150">
        <f>Parameters!$B$6*AV78</f>
        <v>0.1054888888888889</v>
      </c>
      <c r="AY78" s="202">
        <v>0</v>
      </c>
      <c r="AZ78" s="202"/>
      <c r="BA78" s="150">
        <f t="shared" si="69"/>
        <v>0.1054888888888889</v>
      </c>
      <c r="BB78" s="150"/>
      <c r="BC78" s="151">
        <f t="shared" si="70"/>
        <v>10.654377777777778</v>
      </c>
      <c r="BD78" s="209"/>
      <c r="BE78" s="140">
        <f t="shared" si="63"/>
        <v>1017.1234000000001</v>
      </c>
      <c r="BF78" s="141">
        <f t="shared" si="64"/>
        <v>0.9896335783783784</v>
      </c>
      <c r="BG78" s="142" t="b">
        <f t="shared" si="51"/>
        <v>0</v>
      </c>
      <c r="BH78" s="148"/>
      <c r="BI78" s="188" t="s">
        <v>538</v>
      </c>
      <c r="BJ78" s="189"/>
      <c r="BK78">
        <f>VLOOKUP(J78,'Tarieven ZM'!$B$7:$I$146,8,0)</f>
        <v>0</v>
      </c>
      <c r="BL78" s="179" t="str">
        <f>INDEX(Mapping!$M:$M,MATCH($J78,Mapping!$B:$B,0))</f>
        <v>nvt</v>
      </c>
      <c r="BM78" s="282">
        <v>0</v>
      </c>
      <c r="BN78" s="262">
        <f>BM78/INDEX(Parameters!$B:$B,MATCH("AfschrijftermijnVVE"&amp;12*$C78,Parameters!$A:$A,0))</f>
        <v>0</v>
      </c>
      <c r="BO78" s="262">
        <f>Parameters!$D$59+INDEX('inkoop ULL tbv Epacity'!I:I,MATCH($BL78,'inkoop ULL tbv Epacity'!H:H,0))</f>
        <v>1</v>
      </c>
      <c r="BP78" s="263">
        <f t="shared" si="43"/>
        <v>1</v>
      </c>
      <c r="BQ78" s="203"/>
      <c r="BR78" s="262">
        <f>Parameters!$B$12*AG78</f>
        <v>102.77777777777779</v>
      </c>
      <c r="BS78" s="262">
        <f>SUM(Distributievergoedingen!$F$12,Distributievergoedingen!$I$12,Distributievergoedingen!$L$12,Distributievergoedingen!$O$12)*AF78+SUM(Distributievergoedingen!$O$12*AA78+Distributievergoedingen!$R$12+Distributievergoedingen!$U$12+Distributievergoedingen!$X$12)/(MAX(36,12*L78))</f>
        <v>112.77777777777777</v>
      </c>
      <c r="BT78" s="202"/>
      <c r="BU78" s="202">
        <f t="shared" si="52"/>
        <v>215.55555555555554</v>
      </c>
      <c r="BW78" s="151">
        <f t="shared" si="53"/>
        <v>216.55555555555554</v>
      </c>
      <c r="BY78" s="140">
        <f t="shared" si="54"/>
        <v>811.22222222222229</v>
      </c>
      <c r="BZ78" s="141">
        <f t="shared" si="55"/>
        <v>0.78929729729729736</v>
      </c>
      <c r="CA78" s="142" t="b">
        <f t="shared" si="56"/>
        <v>0</v>
      </c>
    </row>
    <row r="79" spans="1:79">
      <c r="A79" s="160" t="str">
        <f t="shared" si="44"/>
        <v>2SDSLPremiumnationaal1536/1536</v>
      </c>
      <c r="B79" s="142" t="str">
        <f t="shared" si="65"/>
        <v>2SDSL1536/1536Premium</v>
      </c>
      <c r="C79" s="198">
        <v>2</v>
      </c>
      <c r="D79" s="198" t="s">
        <v>64</v>
      </c>
      <c r="E79" s="198" t="s">
        <v>70</v>
      </c>
      <c r="F79" s="198" t="s">
        <v>115</v>
      </c>
      <c r="G79" s="199" t="s">
        <v>113</v>
      </c>
      <c r="H79" s="198" t="s">
        <v>67</v>
      </c>
      <c r="J79" s="142" t="str">
        <f t="shared" si="45"/>
        <v>SDSL1536/1536Premium</v>
      </c>
      <c r="L79" s="160">
        <f>INDEX(Mapping!$J:$J,MATCH(C$3&amp;C79,Mapping!$B:$B,0))</f>
        <v>1</v>
      </c>
      <c r="M79" s="148" t="str">
        <f>INDEX(Mapping!$H:$H,MATCH($E79,Mapping!$B:$B,0))</f>
        <v>WBA ZM Ethernet</v>
      </c>
      <c r="N79" s="148" t="str">
        <f>INDEX(Mapping!$I:$I,MATCH($E79&amp;$G79,Mapping!$B:$B,0))</f>
        <v>premium</v>
      </c>
      <c r="O79" s="148" t="str">
        <f>INDEX(Mapping!$I:$I,MATCH($D79,Mapping!$B:$B,0))</f>
        <v>SDSL</v>
      </c>
      <c r="P79" s="148" t="str">
        <f>INDEX(Mapping!$H:$H,MATCH($F79,Mapping!$B:$B,0))</f>
        <v>nvt</v>
      </c>
      <c r="Q79" s="148" t="str">
        <f>INDEX(Mapping!$J:$J,MATCH($E79&amp;$G79,Mapping!$B:$B,0))</f>
        <v>metro</v>
      </c>
      <c r="R79" s="148" t="str">
        <f>INDEX(Mapping!$I:$I,MATCH($J79,Mapping!$B:$B,0))</f>
        <v>2 Mbps/2 Mbps</v>
      </c>
      <c r="T79" s="148" t="str">
        <f>INDEX(Mapping!$K:$K,MATCH($E79&amp;$G79,Mapping!$B:$B,0))</f>
        <v>metro-nationaal</v>
      </c>
      <c r="U79" s="142" t="str">
        <f t="shared" si="46"/>
        <v>WBA ZM Ethernet2 Mbps/2 Mbpspremiummetro</v>
      </c>
      <c r="W79" s="160">
        <f>MATCH($J79,'Tarieven ZM'!$B:$B,0)</f>
        <v>31</v>
      </c>
      <c r="X79" s="148">
        <f>INDEX('Tarieven ZM'!$H:$H,$W79)</f>
        <v>1000</v>
      </c>
      <c r="Y79" s="161">
        <f>-INDEX(Parameters!$B:$B,MATCH(Y$3,Parameters!$A:$A,0))*$X79</f>
        <v>0</v>
      </c>
      <c r="Z79" s="149">
        <f>-INDEX(Parameters!$B:$B,MATCH(Z$3,Parameters!$A:$A,0))*$X79</f>
        <v>0</v>
      </c>
      <c r="AA79" s="148">
        <f t="shared" si="47"/>
        <v>1000</v>
      </c>
      <c r="AB79" s="148">
        <f>AA79/INDEX(Parameters!$B:$B,MATCH("AfschrijftermijnVVE"&amp;12*$C79,Parameters!$A:$A,0))</f>
        <v>27.777777777777779</v>
      </c>
      <c r="AC79" s="148">
        <f>INDEX('Tarieven ZM'!$G:$G,$W79)</f>
        <v>1000</v>
      </c>
      <c r="AD79" s="161">
        <f>-INDEX(Parameters!$B:$B,MATCH(AD$3,Parameters!$A:$A,0))*$AC79</f>
        <v>0</v>
      </c>
      <c r="AE79" s="161">
        <f>-INDEX(Parameters!$B:$B,MATCH(AE$3,Parameters!$A:$A,0))*$AC79</f>
        <v>0</v>
      </c>
      <c r="AF79" s="148">
        <f t="shared" si="48"/>
        <v>1000</v>
      </c>
      <c r="AG79" s="151">
        <f t="shared" si="66"/>
        <v>1027.7777777777778</v>
      </c>
      <c r="AH79" s="123"/>
      <c r="AI79" s="147">
        <f>IF(R79&lt;&gt;"n.a.",MATCH($U79,'Tarieven W&amp;O'!$B:$B,0),"nvt")</f>
        <v>139</v>
      </c>
      <c r="AJ79" s="148">
        <f>IF(AI79&lt;&gt;"nvt",INDEX('Tarieven W&amp;O'!$H:$H,$AI79),0)</f>
        <v>0</v>
      </c>
      <c r="AK79" s="148">
        <f>IF(AI79&lt;&gt;"nvt",INDEX('Tarieven W&amp;O'!$I:$I,$AI79),0)</f>
        <v>5</v>
      </c>
      <c r="AL79" s="277">
        <f>IF(AI79&lt;&gt;"nvt",-INDEX(Parameters!$B:$B,MATCH(AL$3&amp;$M79,Parameters!$A:$A,0))*(AJ79+AK79),0)</f>
        <v>0</v>
      </c>
      <c r="AM79" s="442"/>
      <c r="AN79" s="262">
        <f t="shared" si="49"/>
        <v>5</v>
      </c>
      <c r="AO79" s="262">
        <f>AN79/INDEX(Parameters!$B:$B,MATCH("AfschrijftermijnVVE"&amp;12*$C79,Parameters!$A:$A,0))</f>
        <v>0.1388888888888889</v>
      </c>
      <c r="AP79" s="179">
        <f t="shared" si="50"/>
        <v>139</v>
      </c>
      <c r="AQ79" s="202">
        <f>IF(AP79&lt;&gt;"nvt",INDEX('Tarieven W&amp;O'!$G:$G,$AP79),0)</f>
        <v>14.82</v>
      </c>
      <c r="AR79" s="277">
        <f>-INDEX(Parameters!$B:$B,MATCH(AR$3&amp;$M79&amp;O79,Parameters!$A:$A,0))*(AQ79)</f>
        <v>0</v>
      </c>
      <c r="AS79" s="262">
        <f>Parameters!$D$54</f>
        <v>2</v>
      </c>
      <c r="AT79" s="442">
        <f>IF(M79="WBA CM Ethernet",0,'EDC Minus'!$H$27)</f>
        <v>1</v>
      </c>
      <c r="AU79" s="150">
        <f t="shared" si="67"/>
        <v>17.82</v>
      </c>
      <c r="AV79" s="150">
        <f t="shared" si="68"/>
        <v>17.95888888888889</v>
      </c>
      <c r="AW79" s="150"/>
      <c r="AX79" s="150">
        <f>Parameters!$B$6*AV79</f>
        <v>0.17958888888888891</v>
      </c>
      <c r="AY79" s="202">
        <v>0</v>
      </c>
      <c r="AZ79" s="202"/>
      <c r="BA79" s="150">
        <f t="shared" si="69"/>
        <v>0.17958888888888891</v>
      </c>
      <c r="BB79" s="150"/>
      <c r="BC79" s="151">
        <f t="shared" si="70"/>
        <v>18.13847777777778</v>
      </c>
      <c r="BD79" s="209"/>
      <c r="BE79" s="140">
        <f t="shared" si="63"/>
        <v>1009.6393</v>
      </c>
      <c r="BF79" s="141">
        <f t="shared" si="64"/>
        <v>0.98235175135135133</v>
      </c>
      <c r="BG79" s="142" t="b">
        <f t="shared" si="51"/>
        <v>0</v>
      </c>
      <c r="BH79" s="148"/>
      <c r="BI79" s="188" t="s">
        <v>538</v>
      </c>
      <c r="BJ79" s="189"/>
      <c r="BK79">
        <f>VLOOKUP(J79,'Tarieven ZM'!$B$7:$I$146,8,0)</f>
        <v>0</v>
      </c>
      <c r="BL79" s="179" t="str">
        <f>INDEX(Mapping!$M:$M,MATCH($J79,Mapping!$B:$B,0))</f>
        <v>nvt</v>
      </c>
      <c r="BM79" s="282">
        <v>0</v>
      </c>
      <c r="BN79" s="262">
        <f>BM79/INDEX(Parameters!$B:$B,MATCH("AfschrijftermijnVVE"&amp;12*$C79,Parameters!$A:$A,0))</f>
        <v>0</v>
      </c>
      <c r="BO79" s="262">
        <f>Parameters!$D$59+INDEX('inkoop ULL tbv Epacity'!I:I,MATCH($BL79,'inkoop ULL tbv Epacity'!H:H,0))</f>
        <v>1</v>
      </c>
      <c r="BP79" s="263">
        <f t="shared" si="43"/>
        <v>1</v>
      </c>
      <c r="BQ79" s="203"/>
      <c r="BR79" s="262">
        <f>Parameters!$B$12*AG79</f>
        <v>102.77777777777779</v>
      </c>
      <c r="BS79" s="262">
        <f>SUM(Distributievergoedingen!$F$12,Distributievergoedingen!$I$12,Distributievergoedingen!$L$12,Distributievergoedingen!$O$12)*AF79+SUM(Distributievergoedingen!$O$12*AA79+Distributievergoedingen!$R$12+Distributievergoedingen!$U$12+Distributievergoedingen!$X$12)/(MAX(36,12*L79))</f>
        <v>112.77777777777777</v>
      </c>
      <c r="BT79" s="202"/>
      <c r="BU79" s="202">
        <f t="shared" si="52"/>
        <v>215.55555555555554</v>
      </c>
      <c r="BW79" s="151">
        <f t="shared" si="53"/>
        <v>216.55555555555554</v>
      </c>
      <c r="BY79" s="140">
        <f t="shared" si="54"/>
        <v>811.22222222222229</v>
      </c>
      <c r="BZ79" s="141">
        <f t="shared" si="55"/>
        <v>0.78929729729729736</v>
      </c>
      <c r="CA79" s="142" t="b">
        <f t="shared" si="56"/>
        <v>0</v>
      </c>
    </row>
    <row r="80" spans="1:79">
      <c r="A80" s="160" t="str">
        <f t="shared" si="44"/>
        <v>2SDSLPremiumnationaal2048/2048</v>
      </c>
      <c r="B80" s="142" t="str">
        <f t="shared" si="65"/>
        <v>2SDSL2048/2048Premium</v>
      </c>
      <c r="C80" s="198">
        <v>2</v>
      </c>
      <c r="D80" s="198" t="s">
        <v>64</v>
      </c>
      <c r="E80" s="198" t="s">
        <v>70</v>
      </c>
      <c r="F80" s="198" t="s">
        <v>115</v>
      </c>
      <c r="G80" s="199" t="s">
        <v>113</v>
      </c>
      <c r="H80" s="198" t="s">
        <v>68</v>
      </c>
      <c r="J80" s="142" t="str">
        <f t="shared" si="45"/>
        <v>SDSL2048/2048Premium</v>
      </c>
      <c r="L80" s="160">
        <f>INDEX(Mapping!$J:$J,MATCH(C$3&amp;C80,Mapping!$B:$B,0))</f>
        <v>1</v>
      </c>
      <c r="M80" s="148" t="str">
        <f>INDEX(Mapping!$H:$H,MATCH($E80,Mapping!$B:$B,0))</f>
        <v>WBA ZM Ethernet</v>
      </c>
      <c r="N80" s="148" t="str">
        <f>INDEX(Mapping!$I:$I,MATCH($E80&amp;$G80,Mapping!$B:$B,0))</f>
        <v>premium</v>
      </c>
      <c r="O80" s="148" t="str">
        <f>INDEX(Mapping!$I:$I,MATCH($D80,Mapping!$B:$B,0))</f>
        <v>SDSL</v>
      </c>
      <c r="P80" s="148" t="str">
        <f>INDEX(Mapping!$H:$H,MATCH($F80,Mapping!$B:$B,0))</f>
        <v>nvt</v>
      </c>
      <c r="Q80" s="148" t="str">
        <f>INDEX(Mapping!$J:$J,MATCH($E80&amp;$G80,Mapping!$B:$B,0))</f>
        <v>metro</v>
      </c>
      <c r="R80" s="148" t="str">
        <f>INDEX(Mapping!$I:$I,MATCH($J80,Mapping!$B:$B,0))</f>
        <v>2 Mbps/2 Mbps</v>
      </c>
      <c r="T80" s="148" t="str">
        <f>INDEX(Mapping!$K:$K,MATCH($E80&amp;$G80,Mapping!$B:$B,0))</f>
        <v>metro-nationaal</v>
      </c>
      <c r="U80" s="142" t="str">
        <f t="shared" si="46"/>
        <v>WBA ZM Ethernet2 Mbps/2 Mbpspremiummetro</v>
      </c>
      <c r="W80" s="160">
        <f>MATCH($J80,'Tarieven ZM'!$B:$B,0)</f>
        <v>32</v>
      </c>
      <c r="X80" s="148">
        <f>INDEX('Tarieven ZM'!$H:$H,$W80)</f>
        <v>1000</v>
      </c>
      <c r="Y80" s="161">
        <f>-INDEX(Parameters!$B:$B,MATCH(Y$3,Parameters!$A:$A,0))*$X80</f>
        <v>0</v>
      </c>
      <c r="Z80" s="149">
        <f>-INDEX(Parameters!$B:$B,MATCH(Z$3,Parameters!$A:$A,0))*$X80</f>
        <v>0</v>
      </c>
      <c r="AA80" s="148">
        <f t="shared" si="47"/>
        <v>1000</v>
      </c>
      <c r="AB80" s="148">
        <f>AA80/INDEX(Parameters!$B:$B,MATCH("AfschrijftermijnVVE"&amp;12*$C80,Parameters!$A:$A,0))</f>
        <v>27.777777777777779</v>
      </c>
      <c r="AC80" s="148">
        <f>INDEX('Tarieven ZM'!$G:$G,$W80)</f>
        <v>1000</v>
      </c>
      <c r="AD80" s="161">
        <f>-INDEX(Parameters!$B:$B,MATCH(AD$3,Parameters!$A:$A,0))*$AC80</f>
        <v>0</v>
      </c>
      <c r="AE80" s="161">
        <f>-INDEX(Parameters!$B:$B,MATCH(AE$3,Parameters!$A:$A,0))*$AC80</f>
        <v>0</v>
      </c>
      <c r="AF80" s="148">
        <f t="shared" si="48"/>
        <v>1000</v>
      </c>
      <c r="AG80" s="151">
        <f t="shared" si="66"/>
        <v>1027.7777777777778</v>
      </c>
      <c r="AH80" s="123"/>
      <c r="AI80" s="147">
        <f>IF(R80&lt;&gt;"n.a.",MATCH($U80,'Tarieven W&amp;O'!$B:$B,0),"nvt")</f>
        <v>139</v>
      </c>
      <c r="AJ80" s="148">
        <f>IF(AI80&lt;&gt;"nvt",INDEX('Tarieven W&amp;O'!$H:$H,$AI80),0)</f>
        <v>0</v>
      </c>
      <c r="AK80" s="148">
        <f>IF(AI80&lt;&gt;"nvt",INDEX('Tarieven W&amp;O'!$I:$I,$AI80),0)</f>
        <v>5</v>
      </c>
      <c r="AL80" s="277">
        <f>IF(AI80&lt;&gt;"nvt",-INDEX(Parameters!$B:$B,MATCH(AL$3&amp;$M80,Parameters!$A:$A,0))*(AJ80+AK80),0)</f>
        <v>0</v>
      </c>
      <c r="AM80" s="442"/>
      <c r="AN80" s="262">
        <f t="shared" si="49"/>
        <v>5</v>
      </c>
      <c r="AO80" s="262">
        <f>AN80/INDEX(Parameters!$B:$B,MATCH("AfschrijftermijnVVE"&amp;12*$C80,Parameters!$A:$A,0))</f>
        <v>0.1388888888888889</v>
      </c>
      <c r="AP80" s="179">
        <f t="shared" si="50"/>
        <v>139</v>
      </c>
      <c r="AQ80" s="202">
        <f>IF(AP80&lt;&gt;"nvt",INDEX('Tarieven W&amp;O'!$G:$G,$AP80),0)</f>
        <v>14.82</v>
      </c>
      <c r="AR80" s="277">
        <f>-INDEX(Parameters!$B:$B,MATCH(AR$3&amp;$M80&amp;O80,Parameters!$A:$A,0))*(AQ80)</f>
        <v>0</v>
      </c>
      <c r="AS80" s="262">
        <f>Parameters!$D$54</f>
        <v>2</v>
      </c>
      <c r="AT80" s="442">
        <f>IF(M80="WBA CM Ethernet",0,'EDC Minus'!$H$27)</f>
        <v>1</v>
      </c>
      <c r="AU80" s="150">
        <f t="shared" si="67"/>
        <v>17.82</v>
      </c>
      <c r="AV80" s="150">
        <f t="shared" si="68"/>
        <v>17.95888888888889</v>
      </c>
      <c r="AW80" s="150"/>
      <c r="AX80" s="150">
        <f>Parameters!$B$6*AV80</f>
        <v>0.17958888888888891</v>
      </c>
      <c r="AY80" s="202">
        <v>0</v>
      </c>
      <c r="AZ80" s="202"/>
      <c r="BA80" s="150">
        <f t="shared" si="69"/>
        <v>0.17958888888888891</v>
      </c>
      <c r="BB80" s="150"/>
      <c r="BC80" s="151">
        <f t="shared" si="70"/>
        <v>18.13847777777778</v>
      </c>
      <c r="BD80" s="209"/>
      <c r="BE80" s="140">
        <f t="shared" si="63"/>
        <v>1009.6393</v>
      </c>
      <c r="BF80" s="141">
        <f t="shared" si="64"/>
        <v>0.98235175135135133</v>
      </c>
      <c r="BG80" s="142" t="b">
        <f t="shared" si="51"/>
        <v>0</v>
      </c>
      <c r="BH80" s="148"/>
      <c r="BI80" s="188" t="s">
        <v>538</v>
      </c>
      <c r="BJ80" s="189"/>
      <c r="BK80">
        <f>VLOOKUP(J80,'Tarieven ZM'!$B$7:$I$146,8,0)</f>
        <v>0</v>
      </c>
      <c r="BL80" s="179" t="str">
        <f>INDEX(Mapping!$M:$M,MATCH($J80,Mapping!$B:$B,0))</f>
        <v>nvt</v>
      </c>
      <c r="BM80" s="282">
        <v>0</v>
      </c>
      <c r="BN80" s="262">
        <f>BM80/INDEX(Parameters!$B:$B,MATCH("AfschrijftermijnVVE"&amp;12*$C80,Parameters!$A:$A,0))</f>
        <v>0</v>
      </c>
      <c r="BO80" s="262">
        <f>Parameters!$D$59+INDEX('inkoop ULL tbv Epacity'!I:I,MATCH($BL80,'inkoop ULL tbv Epacity'!H:H,0))</f>
        <v>1</v>
      </c>
      <c r="BP80" s="263">
        <f t="shared" si="43"/>
        <v>1</v>
      </c>
      <c r="BQ80" s="203"/>
      <c r="BR80" s="262">
        <f>Parameters!$B$12*AG80</f>
        <v>102.77777777777779</v>
      </c>
      <c r="BS80" s="262">
        <f>SUM(Distributievergoedingen!$F$12,Distributievergoedingen!$I$12,Distributievergoedingen!$L$12,Distributievergoedingen!$O$12)*AF80+SUM(Distributievergoedingen!$O$12*AA80+Distributievergoedingen!$R$12+Distributievergoedingen!$U$12+Distributievergoedingen!$X$12)/(MAX(36,12*L80))</f>
        <v>112.77777777777777</v>
      </c>
      <c r="BT80" s="202"/>
      <c r="BU80" s="202">
        <f t="shared" si="52"/>
        <v>215.55555555555554</v>
      </c>
      <c r="BW80" s="151">
        <f t="shared" si="53"/>
        <v>216.55555555555554</v>
      </c>
      <c r="BY80" s="140">
        <f t="shared" si="54"/>
        <v>811.22222222222229</v>
      </c>
      <c r="BZ80" s="141">
        <f t="shared" si="55"/>
        <v>0.78929729729729736</v>
      </c>
      <c r="CA80" s="142" t="b">
        <f t="shared" si="56"/>
        <v>0</v>
      </c>
    </row>
    <row r="81" spans="1:79">
      <c r="A81" s="160" t="str">
        <f t="shared" si="44"/>
        <v>2SDSLPremiumnationaal2300/2300</v>
      </c>
      <c r="B81" s="142" t="str">
        <f t="shared" si="65"/>
        <v>2SDSL2300/2300Premium</v>
      </c>
      <c r="C81" s="198">
        <v>2</v>
      </c>
      <c r="D81" s="198" t="s">
        <v>64</v>
      </c>
      <c r="E81" s="198" t="s">
        <v>70</v>
      </c>
      <c r="F81" s="198" t="s">
        <v>115</v>
      </c>
      <c r="G81" s="199" t="s">
        <v>113</v>
      </c>
      <c r="H81" s="198" t="s">
        <v>69</v>
      </c>
      <c r="J81" s="142" t="str">
        <f t="shared" si="45"/>
        <v>SDSL2300/2300Premium</v>
      </c>
      <c r="L81" s="160">
        <f>INDEX(Mapping!$J:$J,MATCH(C$3&amp;C81,Mapping!$B:$B,0))</f>
        <v>1</v>
      </c>
      <c r="M81" s="148" t="str">
        <f>INDEX(Mapping!$H:$H,MATCH($E81,Mapping!$B:$B,0))</f>
        <v>WBA ZM Ethernet</v>
      </c>
      <c r="N81" s="148" t="str">
        <f>INDEX(Mapping!$I:$I,MATCH($E81&amp;$G81,Mapping!$B:$B,0))</f>
        <v>premium</v>
      </c>
      <c r="O81" s="148" t="str">
        <f>INDEX(Mapping!$I:$I,MATCH($D81,Mapping!$B:$B,0))</f>
        <v>SDSL</v>
      </c>
      <c r="P81" s="148" t="str">
        <f>INDEX(Mapping!$H:$H,MATCH($F81,Mapping!$B:$B,0))</f>
        <v>nvt</v>
      </c>
      <c r="Q81" s="148" t="str">
        <f>INDEX(Mapping!$J:$J,MATCH($E81&amp;$G81,Mapping!$B:$B,0))</f>
        <v>metro</v>
      </c>
      <c r="R81" s="148" t="str">
        <f>INDEX(Mapping!$I:$I,MATCH($J81,Mapping!$B:$B,0))</f>
        <v>5 Mbps/5 Mbps</v>
      </c>
      <c r="T81" s="148" t="str">
        <f>INDEX(Mapping!$K:$K,MATCH($E81&amp;$G81,Mapping!$B:$B,0))</f>
        <v>metro-nationaal</v>
      </c>
      <c r="U81" s="142" t="str">
        <f t="shared" si="46"/>
        <v>WBA ZM Ethernet5 Mbps/5 Mbpspremiummetro</v>
      </c>
      <c r="W81" s="160">
        <f>MATCH($J81,'Tarieven ZM'!$B:$B,0)</f>
        <v>33</v>
      </c>
      <c r="X81" s="148">
        <f>INDEX('Tarieven ZM'!$H:$H,$W81)</f>
        <v>1000</v>
      </c>
      <c r="Y81" s="161">
        <f>-INDEX(Parameters!$B:$B,MATCH(Y$3,Parameters!$A:$A,0))*$X81</f>
        <v>0</v>
      </c>
      <c r="Z81" s="149">
        <f>-INDEX(Parameters!$B:$B,MATCH(Z$3,Parameters!$A:$A,0))*$X81</f>
        <v>0</v>
      </c>
      <c r="AA81" s="148">
        <f t="shared" si="47"/>
        <v>1000</v>
      </c>
      <c r="AB81" s="148">
        <f>AA81/INDEX(Parameters!$B:$B,MATCH("AfschrijftermijnVVE"&amp;12*$C81,Parameters!$A:$A,0))</f>
        <v>27.777777777777779</v>
      </c>
      <c r="AC81" s="148">
        <f>INDEX('Tarieven ZM'!$G:$G,$W81)</f>
        <v>1000</v>
      </c>
      <c r="AD81" s="161">
        <f>-INDEX(Parameters!$B:$B,MATCH(AD$3,Parameters!$A:$A,0))*$AC81</f>
        <v>0</v>
      </c>
      <c r="AE81" s="161">
        <f>-INDEX(Parameters!$B:$B,MATCH(AE$3,Parameters!$A:$A,0))*$AC81</f>
        <v>0</v>
      </c>
      <c r="AF81" s="148">
        <f t="shared" si="48"/>
        <v>1000</v>
      </c>
      <c r="AG81" s="151">
        <f t="shared" si="66"/>
        <v>1027.7777777777778</v>
      </c>
      <c r="AH81" s="123"/>
      <c r="AI81" s="147">
        <f>IF(R81&lt;&gt;"n.a.",MATCH($U81,'Tarieven W&amp;O'!$B:$B,0),"nvt")</f>
        <v>140</v>
      </c>
      <c r="AJ81" s="148">
        <f>IF(AI81&lt;&gt;"nvt",INDEX('Tarieven W&amp;O'!$H:$H,$AI81),0)</f>
        <v>0</v>
      </c>
      <c r="AK81" s="148">
        <f>IF(AI81&lt;&gt;"nvt",INDEX('Tarieven W&amp;O'!$I:$I,$AI81),0)</f>
        <v>5</v>
      </c>
      <c r="AL81" s="277">
        <f>IF(AI81&lt;&gt;"nvt",-INDEX(Parameters!$B:$B,MATCH(AL$3&amp;$M81,Parameters!$A:$A,0))*(AJ81+AK81),0)</f>
        <v>0</v>
      </c>
      <c r="AM81" s="442"/>
      <c r="AN81" s="262">
        <f t="shared" si="49"/>
        <v>5</v>
      </c>
      <c r="AO81" s="262">
        <f>AN81/INDEX(Parameters!$B:$B,MATCH("AfschrijftermijnVVE"&amp;12*$C81,Parameters!$A:$A,0))</f>
        <v>0.1388888888888889</v>
      </c>
      <c r="AP81" s="179">
        <f t="shared" si="50"/>
        <v>140</v>
      </c>
      <c r="AQ81" s="202">
        <f>IF(AP81&lt;&gt;"nvt",INDEX('Tarieven W&amp;O'!$G:$G,$AP81),0)</f>
        <v>18.53</v>
      </c>
      <c r="AR81" s="277">
        <f>-INDEX(Parameters!$B:$B,MATCH(AR$3&amp;$M81&amp;O81,Parameters!$A:$A,0))*(AQ81)</f>
        <v>0</v>
      </c>
      <c r="AS81" s="262">
        <f>Parameters!$D$54</f>
        <v>2</v>
      </c>
      <c r="AT81" s="442">
        <f>IF(M81="WBA CM Ethernet",0,'EDC Minus'!$H$27)</f>
        <v>1</v>
      </c>
      <c r="AU81" s="150">
        <f t="shared" si="67"/>
        <v>21.53</v>
      </c>
      <c r="AV81" s="150">
        <f t="shared" si="68"/>
        <v>21.66888888888889</v>
      </c>
      <c r="AW81" s="150"/>
      <c r="AX81" s="150">
        <f>Parameters!$B$6*AV81</f>
        <v>0.2166888888888889</v>
      </c>
      <c r="AY81" s="202">
        <v>0</v>
      </c>
      <c r="AZ81" s="202"/>
      <c r="BA81" s="150">
        <f t="shared" si="69"/>
        <v>0.2166888888888889</v>
      </c>
      <c r="BB81" s="150"/>
      <c r="BC81" s="151">
        <f t="shared" si="70"/>
        <v>21.88557777777778</v>
      </c>
      <c r="BD81" s="209"/>
      <c r="BE81" s="140">
        <f t="shared" si="63"/>
        <v>1005.8922</v>
      </c>
      <c r="BF81" s="141">
        <f t="shared" si="64"/>
        <v>0.97870592432432424</v>
      </c>
      <c r="BG81" s="142" t="b">
        <f t="shared" si="51"/>
        <v>0</v>
      </c>
      <c r="BH81" s="148"/>
      <c r="BI81" s="188" t="s">
        <v>538</v>
      </c>
      <c r="BJ81" s="189"/>
      <c r="BK81">
        <f>VLOOKUP(J81,'Tarieven ZM'!$B$7:$I$146,8,0)</f>
        <v>0</v>
      </c>
      <c r="BL81" s="179" t="str">
        <f>INDEX(Mapping!$M:$M,MATCH($J81,Mapping!$B:$B,0))</f>
        <v>nvt</v>
      </c>
      <c r="BM81" s="282">
        <v>0</v>
      </c>
      <c r="BN81" s="262">
        <f>BM81/INDEX(Parameters!$B:$B,MATCH("AfschrijftermijnVVE"&amp;12*$C81,Parameters!$A:$A,0))</f>
        <v>0</v>
      </c>
      <c r="BO81" s="262">
        <f>Parameters!$D$59+INDEX('inkoop ULL tbv Epacity'!I:I,MATCH($BL81,'inkoop ULL tbv Epacity'!H:H,0))</f>
        <v>1</v>
      </c>
      <c r="BP81" s="263">
        <f t="shared" si="43"/>
        <v>1</v>
      </c>
      <c r="BQ81" s="203"/>
      <c r="BR81" s="262">
        <f>Parameters!$B$12*AG81</f>
        <v>102.77777777777779</v>
      </c>
      <c r="BS81" s="262">
        <f>SUM(Distributievergoedingen!$F$12,Distributievergoedingen!$I$12,Distributievergoedingen!$L$12,Distributievergoedingen!$O$12)*AF81+SUM(Distributievergoedingen!$O$12*AA81+Distributievergoedingen!$R$12+Distributievergoedingen!$U$12+Distributievergoedingen!$X$12)/(MAX(36,12*L81))</f>
        <v>112.77777777777777</v>
      </c>
      <c r="BT81" s="202"/>
      <c r="BU81" s="202">
        <f t="shared" si="52"/>
        <v>215.55555555555554</v>
      </c>
      <c r="BW81" s="151">
        <f t="shared" si="53"/>
        <v>216.55555555555554</v>
      </c>
      <c r="BY81" s="140">
        <f t="shared" si="54"/>
        <v>811.22222222222229</v>
      </c>
      <c r="BZ81" s="141">
        <f t="shared" si="55"/>
        <v>0.78929729729729736</v>
      </c>
      <c r="CA81" s="142" t="b">
        <f t="shared" si="56"/>
        <v>0</v>
      </c>
    </row>
    <row r="82" spans="1:79">
      <c r="A82" s="160" t="str">
        <f t="shared" si="44"/>
        <v>2VDSLEntrynationaal10240/1024</v>
      </c>
      <c r="B82" s="142" t="str">
        <f t="shared" si="65"/>
        <v>2VDSL10240/1024Entry</v>
      </c>
      <c r="C82" s="198">
        <v>2</v>
      </c>
      <c r="D82" s="198" t="s">
        <v>77</v>
      </c>
      <c r="E82" s="198" t="s">
        <v>78</v>
      </c>
      <c r="F82" s="198" t="s">
        <v>115</v>
      </c>
      <c r="G82" s="199" t="s">
        <v>113</v>
      </c>
      <c r="H82" s="198" t="s">
        <v>85</v>
      </c>
      <c r="J82" s="142" t="str">
        <f t="shared" si="45"/>
        <v>VDSL10240/1024Entry</v>
      </c>
      <c r="L82" s="160">
        <f>INDEX(Mapping!$J:$J,MATCH(C$3&amp;C82,Mapping!$B:$B,0))</f>
        <v>1</v>
      </c>
      <c r="M82" s="148" t="str">
        <f>INDEX(Mapping!$H:$H,MATCH($E82,Mapping!$B:$B,0))</f>
        <v>WBA CM Ethernet</v>
      </c>
      <c r="N82" s="148" t="str">
        <f>INDEX(Mapping!$I:$I,MATCH($E82&amp;$G82,Mapping!$B:$B,0))</f>
        <v>entry</v>
      </c>
      <c r="O82" s="148" t="str">
        <f>INDEX(Mapping!$I:$I,MATCH($D82,Mapping!$B:$B,0))</f>
        <v>VDSL</v>
      </c>
      <c r="P82" s="148" t="str">
        <f>INDEX(Mapping!$H:$H,MATCH($F82,Mapping!$B:$B,0))</f>
        <v>nvt</v>
      </c>
      <c r="Q82" s="148" t="str">
        <f>INDEX(Mapping!$J:$J,MATCH($E82&amp;$G82,Mapping!$B:$B,0))</f>
        <v>national</v>
      </c>
      <c r="R82" s="148" t="str">
        <f>INDEX(Mapping!$I:$I,MATCH($J82,Mapping!$B:$B,0))</f>
        <v>&lt;= 20 Mbps/&lt;= 1 Mbps</v>
      </c>
      <c r="T82" s="148" t="str">
        <f>INDEX(Mapping!$K:$K,MATCH($E82&amp;$G82,Mapping!$B:$B,0))</f>
        <v>nvt</v>
      </c>
      <c r="U82" s="142" t="str">
        <f t="shared" si="46"/>
        <v>WBA CM Ethernet&lt;= 20 Mbps/&lt;= 1 Mbpsentrynational</v>
      </c>
      <c r="W82" s="160">
        <f>MATCH($J82,'Tarieven ZM'!$B:$B,0)</f>
        <v>34</v>
      </c>
      <c r="X82" s="148">
        <f>INDEX('Tarieven ZM'!$H:$H,$W82)</f>
        <v>1000</v>
      </c>
      <c r="Y82" s="161">
        <f>-INDEX(Parameters!$B:$B,MATCH(Y$3,Parameters!$A:$A,0))*$X82</f>
        <v>0</v>
      </c>
      <c r="Z82" s="149">
        <f>-INDEX(Parameters!$B:$B,MATCH(Z$3,Parameters!$A:$A,0))*$X82</f>
        <v>0</v>
      </c>
      <c r="AA82" s="148">
        <f t="shared" si="47"/>
        <v>1000</v>
      </c>
      <c r="AB82" s="148">
        <f>AA82/INDEX(Parameters!$B:$B,MATCH("AfschrijftermijnVVE"&amp;12*$C82,Parameters!$A:$A,0))</f>
        <v>27.777777777777779</v>
      </c>
      <c r="AC82" s="148">
        <f>INDEX('Tarieven ZM'!$G:$G,$W82)</f>
        <v>1000</v>
      </c>
      <c r="AD82" s="161">
        <f>-INDEX(Parameters!$B:$B,MATCH(AD$3,Parameters!$A:$A,0))*$AC82</f>
        <v>0</v>
      </c>
      <c r="AE82" s="161">
        <f>-INDEX(Parameters!$B:$B,MATCH(AE$3,Parameters!$A:$A,0))*$AC82</f>
        <v>0</v>
      </c>
      <c r="AF82" s="148">
        <f t="shared" si="48"/>
        <v>1000</v>
      </c>
      <c r="AG82" s="151">
        <f t="shared" si="66"/>
        <v>1027.7777777777778</v>
      </c>
      <c r="AH82" s="123"/>
      <c r="AI82" s="147">
        <f>IF(R82&lt;&gt;"n.a.",MATCH($U82,'Tarieven W&amp;O'!$B:$B,0),"nvt")</f>
        <v>119</v>
      </c>
      <c r="AJ82" s="148">
        <f>IF(AI82&lt;&gt;"nvt",INDEX('Tarieven W&amp;O'!$H:$H,$AI82),0)</f>
        <v>0</v>
      </c>
      <c r="AK82" s="148">
        <f>IF(AI82&lt;&gt;"nvt",INDEX('Tarieven W&amp;O'!$I:$I,$AI82),0)</f>
        <v>5</v>
      </c>
      <c r="AL82" s="277">
        <f>IF(AI82&lt;&gt;"nvt",-INDEX(Parameters!$B:$B,MATCH(AL$3&amp;$M82,Parameters!$A:$A,0))*(AJ82+AK82),0)</f>
        <v>0</v>
      </c>
      <c r="AM82" s="442"/>
      <c r="AN82" s="262">
        <f t="shared" si="49"/>
        <v>5</v>
      </c>
      <c r="AO82" s="262">
        <f>AN82/INDEX(Parameters!$B:$B,MATCH("AfschrijftermijnVVE"&amp;12*$C82,Parameters!$A:$A,0))</f>
        <v>0.1388888888888889</v>
      </c>
      <c r="AP82" s="179">
        <f t="shared" si="50"/>
        <v>119</v>
      </c>
      <c r="AQ82" s="202">
        <f>IF(AP82&lt;&gt;"nvt",INDEX('Tarieven W&amp;O'!$G:$G,$AP82),0)</f>
        <v>3.02</v>
      </c>
      <c r="AR82" s="277">
        <f>-INDEX(Parameters!$B:$B,MATCH(AR$3&amp;$M82&amp;O82,Parameters!$A:$A,0))*(AQ82)</f>
        <v>-0.30200000000000005</v>
      </c>
      <c r="AS82" s="262">
        <f>Parameters!$D$54</f>
        <v>2</v>
      </c>
      <c r="AT82" s="442">
        <f>IF(M82="WBA CM Ethernet",0,'EDC Minus'!$H$27)</f>
        <v>0</v>
      </c>
      <c r="AU82" s="150">
        <f t="shared" si="67"/>
        <v>4.718</v>
      </c>
      <c r="AV82" s="150">
        <f t="shared" si="68"/>
        <v>4.8568888888888893</v>
      </c>
      <c r="AW82" s="150"/>
      <c r="AX82" s="150">
        <f>Parameters!$B$6*AV82</f>
        <v>4.8568888888888891E-2</v>
      </c>
      <c r="AY82" s="202">
        <v>0</v>
      </c>
      <c r="AZ82" s="202"/>
      <c r="BA82" s="150">
        <f t="shared" si="69"/>
        <v>4.8568888888888891E-2</v>
      </c>
      <c r="BB82" s="150"/>
      <c r="BC82" s="151">
        <f t="shared" si="70"/>
        <v>4.9054577777777784</v>
      </c>
      <c r="BD82" s="209"/>
      <c r="BE82" s="140">
        <f t="shared" si="63"/>
        <v>1022.8723200000001</v>
      </c>
      <c r="BF82" s="141">
        <f t="shared" si="64"/>
        <v>0.99522712216216214</v>
      </c>
      <c r="BG82" s="142" t="b">
        <f t="shared" si="51"/>
        <v>0</v>
      </c>
      <c r="BH82" s="148"/>
      <c r="BI82" s="188" t="s">
        <v>538</v>
      </c>
      <c r="BJ82" s="189"/>
      <c r="BK82">
        <f>VLOOKUP(J82,'Tarieven ZM'!$B$7:$I$146,8,0)</f>
        <v>0</v>
      </c>
      <c r="BL82" s="179" t="str">
        <f>INDEX(Mapping!$M:$M,MATCH($J82,Mapping!$B:$B,0))</f>
        <v>nvt</v>
      </c>
      <c r="BM82" s="282">
        <v>0</v>
      </c>
      <c r="BN82" s="262">
        <f>BM82/INDEX(Parameters!$B:$B,MATCH("AfschrijftermijnVVE"&amp;12*$C82,Parameters!$A:$A,0))</f>
        <v>0</v>
      </c>
      <c r="BO82" s="262">
        <f>Parameters!$D$59+INDEX('inkoop ULL tbv Epacity'!I:I,MATCH($BL82,'inkoop ULL tbv Epacity'!H:H,0))</f>
        <v>1</v>
      </c>
      <c r="BP82" s="263">
        <f t="shared" si="43"/>
        <v>1</v>
      </c>
      <c r="BQ82" s="203"/>
      <c r="BR82" s="262">
        <f>Parameters!$B$12*AG82</f>
        <v>102.77777777777779</v>
      </c>
      <c r="BS82" s="262">
        <f>SUM(Distributievergoedingen!$F$12,Distributievergoedingen!$I$12,Distributievergoedingen!$L$12,Distributievergoedingen!$O$12)*AF82+SUM(Distributievergoedingen!$O$12*AA82+Distributievergoedingen!$R$12+Distributievergoedingen!$U$12+Distributievergoedingen!$X$12)/(MAX(36,12*L82))</f>
        <v>112.77777777777777</v>
      </c>
      <c r="BT82" s="202"/>
      <c r="BU82" s="202">
        <f t="shared" si="52"/>
        <v>215.55555555555554</v>
      </c>
      <c r="BW82" s="151">
        <f t="shared" si="53"/>
        <v>216.55555555555554</v>
      </c>
      <c r="BY82" s="140">
        <f t="shared" si="54"/>
        <v>811.22222222222229</v>
      </c>
      <c r="BZ82" s="141">
        <f t="shared" si="55"/>
        <v>0.78929729729729736</v>
      </c>
      <c r="CA82" s="142" t="b">
        <f t="shared" si="56"/>
        <v>0</v>
      </c>
    </row>
    <row r="83" spans="1:79">
      <c r="A83" s="160" t="str">
        <f t="shared" si="44"/>
        <v>2VDSLEntrynationaal20480/2048</v>
      </c>
      <c r="B83" s="142" t="str">
        <f t="shared" si="65"/>
        <v>2VDSL20480/2048Entry</v>
      </c>
      <c r="C83" s="198">
        <v>2</v>
      </c>
      <c r="D83" s="198" t="s">
        <v>77</v>
      </c>
      <c r="E83" s="198" t="s">
        <v>78</v>
      </c>
      <c r="F83" s="198" t="s">
        <v>115</v>
      </c>
      <c r="G83" s="199" t="s">
        <v>113</v>
      </c>
      <c r="H83" s="198" t="s">
        <v>86</v>
      </c>
      <c r="J83" s="142" t="str">
        <f t="shared" si="45"/>
        <v>VDSL20480/2048Entry</v>
      </c>
      <c r="L83" s="160">
        <f>INDEX(Mapping!$J:$J,MATCH(C$3&amp;C83,Mapping!$B:$B,0))</f>
        <v>1</v>
      </c>
      <c r="M83" s="148" t="str">
        <f>INDEX(Mapping!$H:$H,MATCH($E83,Mapping!$B:$B,0))</f>
        <v>WBA CM Ethernet</v>
      </c>
      <c r="N83" s="148" t="str">
        <f>INDEX(Mapping!$I:$I,MATCH($E83&amp;$G83,Mapping!$B:$B,0))</f>
        <v>entry</v>
      </c>
      <c r="O83" s="148" t="str">
        <f>INDEX(Mapping!$I:$I,MATCH($D83,Mapping!$B:$B,0))</f>
        <v>VDSL</v>
      </c>
      <c r="P83" s="148" t="str">
        <f>INDEX(Mapping!$H:$H,MATCH($F83,Mapping!$B:$B,0))</f>
        <v>nvt</v>
      </c>
      <c r="Q83" s="148" t="str">
        <f>INDEX(Mapping!$J:$J,MATCH($E83&amp;$G83,Mapping!$B:$B,0))</f>
        <v>national</v>
      </c>
      <c r="R83" s="148" t="str">
        <f>INDEX(Mapping!$I:$I,MATCH($J83,Mapping!$B:$B,0))</f>
        <v>&lt;= 20 Mbps/&lt;= 1 Mbps</v>
      </c>
      <c r="T83" s="148" t="str">
        <f>INDEX(Mapping!$K:$K,MATCH($E83&amp;$G83,Mapping!$B:$B,0))</f>
        <v>nvt</v>
      </c>
      <c r="U83" s="142" t="str">
        <f t="shared" si="46"/>
        <v>WBA CM Ethernet&lt;= 20 Mbps/&lt;= 1 Mbpsentrynational</v>
      </c>
      <c r="W83" s="160">
        <f>MATCH($J83,'Tarieven ZM'!$B:$B,0)</f>
        <v>35</v>
      </c>
      <c r="X83" s="148">
        <f>INDEX('Tarieven ZM'!$H:$H,$W83)</f>
        <v>1000</v>
      </c>
      <c r="Y83" s="161">
        <f>-INDEX(Parameters!$B:$B,MATCH(Y$3,Parameters!$A:$A,0))*$X83</f>
        <v>0</v>
      </c>
      <c r="Z83" s="149">
        <f>-INDEX(Parameters!$B:$B,MATCH(Z$3,Parameters!$A:$A,0))*$X83</f>
        <v>0</v>
      </c>
      <c r="AA83" s="148">
        <f t="shared" si="47"/>
        <v>1000</v>
      </c>
      <c r="AB83" s="148">
        <f>AA83/INDEX(Parameters!$B:$B,MATCH("AfschrijftermijnVVE"&amp;12*$C83,Parameters!$A:$A,0))</f>
        <v>27.777777777777779</v>
      </c>
      <c r="AC83" s="148">
        <f>INDEX('Tarieven ZM'!$G:$G,$W83)</f>
        <v>1000</v>
      </c>
      <c r="AD83" s="161">
        <f>-INDEX(Parameters!$B:$B,MATCH(AD$3,Parameters!$A:$A,0))*$AC83</f>
        <v>0</v>
      </c>
      <c r="AE83" s="161">
        <f>-INDEX(Parameters!$B:$B,MATCH(AE$3,Parameters!$A:$A,0))*$AC83</f>
        <v>0</v>
      </c>
      <c r="AF83" s="148">
        <f t="shared" si="48"/>
        <v>1000</v>
      </c>
      <c r="AG83" s="151">
        <f t="shared" si="66"/>
        <v>1027.7777777777778</v>
      </c>
      <c r="AH83" s="123"/>
      <c r="AI83" s="147">
        <f>IF(R83&lt;&gt;"n.a.",MATCH($U83,'Tarieven W&amp;O'!$B:$B,0),"nvt")</f>
        <v>119</v>
      </c>
      <c r="AJ83" s="148">
        <f>IF(AI83&lt;&gt;"nvt",INDEX('Tarieven W&amp;O'!$H:$H,$AI83),0)</f>
        <v>0</v>
      </c>
      <c r="AK83" s="148">
        <f>IF(AI83&lt;&gt;"nvt",INDEX('Tarieven W&amp;O'!$I:$I,$AI83),0)</f>
        <v>5</v>
      </c>
      <c r="AL83" s="277">
        <f>IF(AI83&lt;&gt;"nvt",-INDEX(Parameters!$B:$B,MATCH(AL$3&amp;$M83,Parameters!$A:$A,0))*(AJ83+AK83),0)</f>
        <v>0</v>
      </c>
      <c r="AM83" s="442"/>
      <c r="AN83" s="262">
        <f t="shared" si="49"/>
        <v>5</v>
      </c>
      <c r="AO83" s="262">
        <f>AN83/INDEX(Parameters!$B:$B,MATCH("AfschrijftermijnVVE"&amp;12*$C83,Parameters!$A:$A,0))</f>
        <v>0.1388888888888889</v>
      </c>
      <c r="AP83" s="179">
        <f t="shared" si="50"/>
        <v>119</v>
      </c>
      <c r="AQ83" s="202">
        <f>IF(AP83&lt;&gt;"nvt",INDEX('Tarieven W&amp;O'!$G:$G,$AP83),0)</f>
        <v>3.02</v>
      </c>
      <c r="AR83" s="277">
        <f>-INDEX(Parameters!$B:$B,MATCH(AR$3&amp;$M83&amp;O83,Parameters!$A:$A,0))*(AQ83)</f>
        <v>-0.30200000000000005</v>
      </c>
      <c r="AS83" s="262">
        <f>Parameters!$D$54</f>
        <v>2</v>
      </c>
      <c r="AT83" s="442">
        <f>IF(M83="WBA CM Ethernet",0,'EDC Minus'!$H$27)</f>
        <v>0</v>
      </c>
      <c r="AU83" s="150">
        <f t="shared" si="67"/>
        <v>4.718</v>
      </c>
      <c r="AV83" s="150">
        <f t="shared" si="68"/>
        <v>4.8568888888888893</v>
      </c>
      <c r="AW83" s="150"/>
      <c r="AX83" s="150">
        <f>Parameters!$B$6*AV83</f>
        <v>4.8568888888888891E-2</v>
      </c>
      <c r="AY83" s="202">
        <v>0</v>
      </c>
      <c r="AZ83" s="202"/>
      <c r="BA83" s="150">
        <f t="shared" si="69"/>
        <v>4.8568888888888891E-2</v>
      </c>
      <c r="BB83" s="150"/>
      <c r="BC83" s="151">
        <f t="shared" si="70"/>
        <v>4.9054577777777784</v>
      </c>
      <c r="BD83" s="209"/>
      <c r="BE83" s="140">
        <f t="shared" si="63"/>
        <v>1022.8723200000001</v>
      </c>
      <c r="BF83" s="141">
        <f t="shared" si="64"/>
        <v>0.99522712216216214</v>
      </c>
      <c r="BG83" s="142" t="b">
        <f t="shared" si="51"/>
        <v>0</v>
      </c>
      <c r="BH83" s="148"/>
      <c r="BI83" s="188" t="s">
        <v>538</v>
      </c>
      <c r="BJ83" s="189"/>
      <c r="BK83">
        <f>VLOOKUP(J83,'Tarieven ZM'!$B$7:$I$146,8,0)</f>
        <v>0</v>
      </c>
      <c r="BL83" s="179" t="str">
        <f>INDEX(Mapping!$M:$M,MATCH($J83,Mapping!$B:$B,0))</f>
        <v>nvt</v>
      </c>
      <c r="BM83" s="282">
        <v>0</v>
      </c>
      <c r="BN83" s="262">
        <f>BM83/INDEX(Parameters!$B:$B,MATCH("AfschrijftermijnVVE"&amp;12*$C83,Parameters!$A:$A,0))</f>
        <v>0</v>
      </c>
      <c r="BO83" s="262">
        <f>Parameters!$D$59+INDEX('inkoop ULL tbv Epacity'!I:I,MATCH($BL83,'inkoop ULL tbv Epacity'!H:H,0))</f>
        <v>1</v>
      </c>
      <c r="BP83" s="263">
        <f t="shared" si="43"/>
        <v>1</v>
      </c>
      <c r="BQ83" s="203"/>
      <c r="BR83" s="262">
        <f>Parameters!$B$12*AG83</f>
        <v>102.77777777777779</v>
      </c>
      <c r="BS83" s="262">
        <f>SUM(Distributievergoedingen!$F$12,Distributievergoedingen!$I$12,Distributievergoedingen!$L$12,Distributievergoedingen!$O$12)*AF83+SUM(Distributievergoedingen!$O$12*AA83+Distributievergoedingen!$R$12+Distributievergoedingen!$U$12+Distributievergoedingen!$X$12)/(MAX(36,12*L83))</f>
        <v>112.77777777777777</v>
      </c>
      <c r="BT83" s="202"/>
      <c r="BU83" s="202">
        <f t="shared" si="52"/>
        <v>215.55555555555554</v>
      </c>
      <c r="BW83" s="151">
        <f t="shared" si="53"/>
        <v>216.55555555555554</v>
      </c>
      <c r="BY83" s="140">
        <f t="shared" si="54"/>
        <v>811.22222222222229</v>
      </c>
      <c r="BZ83" s="141">
        <f t="shared" si="55"/>
        <v>0.78929729729729736</v>
      </c>
      <c r="CA83" s="142" t="b">
        <f t="shared" si="56"/>
        <v>0</v>
      </c>
    </row>
    <row r="84" spans="1:79">
      <c r="A84" s="160" t="str">
        <f t="shared" si="44"/>
        <v>2VDSLEntrynationaal30372/3072</v>
      </c>
      <c r="B84" s="142" t="str">
        <f t="shared" si="65"/>
        <v>2VDSL30372/3072Entry</v>
      </c>
      <c r="C84" s="198">
        <v>2</v>
      </c>
      <c r="D84" s="198" t="s">
        <v>77</v>
      </c>
      <c r="E84" s="198" t="s">
        <v>78</v>
      </c>
      <c r="F84" s="198" t="s">
        <v>115</v>
      </c>
      <c r="G84" s="199" t="s">
        <v>113</v>
      </c>
      <c r="H84" s="198" t="s">
        <v>87</v>
      </c>
      <c r="J84" s="142" t="str">
        <f t="shared" si="45"/>
        <v>VDSL30372/3072Entry</v>
      </c>
      <c r="L84" s="160">
        <f>INDEX(Mapping!$J:$J,MATCH(C$3&amp;C84,Mapping!$B:$B,0))</f>
        <v>1</v>
      </c>
      <c r="M84" s="148" t="str">
        <f>INDEX(Mapping!$H:$H,MATCH($E84,Mapping!$B:$B,0))</f>
        <v>WBA CM Ethernet</v>
      </c>
      <c r="N84" s="148" t="str">
        <f>INDEX(Mapping!$I:$I,MATCH($E84&amp;$G84,Mapping!$B:$B,0))</f>
        <v>entry</v>
      </c>
      <c r="O84" s="148" t="str">
        <f>INDEX(Mapping!$I:$I,MATCH($D84,Mapping!$B:$B,0))</f>
        <v>VDSL</v>
      </c>
      <c r="P84" s="148" t="str">
        <f>INDEX(Mapping!$H:$H,MATCH($F84,Mapping!$B:$B,0))</f>
        <v>nvt</v>
      </c>
      <c r="Q84" s="148" t="str">
        <f>INDEX(Mapping!$J:$J,MATCH($E84&amp;$G84,Mapping!$B:$B,0))</f>
        <v>national</v>
      </c>
      <c r="R84" s="148" t="str">
        <f>INDEX(Mapping!$I:$I,MATCH($J84,Mapping!$B:$B,0))</f>
        <v>&lt;= 30 Mbps/&lt;= 3 Mbps</v>
      </c>
      <c r="T84" s="148" t="str">
        <f>INDEX(Mapping!$K:$K,MATCH($E84&amp;$G84,Mapping!$B:$B,0))</f>
        <v>nvt</v>
      </c>
      <c r="U84" s="142" t="str">
        <f t="shared" si="46"/>
        <v>WBA CM Ethernet&lt;= 30 Mbps/&lt;= 3 Mbpsentrynational</v>
      </c>
      <c r="W84" s="160">
        <f>MATCH($J84,'Tarieven ZM'!$B:$B,0)</f>
        <v>36</v>
      </c>
      <c r="X84" s="148">
        <f>INDEX('Tarieven ZM'!$H:$H,$W84)</f>
        <v>1000</v>
      </c>
      <c r="Y84" s="161">
        <f>-INDEX(Parameters!$B:$B,MATCH(Y$3,Parameters!$A:$A,0))*$X84</f>
        <v>0</v>
      </c>
      <c r="Z84" s="149">
        <f>-INDEX(Parameters!$B:$B,MATCH(Z$3,Parameters!$A:$A,0))*$X84</f>
        <v>0</v>
      </c>
      <c r="AA84" s="148">
        <f t="shared" si="47"/>
        <v>1000</v>
      </c>
      <c r="AB84" s="148">
        <f>AA84/INDEX(Parameters!$B:$B,MATCH("AfschrijftermijnVVE"&amp;12*$C84,Parameters!$A:$A,0))</f>
        <v>27.777777777777779</v>
      </c>
      <c r="AC84" s="148">
        <f>INDEX('Tarieven ZM'!$G:$G,$W84)</f>
        <v>1000</v>
      </c>
      <c r="AD84" s="161">
        <f>-INDEX(Parameters!$B:$B,MATCH(AD$3,Parameters!$A:$A,0))*$AC84</f>
        <v>0</v>
      </c>
      <c r="AE84" s="161">
        <f>-INDEX(Parameters!$B:$B,MATCH(AE$3,Parameters!$A:$A,0))*$AC84</f>
        <v>0</v>
      </c>
      <c r="AF84" s="148">
        <f t="shared" si="48"/>
        <v>1000</v>
      </c>
      <c r="AG84" s="151">
        <f t="shared" si="66"/>
        <v>1027.7777777777778</v>
      </c>
      <c r="AH84" s="123"/>
      <c r="AI84" s="147">
        <f>IF(R84&lt;&gt;"n.a.",MATCH($U84,'Tarieven W&amp;O'!$B:$B,0),"nvt")</f>
        <v>121</v>
      </c>
      <c r="AJ84" s="148">
        <f>IF(AI84&lt;&gt;"nvt",INDEX('Tarieven W&amp;O'!$H:$H,$AI84),0)</f>
        <v>0</v>
      </c>
      <c r="AK84" s="148">
        <f>IF(AI84&lt;&gt;"nvt",INDEX('Tarieven W&amp;O'!$I:$I,$AI84),0)</f>
        <v>5</v>
      </c>
      <c r="AL84" s="277">
        <f>IF(AI84&lt;&gt;"nvt",-INDEX(Parameters!$B:$B,MATCH(AL$3&amp;$M84,Parameters!$A:$A,0))*(AJ84+AK84),0)</f>
        <v>0</v>
      </c>
      <c r="AM84" s="442"/>
      <c r="AN84" s="262">
        <f t="shared" si="49"/>
        <v>5</v>
      </c>
      <c r="AO84" s="262">
        <f>AN84/INDEX(Parameters!$B:$B,MATCH("AfschrijftermijnVVE"&amp;12*$C84,Parameters!$A:$A,0))</f>
        <v>0.1388888888888889</v>
      </c>
      <c r="AP84" s="179">
        <f t="shared" si="50"/>
        <v>121</v>
      </c>
      <c r="AQ84" s="202">
        <f>IF(AP84&lt;&gt;"nvt",INDEX('Tarieven W&amp;O'!$G:$G,$AP84),0)</f>
        <v>3.02</v>
      </c>
      <c r="AR84" s="277">
        <f>-INDEX(Parameters!$B:$B,MATCH(AR$3&amp;$M84&amp;O84,Parameters!$A:$A,0))*(AQ84)</f>
        <v>-0.30200000000000005</v>
      </c>
      <c r="AS84" s="262">
        <f>Parameters!$D$54</f>
        <v>2</v>
      </c>
      <c r="AT84" s="442">
        <f>IF(M84="WBA CM Ethernet",0,'EDC Minus'!$H$27)</f>
        <v>0</v>
      </c>
      <c r="AU84" s="150">
        <f t="shared" si="67"/>
        <v>4.718</v>
      </c>
      <c r="AV84" s="150">
        <f t="shared" si="68"/>
        <v>4.8568888888888893</v>
      </c>
      <c r="AW84" s="150"/>
      <c r="AX84" s="150">
        <f>Parameters!$B$6*AV84</f>
        <v>4.8568888888888891E-2</v>
      </c>
      <c r="AY84" s="202">
        <v>0</v>
      </c>
      <c r="AZ84" s="202"/>
      <c r="BA84" s="150">
        <f t="shared" si="69"/>
        <v>4.8568888888888891E-2</v>
      </c>
      <c r="BB84" s="150"/>
      <c r="BC84" s="151">
        <f t="shared" si="70"/>
        <v>4.9054577777777784</v>
      </c>
      <c r="BD84" s="209"/>
      <c r="BE84" s="140">
        <f t="shared" si="63"/>
        <v>1022.8723200000001</v>
      </c>
      <c r="BF84" s="141">
        <f t="shared" si="64"/>
        <v>0.99522712216216214</v>
      </c>
      <c r="BG84" s="142" t="b">
        <f t="shared" si="51"/>
        <v>0</v>
      </c>
      <c r="BH84" s="148"/>
      <c r="BI84" s="188" t="s">
        <v>538</v>
      </c>
      <c r="BJ84" s="189"/>
      <c r="BK84">
        <f>VLOOKUP(J84,'Tarieven ZM'!$B$7:$I$146,8,0)</f>
        <v>0</v>
      </c>
      <c r="BL84" s="179" t="str">
        <f>INDEX(Mapping!$M:$M,MATCH($J84,Mapping!$B:$B,0))</f>
        <v>nvt</v>
      </c>
      <c r="BM84" s="282">
        <v>0</v>
      </c>
      <c r="BN84" s="262">
        <f>BM84/INDEX(Parameters!$B:$B,MATCH("AfschrijftermijnVVE"&amp;12*$C84,Parameters!$A:$A,0))</f>
        <v>0</v>
      </c>
      <c r="BO84" s="262">
        <f>Parameters!$D$59+INDEX('inkoop ULL tbv Epacity'!I:I,MATCH($BL84,'inkoop ULL tbv Epacity'!H:H,0))</f>
        <v>1</v>
      </c>
      <c r="BP84" s="263">
        <f t="shared" si="43"/>
        <v>1</v>
      </c>
      <c r="BQ84" s="203"/>
      <c r="BR84" s="262">
        <f>Parameters!$B$12*AG84</f>
        <v>102.77777777777779</v>
      </c>
      <c r="BS84" s="262">
        <f>SUM(Distributievergoedingen!$F$12,Distributievergoedingen!$I$12,Distributievergoedingen!$L$12,Distributievergoedingen!$O$12)*AF84+SUM(Distributievergoedingen!$O$12*AA84+Distributievergoedingen!$R$12+Distributievergoedingen!$U$12+Distributievergoedingen!$X$12)/(MAX(36,12*L84))</f>
        <v>112.77777777777777</v>
      </c>
      <c r="BT84" s="202"/>
      <c r="BU84" s="202">
        <f t="shared" si="52"/>
        <v>215.55555555555554</v>
      </c>
      <c r="BW84" s="151">
        <f t="shared" si="53"/>
        <v>216.55555555555554</v>
      </c>
      <c r="BY84" s="140">
        <f t="shared" si="54"/>
        <v>811.22222222222229</v>
      </c>
      <c r="BZ84" s="141">
        <f t="shared" si="55"/>
        <v>0.78929729729729736</v>
      </c>
      <c r="CA84" s="142" t="b">
        <f t="shared" si="56"/>
        <v>0</v>
      </c>
    </row>
    <row r="85" spans="1:79">
      <c r="A85" s="160" t="str">
        <f t="shared" si="44"/>
        <v>2VDSLEntrynationaal51200/5120</v>
      </c>
      <c r="B85" s="142" t="str">
        <f t="shared" si="65"/>
        <v>2VDSL51200/5120Entry</v>
      </c>
      <c r="C85" s="198">
        <v>2</v>
      </c>
      <c r="D85" s="198" t="s">
        <v>77</v>
      </c>
      <c r="E85" s="198" t="s">
        <v>78</v>
      </c>
      <c r="F85" s="198" t="s">
        <v>115</v>
      </c>
      <c r="G85" s="199" t="s">
        <v>113</v>
      </c>
      <c r="H85" s="198" t="s">
        <v>88</v>
      </c>
      <c r="J85" s="142" t="str">
        <f t="shared" si="45"/>
        <v>VDSL51200/5120Entry</v>
      </c>
      <c r="L85" s="160">
        <f>INDEX(Mapping!$J:$J,MATCH(C$3&amp;C85,Mapping!$B:$B,0))</f>
        <v>1</v>
      </c>
      <c r="M85" s="148" t="str">
        <f>INDEX(Mapping!$H:$H,MATCH($E85,Mapping!$B:$B,0))</f>
        <v>WBA CM Ethernet</v>
      </c>
      <c r="N85" s="148" t="str">
        <f>INDEX(Mapping!$I:$I,MATCH($E85&amp;$G85,Mapping!$B:$B,0))</f>
        <v>entry</v>
      </c>
      <c r="O85" s="148" t="str">
        <f>INDEX(Mapping!$I:$I,MATCH($D85,Mapping!$B:$B,0))</f>
        <v>VDSL</v>
      </c>
      <c r="P85" s="148" t="str">
        <f>INDEX(Mapping!$H:$H,MATCH($F85,Mapping!$B:$B,0))</f>
        <v>nvt</v>
      </c>
      <c r="Q85" s="148" t="str">
        <f>INDEX(Mapping!$J:$J,MATCH($E85&amp;$G85,Mapping!$B:$B,0))</f>
        <v>national</v>
      </c>
      <c r="R85" s="148" t="str">
        <f>INDEX(Mapping!$I:$I,MATCH($J85,Mapping!$B:$B,0))</f>
        <v>&lt;= 50 Mbps/&lt;= 10 Mbps</v>
      </c>
      <c r="T85" s="148" t="str">
        <f>INDEX(Mapping!$K:$K,MATCH($E85&amp;$G85,Mapping!$B:$B,0))</f>
        <v>nvt</v>
      </c>
      <c r="U85" s="142" t="str">
        <f t="shared" si="46"/>
        <v>WBA CM Ethernet&lt;= 50 Mbps/&lt;= 10 Mbpsentrynational</v>
      </c>
      <c r="W85" s="160">
        <f>MATCH($J85,'Tarieven ZM'!$B:$B,0)</f>
        <v>37</v>
      </c>
      <c r="X85" s="148">
        <f>INDEX('Tarieven ZM'!$H:$H,$W85)</f>
        <v>1000</v>
      </c>
      <c r="Y85" s="161">
        <f>-INDEX(Parameters!$B:$B,MATCH(Y$3,Parameters!$A:$A,0))*$X85</f>
        <v>0</v>
      </c>
      <c r="Z85" s="149">
        <f>-INDEX(Parameters!$B:$B,MATCH(Z$3,Parameters!$A:$A,0))*$X85</f>
        <v>0</v>
      </c>
      <c r="AA85" s="148">
        <f t="shared" si="47"/>
        <v>1000</v>
      </c>
      <c r="AB85" s="148">
        <f>AA85/INDEX(Parameters!$B:$B,MATCH("AfschrijftermijnVVE"&amp;12*$C85,Parameters!$A:$A,0))</f>
        <v>27.777777777777779</v>
      </c>
      <c r="AC85" s="148">
        <f>INDEX('Tarieven ZM'!$G:$G,$W85)</f>
        <v>1000</v>
      </c>
      <c r="AD85" s="161">
        <f>-INDEX(Parameters!$B:$B,MATCH(AD$3,Parameters!$A:$A,0))*$AC85</f>
        <v>0</v>
      </c>
      <c r="AE85" s="161">
        <f>-INDEX(Parameters!$B:$B,MATCH(AE$3,Parameters!$A:$A,0))*$AC85</f>
        <v>0</v>
      </c>
      <c r="AF85" s="148">
        <f t="shared" si="48"/>
        <v>1000</v>
      </c>
      <c r="AG85" s="151">
        <f t="shared" si="66"/>
        <v>1027.7777777777778</v>
      </c>
      <c r="AH85" s="123"/>
      <c r="AI85" s="147">
        <f>IF(R85&lt;&gt;"n.a.",MATCH($U85,'Tarieven W&amp;O'!$B:$B,0),"nvt")</f>
        <v>122</v>
      </c>
      <c r="AJ85" s="148">
        <f>IF(AI85&lt;&gt;"nvt",INDEX('Tarieven W&amp;O'!$H:$H,$AI85),0)</f>
        <v>0</v>
      </c>
      <c r="AK85" s="148">
        <f>IF(AI85&lt;&gt;"nvt",INDEX('Tarieven W&amp;O'!$I:$I,$AI85),0)</f>
        <v>5</v>
      </c>
      <c r="AL85" s="277">
        <f>IF(AI85&lt;&gt;"nvt",-INDEX(Parameters!$B:$B,MATCH(AL$3&amp;$M85,Parameters!$A:$A,0))*(AJ85+AK85),0)</f>
        <v>0</v>
      </c>
      <c r="AM85" s="442"/>
      <c r="AN85" s="262">
        <f t="shared" si="49"/>
        <v>5</v>
      </c>
      <c r="AO85" s="262">
        <f>AN85/INDEX(Parameters!$B:$B,MATCH("AfschrijftermijnVVE"&amp;12*$C85,Parameters!$A:$A,0))</f>
        <v>0.1388888888888889</v>
      </c>
      <c r="AP85" s="179">
        <f t="shared" si="50"/>
        <v>122</v>
      </c>
      <c r="AQ85" s="202">
        <f>IF(AP85&lt;&gt;"nvt",INDEX('Tarieven W&amp;O'!$G:$G,$AP85),0)</f>
        <v>3.52</v>
      </c>
      <c r="AR85" s="277">
        <f>-INDEX(Parameters!$B:$B,MATCH(AR$3&amp;$M85&amp;O85,Parameters!$A:$A,0))*(AQ85)</f>
        <v>-0.35200000000000004</v>
      </c>
      <c r="AS85" s="262">
        <f>Parameters!$D$54</f>
        <v>2</v>
      </c>
      <c r="AT85" s="442">
        <f>IF(M85="WBA CM Ethernet",0,'EDC Minus'!$H$27)</f>
        <v>0</v>
      </c>
      <c r="AU85" s="150">
        <f t="shared" si="67"/>
        <v>5.1680000000000001</v>
      </c>
      <c r="AV85" s="150">
        <f t="shared" si="68"/>
        <v>5.3068888888888894</v>
      </c>
      <c r="AW85" s="150"/>
      <c r="AX85" s="150">
        <f>Parameters!$B$6*AV85</f>
        <v>5.3068888888888895E-2</v>
      </c>
      <c r="AY85" s="202">
        <v>0</v>
      </c>
      <c r="AZ85" s="202"/>
      <c r="BA85" s="150">
        <f t="shared" si="69"/>
        <v>5.3068888888888895E-2</v>
      </c>
      <c r="BB85" s="150"/>
      <c r="BC85" s="151">
        <f t="shared" si="70"/>
        <v>5.3599577777777787</v>
      </c>
      <c r="BD85" s="209"/>
      <c r="BE85" s="140">
        <f t="shared" si="63"/>
        <v>1022.41782</v>
      </c>
      <c r="BF85" s="141">
        <f t="shared" si="64"/>
        <v>0.99478490594594593</v>
      </c>
      <c r="BG85" s="142" t="b">
        <f t="shared" si="51"/>
        <v>0</v>
      </c>
      <c r="BH85" s="148"/>
      <c r="BI85" s="188" t="s">
        <v>538</v>
      </c>
      <c r="BJ85" s="189"/>
      <c r="BK85">
        <f>VLOOKUP(J85,'Tarieven ZM'!$B$7:$I$146,8,0)</f>
        <v>0</v>
      </c>
      <c r="BL85" s="179" t="str">
        <f>INDEX(Mapping!$M:$M,MATCH($J85,Mapping!$B:$B,0))</f>
        <v>nvt</v>
      </c>
      <c r="BM85" s="282">
        <v>0</v>
      </c>
      <c r="BN85" s="262">
        <f>BM85/INDEX(Parameters!$B:$B,MATCH("AfschrijftermijnVVE"&amp;12*$C85,Parameters!$A:$A,0))</f>
        <v>0</v>
      </c>
      <c r="BO85" s="262">
        <f>Parameters!$D$59+INDEX('inkoop ULL tbv Epacity'!I:I,MATCH($BL85,'inkoop ULL tbv Epacity'!H:H,0))</f>
        <v>1</v>
      </c>
      <c r="BP85" s="263">
        <f t="shared" si="43"/>
        <v>1</v>
      </c>
      <c r="BQ85" s="203"/>
      <c r="BR85" s="262">
        <f>Parameters!$B$12*AG85</f>
        <v>102.77777777777779</v>
      </c>
      <c r="BS85" s="262">
        <f>SUM(Distributievergoedingen!$F$12,Distributievergoedingen!$I$12,Distributievergoedingen!$L$12,Distributievergoedingen!$O$12)*AF85+SUM(Distributievergoedingen!$O$12*AA85+Distributievergoedingen!$R$12+Distributievergoedingen!$U$12+Distributievergoedingen!$X$12)/(MAX(36,12*L85))</f>
        <v>112.77777777777777</v>
      </c>
      <c r="BT85" s="202"/>
      <c r="BU85" s="202">
        <f t="shared" si="52"/>
        <v>215.55555555555554</v>
      </c>
      <c r="BW85" s="151">
        <f t="shared" si="53"/>
        <v>216.55555555555554</v>
      </c>
      <c r="BY85" s="140">
        <f t="shared" si="54"/>
        <v>811.22222222222229</v>
      </c>
      <c r="BZ85" s="141">
        <f t="shared" si="55"/>
        <v>0.78929729729729736</v>
      </c>
      <c r="CA85" s="142" t="b">
        <f t="shared" si="56"/>
        <v>0</v>
      </c>
    </row>
    <row r="86" spans="1:79">
      <c r="A86" s="160" t="str">
        <f t="shared" si="44"/>
        <v>2VDSL bondingEntrynationaal81920/8192</v>
      </c>
      <c r="B86" s="142" t="str">
        <f t="shared" si="65"/>
        <v>2VDSL bonding81920/8192Entry</v>
      </c>
      <c r="C86" s="198">
        <v>2</v>
      </c>
      <c r="D86" s="198" t="s">
        <v>222</v>
      </c>
      <c r="E86" s="198" t="s">
        <v>78</v>
      </c>
      <c r="F86" s="198" t="s">
        <v>115</v>
      </c>
      <c r="G86" s="199" t="s">
        <v>113</v>
      </c>
      <c r="H86" s="198" t="s">
        <v>89</v>
      </c>
      <c r="J86" s="142" t="str">
        <f t="shared" si="45"/>
        <v>VDSL bonding81920/8192Entry</v>
      </c>
      <c r="L86" s="160">
        <f>INDEX(Mapping!$J:$J,MATCH(C$3&amp;C86,Mapping!$B:$B,0))</f>
        <v>1</v>
      </c>
      <c r="M86" s="148" t="str">
        <f>INDEX(Mapping!$H:$H,MATCH($E86,Mapping!$B:$B,0))</f>
        <v>WBA CM Ethernet</v>
      </c>
      <c r="N86" s="148" t="str">
        <f>INDEX(Mapping!$I:$I,MATCH($E86&amp;$G86,Mapping!$B:$B,0))</f>
        <v>entry</v>
      </c>
      <c r="O86" s="148" t="str">
        <f>INDEX(Mapping!$I:$I,MATCH($D86,Mapping!$B:$B,0))</f>
        <v>VDSL Bonding</v>
      </c>
      <c r="P86" s="148" t="str">
        <f>INDEX(Mapping!$H:$H,MATCH($F86,Mapping!$B:$B,0))</f>
        <v>nvt</v>
      </c>
      <c r="Q86" s="148" t="str">
        <f>INDEX(Mapping!$J:$J,MATCH($E86&amp;$G86,Mapping!$B:$B,0))</f>
        <v>national</v>
      </c>
      <c r="R86" s="148" t="str">
        <f>INDEX(Mapping!$I:$I,MATCH($J86,Mapping!$B:$B,0))</f>
        <v>&lt;= 100 Mbps/&lt;= 30 Mbps</v>
      </c>
      <c r="T86" s="148" t="str">
        <f>INDEX(Mapping!$K:$K,MATCH($E86&amp;$G86,Mapping!$B:$B,0))</f>
        <v>nvt</v>
      </c>
      <c r="U86" s="142" t="str">
        <f t="shared" si="46"/>
        <v>WBA CM Ethernet&lt;= 100 Mbps/&lt;= 30 Mbpsentrynational</v>
      </c>
      <c r="W86" s="160">
        <f>MATCH($J86,'Tarieven ZM'!$B:$B,0)</f>
        <v>38</v>
      </c>
      <c r="X86" s="148">
        <f>INDEX('Tarieven ZM'!$H:$H,$W86)</f>
        <v>1000</v>
      </c>
      <c r="Y86" s="161">
        <f>-INDEX(Parameters!$B:$B,MATCH(Y$3,Parameters!$A:$A,0))*$X86</f>
        <v>0</v>
      </c>
      <c r="Z86" s="149">
        <f>-INDEX(Parameters!$B:$B,MATCH(Z$3,Parameters!$A:$A,0))*$X86</f>
        <v>0</v>
      </c>
      <c r="AA86" s="148">
        <f t="shared" si="47"/>
        <v>1000</v>
      </c>
      <c r="AB86" s="148">
        <f>AA86/INDEX(Parameters!$B:$B,MATCH("AfschrijftermijnVVE"&amp;12*$C86,Parameters!$A:$A,0))</f>
        <v>27.777777777777779</v>
      </c>
      <c r="AC86" s="148">
        <f>INDEX('Tarieven ZM'!$G:$G,$W86)</f>
        <v>1000</v>
      </c>
      <c r="AD86" s="161">
        <f>-INDEX(Parameters!$B:$B,MATCH(AD$3,Parameters!$A:$A,0))*$AC86</f>
        <v>0</v>
      </c>
      <c r="AE86" s="161">
        <f>-INDEX(Parameters!$B:$B,MATCH(AE$3,Parameters!$A:$A,0))*$AC86</f>
        <v>0</v>
      </c>
      <c r="AF86" s="148">
        <f t="shared" si="48"/>
        <v>1000</v>
      </c>
      <c r="AG86" s="151">
        <f t="shared" si="66"/>
        <v>1027.7777777777778</v>
      </c>
      <c r="AH86" s="123"/>
      <c r="AI86" s="147">
        <f>IF(R86&lt;&gt;"n.a.",MATCH($U86,'Tarieven W&amp;O'!$B:$B,0),"nvt")</f>
        <v>123</v>
      </c>
      <c r="AJ86" s="148">
        <f>IF(AI86&lt;&gt;"nvt",INDEX('Tarieven W&amp;O'!$H:$H,$AI86),0)</f>
        <v>0</v>
      </c>
      <c r="AK86" s="148">
        <f>IF(AI86&lt;&gt;"nvt",INDEX('Tarieven W&amp;O'!$I:$I,$AI86),0)</f>
        <v>5</v>
      </c>
      <c r="AL86" s="277">
        <f>IF(AI86&lt;&gt;"nvt",-INDEX(Parameters!$B:$B,MATCH(AL$3&amp;$M86,Parameters!$A:$A,0))*(AJ86+AK86),0)</f>
        <v>0</v>
      </c>
      <c r="AM86" s="442"/>
      <c r="AN86" s="262">
        <f t="shared" si="49"/>
        <v>5</v>
      </c>
      <c r="AO86" s="262">
        <f>AN86/INDEX(Parameters!$B:$B,MATCH("AfschrijftermijnVVE"&amp;12*$C86,Parameters!$A:$A,0))</f>
        <v>0.1388888888888889</v>
      </c>
      <c r="AP86" s="179">
        <f t="shared" si="50"/>
        <v>123</v>
      </c>
      <c r="AQ86" s="202">
        <f>IF(AP86&lt;&gt;"nvt",INDEX('Tarieven W&amp;O'!$G:$G,$AP86),0)</f>
        <v>4.03</v>
      </c>
      <c r="AR86" s="277">
        <f>-INDEX(Parameters!$B:$B,MATCH(AR$3&amp;$M86&amp;O86,Parameters!$A:$A,0))*(AQ86)</f>
        <v>-0.40300000000000002</v>
      </c>
      <c r="AS86" s="262">
        <f>Parameters!$D$54</f>
        <v>2</v>
      </c>
      <c r="AT86" s="442">
        <f>IF(M86="WBA CM Ethernet",0,'EDC Minus'!$H$27)</f>
        <v>0</v>
      </c>
      <c r="AU86" s="150">
        <f t="shared" si="67"/>
        <v>5.6270000000000007</v>
      </c>
      <c r="AV86" s="150">
        <f t="shared" si="68"/>
        <v>5.76588888888889</v>
      </c>
      <c r="AW86" s="150"/>
      <c r="AX86" s="150">
        <f>Parameters!$B$6*AV86</f>
        <v>5.7658888888888898E-2</v>
      </c>
      <c r="AY86" s="202">
        <v>0</v>
      </c>
      <c r="AZ86" s="202"/>
      <c r="BA86" s="150">
        <f t="shared" si="69"/>
        <v>5.7658888888888898E-2</v>
      </c>
      <c r="BB86" s="150"/>
      <c r="BC86" s="151">
        <f t="shared" si="70"/>
        <v>5.8235477777777787</v>
      </c>
      <c r="BD86" s="209"/>
      <c r="BE86" s="140">
        <f t="shared" si="63"/>
        <v>1021.9542300000001</v>
      </c>
      <c r="BF86" s="141">
        <f t="shared" si="64"/>
        <v>0.99433384540540537</v>
      </c>
      <c r="BG86" s="142" t="b">
        <f t="shared" si="51"/>
        <v>0</v>
      </c>
      <c r="BH86" s="148"/>
      <c r="BI86" s="188" t="s">
        <v>538</v>
      </c>
      <c r="BJ86" s="189"/>
      <c r="BK86" t="str">
        <f>VLOOKUP(J86,'Tarieven ZM'!$B$7:$I$146,8,0)</f>
        <v>kan alleen met bonding</v>
      </c>
      <c r="BL86" s="179" t="str">
        <f>INDEX(Mapping!$M:$M,MATCH($J86,Mapping!$B:$B,0))</f>
        <v>nvt</v>
      </c>
      <c r="BM86" s="282">
        <v>0</v>
      </c>
      <c r="BN86" s="262">
        <f>BM86/INDEX(Parameters!$B:$B,MATCH("AfschrijftermijnVVE"&amp;12*$C86,Parameters!$A:$A,0))</f>
        <v>0</v>
      </c>
      <c r="BO86" s="262">
        <f>Parameters!$D$59+INDEX('inkoop ULL tbv Epacity'!I:I,MATCH($BL86,'inkoop ULL tbv Epacity'!H:H,0))</f>
        <v>1</v>
      </c>
      <c r="BP86" s="263">
        <f t="shared" si="43"/>
        <v>1</v>
      </c>
      <c r="BQ86" s="203"/>
      <c r="BR86" s="262">
        <f>Parameters!$B$12*AG86</f>
        <v>102.77777777777779</v>
      </c>
      <c r="BS86" s="262">
        <f>SUM(Distributievergoedingen!$F$12,Distributievergoedingen!$I$12,Distributievergoedingen!$L$12,Distributievergoedingen!$O$12)*AF86+SUM(Distributievergoedingen!$O$12*AA86+Distributievergoedingen!$R$12+Distributievergoedingen!$U$12+Distributievergoedingen!$X$12)/(MAX(36,12*L86))</f>
        <v>112.77777777777777</v>
      </c>
      <c r="BT86" s="202"/>
      <c r="BU86" s="202">
        <f t="shared" si="52"/>
        <v>215.55555555555554</v>
      </c>
      <c r="BW86" s="151">
        <f t="shared" si="53"/>
        <v>216.55555555555554</v>
      </c>
      <c r="BY86" s="140">
        <f t="shared" si="54"/>
        <v>811.22222222222229</v>
      </c>
      <c r="BZ86" s="141">
        <f t="shared" si="55"/>
        <v>0.78929729729729736</v>
      </c>
      <c r="CA86" s="142" t="b">
        <f t="shared" si="56"/>
        <v>0</v>
      </c>
    </row>
    <row r="87" spans="1:79">
      <c r="A87" s="160" t="str">
        <f t="shared" si="44"/>
        <v>2VDSLPremiumnationaal128/128</v>
      </c>
      <c r="B87" s="142" t="str">
        <f t="shared" si="65"/>
        <v>2VDSL128/128Premium</v>
      </c>
      <c r="C87" s="198">
        <v>2</v>
      </c>
      <c r="D87" s="198" t="s">
        <v>77</v>
      </c>
      <c r="E87" s="198" t="s">
        <v>70</v>
      </c>
      <c r="F87" s="198" t="s">
        <v>115</v>
      </c>
      <c r="G87" s="199" t="s">
        <v>113</v>
      </c>
      <c r="H87" s="198" t="s">
        <v>43</v>
      </c>
      <c r="J87" s="142" t="str">
        <f t="shared" si="45"/>
        <v>VDSL128/128Premium</v>
      </c>
      <c r="L87" s="160">
        <f>INDEX(Mapping!$J:$J,MATCH(C$3&amp;C87,Mapping!$B:$B,0))</f>
        <v>1</v>
      </c>
      <c r="M87" s="148" t="str">
        <f>INDEX(Mapping!$H:$H,MATCH($E87,Mapping!$B:$B,0))</f>
        <v>WBA ZM Ethernet</v>
      </c>
      <c r="N87" s="148" t="str">
        <f>INDEX(Mapping!$I:$I,MATCH($E87&amp;$G87,Mapping!$B:$B,0))</f>
        <v>premium</v>
      </c>
      <c r="O87" s="148" t="str">
        <f>INDEX(Mapping!$I:$I,MATCH($D87,Mapping!$B:$B,0))</f>
        <v>VDSL</v>
      </c>
      <c r="P87" s="148" t="str">
        <f>INDEX(Mapping!$H:$H,MATCH($F87,Mapping!$B:$B,0))</f>
        <v>nvt</v>
      </c>
      <c r="Q87" s="148" t="str">
        <f>INDEX(Mapping!$J:$J,MATCH($E87&amp;$G87,Mapping!$B:$B,0))</f>
        <v>metro</v>
      </c>
      <c r="R87" s="148" t="str">
        <f>INDEX(Mapping!$I:$I,MATCH($J87,Mapping!$B:$B,0))</f>
        <v>&lt;=256 kbps/&lt;=256 kbps</v>
      </c>
      <c r="T87" s="148" t="str">
        <f>INDEX(Mapping!$K:$K,MATCH($E87&amp;$G87,Mapping!$B:$B,0))</f>
        <v>metro-nationaal</v>
      </c>
      <c r="U87" s="142" t="str">
        <f t="shared" si="46"/>
        <v>WBA ZM Ethernet&lt;=256 kbps/&lt;=256 kbpspremiummetro</v>
      </c>
      <c r="W87" s="160">
        <f>MATCH($J87,'Tarieven ZM'!$B:$B,0)</f>
        <v>39</v>
      </c>
      <c r="X87" s="148">
        <f>INDEX('Tarieven ZM'!$H:$H,$W87)</f>
        <v>1000</v>
      </c>
      <c r="Y87" s="161">
        <f>-INDEX(Parameters!$B:$B,MATCH(Y$3,Parameters!$A:$A,0))*$X87</f>
        <v>0</v>
      </c>
      <c r="Z87" s="149">
        <f>-INDEX(Parameters!$B:$B,MATCH(Z$3,Parameters!$A:$A,0))*$X87</f>
        <v>0</v>
      </c>
      <c r="AA87" s="148">
        <f t="shared" si="47"/>
        <v>1000</v>
      </c>
      <c r="AB87" s="148">
        <f>AA87/INDEX(Parameters!$B:$B,MATCH("AfschrijftermijnVVE"&amp;12*$C87,Parameters!$A:$A,0))</f>
        <v>27.777777777777779</v>
      </c>
      <c r="AC87" s="148">
        <f>INDEX('Tarieven ZM'!$G:$G,$W87)</f>
        <v>1000</v>
      </c>
      <c r="AD87" s="161">
        <f>-INDEX(Parameters!$B:$B,MATCH(AD$3,Parameters!$A:$A,0))*$AC87</f>
        <v>0</v>
      </c>
      <c r="AE87" s="161">
        <f>-INDEX(Parameters!$B:$B,MATCH(AE$3,Parameters!$A:$A,0))*$AC87</f>
        <v>0</v>
      </c>
      <c r="AF87" s="148">
        <f t="shared" si="48"/>
        <v>1000</v>
      </c>
      <c r="AG87" s="151">
        <f t="shared" si="66"/>
        <v>1027.7777777777778</v>
      </c>
      <c r="AH87" s="123"/>
      <c r="AI87" s="147">
        <f>IF(R87&lt;&gt;"n.a.",MATCH($U87,'Tarieven W&amp;O'!$B:$B,0),"nvt")</f>
        <v>137</v>
      </c>
      <c r="AJ87" s="148">
        <f>IF(AI87&lt;&gt;"nvt",INDEX('Tarieven W&amp;O'!$H:$H,$AI87),0)</f>
        <v>0</v>
      </c>
      <c r="AK87" s="148">
        <f>IF(AI87&lt;&gt;"nvt",INDEX('Tarieven W&amp;O'!$I:$I,$AI87),0)</f>
        <v>5</v>
      </c>
      <c r="AL87" s="277">
        <f>IF(AI87&lt;&gt;"nvt",-INDEX(Parameters!$B:$B,MATCH(AL$3&amp;$M87,Parameters!$A:$A,0))*(AJ87+AK87),0)</f>
        <v>0</v>
      </c>
      <c r="AM87" s="442"/>
      <c r="AN87" s="262">
        <f t="shared" si="49"/>
        <v>5</v>
      </c>
      <c r="AO87" s="262">
        <f>AN87/INDEX(Parameters!$B:$B,MATCH("AfschrijftermijnVVE"&amp;12*$C87,Parameters!$A:$A,0))</f>
        <v>0.1388888888888889</v>
      </c>
      <c r="AP87" s="179">
        <f t="shared" si="50"/>
        <v>137</v>
      </c>
      <c r="AQ87" s="202">
        <f>IF(AP87&lt;&gt;"nvt",INDEX('Tarieven W&amp;O'!$G:$G,$AP87),0)</f>
        <v>7.41</v>
      </c>
      <c r="AR87" s="277">
        <f>-INDEX(Parameters!$B:$B,MATCH(AR$3&amp;$M87&amp;O87,Parameters!$A:$A,0))*(AQ87)</f>
        <v>0</v>
      </c>
      <c r="AS87" s="262">
        <f>Parameters!$D$54</f>
        <v>2</v>
      </c>
      <c r="AT87" s="442">
        <f>IF(M87="WBA CM Ethernet",0,'EDC Minus'!$H$27)</f>
        <v>1</v>
      </c>
      <c r="AU87" s="150">
        <f t="shared" si="67"/>
        <v>10.41</v>
      </c>
      <c r="AV87" s="150">
        <f t="shared" si="68"/>
        <v>10.548888888888889</v>
      </c>
      <c r="AW87" s="150"/>
      <c r="AX87" s="150">
        <f>Parameters!$B$6*AV87</f>
        <v>0.1054888888888889</v>
      </c>
      <c r="AY87" s="202">
        <v>0</v>
      </c>
      <c r="AZ87" s="202"/>
      <c r="BA87" s="150">
        <f t="shared" si="69"/>
        <v>0.1054888888888889</v>
      </c>
      <c r="BB87" s="150"/>
      <c r="BC87" s="151">
        <f t="shared" si="70"/>
        <v>10.654377777777778</v>
      </c>
      <c r="BD87" s="209"/>
      <c r="BE87" s="140">
        <f t="shared" si="63"/>
        <v>1017.1234000000001</v>
      </c>
      <c r="BF87" s="141">
        <f t="shared" si="64"/>
        <v>0.9896335783783784</v>
      </c>
      <c r="BG87" s="142" t="b">
        <f t="shared" si="51"/>
        <v>0</v>
      </c>
      <c r="BH87" s="148"/>
      <c r="BI87" s="188" t="s">
        <v>538</v>
      </c>
      <c r="BJ87" s="189"/>
      <c r="BK87">
        <f>VLOOKUP(J87,'Tarieven ZM'!$B$7:$I$146,8,0)</f>
        <v>0</v>
      </c>
      <c r="BL87" s="179" t="str">
        <f>INDEX(Mapping!$M:$M,MATCH($J87,Mapping!$B:$B,0))</f>
        <v>nvt</v>
      </c>
      <c r="BM87" s="282">
        <v>0</v>
      </c>
      <c r="BN87" s="262">
        <f>BM87/INDEX(Parameters!$B:$B,MATCH("AfschrijftermijnVVE"&amp;12*$C87,Parameters!$A:$A,0))</f>
        <v>0</v>
      </c>
      <c r="BO87" s="262">
        <f>Parameters!$D$59+INDEX('inkoop ULL tbv Epacity'!I:I,MATCH($BL87,'inkoop ULL tbv Epacity'!H:H,0))</f>
        <v>1</v>
      </c>
      <c r="BP87" s="263">
        <f t="shared" si="43"/>
        <v>1</v>
      </c>
      <c r="BQ87" s="203"/>
      <c r="BR87" s="262">
        <f>Parameters!$B$12*AG87</f>
        <v>102.77777777777779</v>
      </c>
      <c r="BS87" s="262">
        <f>SUM(Distributievergoedingen!$F$12,Distributievergoedingen!$I$12,Distributievergoedingen!$L$12,Distributievergoedingen!$O$12)*AF87+SUM(Distributievergoedingen!$O$12*AA87+Distributievergoedingen!$R$12+Distributievergoedingen!$U$12+Distributievergoedingen!$X$12)/(MAX(36,12*L87))</f>
        <v>112.77777777777777</v>
      </c>
      <c r="BT87" s="202"/>
      <c r="BU87" s="202">
        <f t="shared" si="52"/>
        <v>215.55555555555554</v>
      </c>
      <c r="BW87" s="151">
        <f t="shared" si="53"/>
        <v>216.55555555555554</v>
      </c>
      <c r="BY87" s="140">
        <f t="shared" si="54"/>
        <v>811.22222222222229</v>
      </c>
      <c r="BZ87" s="141">
        <f t="shared" si="55"/>
        <v>0.78929729729729736</v>
      </c>
      <c r="CA87" s="142" t="b">
        <f t="shared" si="56"/>
        <v>0</v>
      </c>
    </row>
    <row r="88" spans="1:79">
      <c r="A88" s="160" t="str">
        <f t="shared" si="44"/>
        <v>2VDSLPremiumnationaal256/256</v>
      </c>
      <c r="B88" s="142" t="str">
        <f t="shared" si="65"/>
        <v>2VDSL256/256Premium</v>
      </c>
      <c r="C88" s="198">
        <v>2</v>
      </c>
      <c r="D88" s="198" t="s">
        <v>77</v>
      </c>
      <c r="E88" s="198" t="s">
        <v>70</v>
      </c>
      <c r="F88" s="198" t="s">
        <v>115</v>
      </c>
      <c r="G88" s="199" t="s">
        <v>113</v>
      </c>
      <c r="H88" s="198" t="s">
        <v>48</v>
      </c>
      <c r="J88" s="142" t="str">
        <f t="shared" si="45"/>
        <v>VDSL256/256Premium</v>
      </c>
      <c r="L88" s="160">
        <f>INDEX(Mapping!$J:$J,MATCH(C$3&amp;C88,Mapping!$B:$B,0))</f>
        <v>1</v>
      </c>
      <c r="M88" s="148" t="str">
        <f>INDEX(Mapping!$H:$H,MATCH($E88,Mapping!$B:$B,0))</f>
        <v>WBA ZM Ethernet</v>
      </c>
      <c r="N88" s="148" t="str">
        <f>INDEX(Mapping!$I:$I,MATCH($E88&amp;$G88,Mapping!$B:$B,0))</f>
        <v>premium</v>
      </c>
      <c r="O88" s="148" t="str">
        <f>INDEX(Mapping!$I:$I,MATCH($D88,Mapping!$B:$B,0))</f>
        <v>VDSL</v>
      </c>
      <c r="P88" s="148" t="str">
        <f>INDEX(Mapping!$H:$H,MATCH($F88,Mapping!$B:$B,0))</f>
        <v>nvt</v>
      </c>
      <c r="Q88" s="148" t="str">
        <f>INDEX(Mapping!$J:$J,MATCH($E88&amp;$G88,Mapping!$B:$B,0))</f>
        <v>metro</v>
      </c>
      <c r="R88" s="148" t="str">
        <f>INDEX(Mapping!$I:$I,MATCH($J88,Mapping!$B:$B,0))</f>
        <v>&lt;=256 kbps/&lt;=256 kbps</v>
      </c>
      <c r="T88" s="148" t="str">
        <f>INDEX(Mapping!$K:$K,MATCH($E88&amp;$G88,Mapping!$B:$B,0))</f>
        <v>metro-nationaal</v>
      </c>
      <c r="U88" s="142" t="str">
        <f t="shared" si="46"/>
        <v>WBA ZM Ethernet&lt;=256 kbps/&lt;=256 kbpspremiummetro</v>
      </c>
      <c r="W88" s="160">
        <f>MATCH($J88,'Tarieven ZM'!$B:$B,0)</f>
        <v>40</v>
      </c>
      <c r="X88" s="148">
        <f>INDEX('Tarieven ZM'!$H:$H,$W88)</f>
        <v>1000</v>
      </c>
      <c r="Y88" s="161">
        <f>-INDEX(Parameters!$B:$B,MATCH(Y$3,Parameters!$A:$A,0))*$X88</f>
        <v>0</v>
      </c>
      <c r="Z88" s="149">
        <f>-INDEX(Parameters!$B:$B,MATCH(Z$3,Parameters!$A:$A,0))*$X88</f>
        <v>0</v>
      </c>
      <c r="AA88" s="148">
        <f t="shared" si="47"/>
        <v>1000</v>
      </c>
      <c r="AB88" s="148">
        <f>AA88/INDEX(Parameters!$B:$B,MATCH("AfschrijftermijnVVE"&amp;12*$C88,Parameters!$A:$A,0))</f>
        <v>27.777777777777779</v>
      </c>
      <c r="AC88" s="148">
        <f>INDEX('Tarieven ZM'!$G:$G,$W88)</f>
        <v>1000</v>
      </c>
      <c r="AD88" s="161">
        <f>-INDEX(Parameters!$B:$B,MATCH(AD$3,Parameters!$A:$A,0))*$AC88</f>
        <v>0</v>
      </c>
      <c r="AE88" s="161">
        <f>-INDEX(Parameters!$B:$B,MATCH(AE$3,Parameters!$A:$A,0))*$AC88</f>
        <v>0</v>
      </c>
      <c r="AF88" s="148">
        <f t="shared" si="48"/>
        <v>1000</v>
      </c>
      <c r="AG88" s="151">
        <f t="shared" si="66"/>
        <v>1027.7777777777778</v>
      </c>
      <c r="AH88" s="123"/>
      <c r="AI88" s="147">
        <f>IF(R88&lt;&gt;"n.a.",MATCH($U88,'Tarieven W&amp;O'!$B:$B,0),"nvt")</f>
        <v>137</v>
      </c>
      <c r="AJ88" s="148">
        <f>IF(AI88&lt;&gt;"nvt",INDEX('Tarieven W&amp;O'!$H:$H,$AI88),0)</f>
        <v>0</v>
      </c>
      <c r="AK88" s="148">
        <f>IF(AI88&lt;&gt;"nvt",INDEX('Tarieven W&amp;O'!$I:$I,$AI88),0)</f>
        <v>5</v>
      </c>
      <c r="AL88" s="277">
        <f>IF(AI88&lt;&gt;"nvt",-INDEX(Parameters!$B:$B,MATCH(AL$3&amp;$M88,Parameters!$A:$A,0))*(AJ88+AK88),0)</f>
        <v>0</v>
      </c>
      <c r="AM88" s="442"/>
      <c r="AN88" s="262">
        <f t="shared" si="49"/>
        <v>5</v>
      </c>
      <c r="AO88" s="262">
        <f>AN88/INDEX(Parameters!$B:$B,MATCH("AfschrijftermijnVVE"&amp;12*$C88,Parameters!$A:$A,0))</f>
        <v>0.1388888888888889</v>
      </c>
      <c r="AP88" s="179">
        <f t="shared" si="50"/>
        <v>137</v>
      </c>
      <c r="AQ88" s="202">
        <f>IF(AP88&lt;&gt;"nvt",INDEX('Tarieven W&amp;O'!$G:$G,$AP88),0)</f>
        <v>7.41</v>
      </c>
      <c r="AR88" s="277">
        <f>-INDEX(Parameters!$B:$B,MATCH(AR$3&amp;$M88&amp;O88,Parameters!$A:$A,0))*(AQ88)</f>
        <v>0</v>
      </c>
      <c r="AS88" s="262">
        <f>Parameters!$D$54</f>
        <v>2</v>
      </c>
      <c r="AT88" s="442">
        <f>IF(M88="WBA CM Ethernet",0,'EDC Minus'!$H$27)</f>
        <v>1</v>
      </c>
      <c r="AU88" s="150">
        <f t="shared" si="67"/>
        <v>10.41</v>
      </c>
      <c r="AV88" s="150">
        <f t="shared" si="68"/>
        <v>10.548888888888889</v>
      </c>
      <c r="AW88" s="150"/>
      <c r="AX88" s="150">
        <f>Parameters!$B$6*AV88</f>
        <v>0.1054888888888889</v>
      </c>
      <c r="AY88" s="202">
        <v>0</v>
      </c>
      <c r="AZ88" s="202"/>
      <c r="BA88" s="150">
        <f t="shared" si="69"/>
        <v>0.1054888888888889</v>
      </c>
      <c r="BB88" s="150"/>
      <c r="BC88" s="151">
        <f t="shared" si="70"/>
        <v>10.654377777777778</v>
      </c>
      <c r="BD88" s="209"/>
      <c r="BE88" s="140">
        <f t="shared" si="63"/>
        <v>1017.1234000000001</v>
      </c>
      <c r="BF88" s="141">
        <f t="shared" si="64"/>
        <v>0.9896335783783784</v>
      </c>
      <c r="BG88" s="142" t="b">
        <f t="shared" si="51"/>
        <v>0</v>
      </c>
      <c r="BH88" s="148"/>
      <c r="BI88" s="188" t="s">
        <v>538</v>
      </c>
      <c r="BJ88" s="189"/>
      <c r="BK88">
        <f>VLOOKUP(J88,'Tarieven ZM'!$B$7:$I$146,8,0)</f>
        <v>0</v>
      </c>
      <c r="BL88" s="179" t="str">
        <f>INDEX(Mapping!$M:$M,MATCH($J88,Mapping!$B:$B,0))</f>
        <v>nvt</v>
      </c>
      <c r="BM88" s="282">
        <v>0</v>
      </c>
      <c r="BN88" s="262">
        <f>BM88/INDEX(Parameters!$B:$B,MATCH("AfschrijftermijnVVE"&amp;12*$C88,Parameters!$A:$A,0))</f>
        <v>0</v>
      </c>
      <c r="BO88" s="262">
        <f>Parameters!$D$59+INDEX('inkoop ULL tbv Epacity'!I:I,MATCH($BL88,'inkoop ULL tbv Epacity'!H:H,0))</f>
        <v>1</v>
      </c>
      <c r="BP88" s="263">
        <f t="shared" si="43"/>
        <v>1</v>
      </c>
      <c r="BQ88" s="203"/>
      <c r="BR88" s="262">
        <f>Parameters!$B$12*AG88</f>
        <v>102.77777777777779</v>
      </c>
      <c r="BS88" s="262">
        <f>SUM(Distributievergoedingen!$F$12,Distributievergoedingen!$I$12,Distributievergoedingen!$L$12,Distributievergoedingen!$O$12)*AF88+SUM(Distributievergoedingen!$O$12*AA88+Distributievergoedingen!$R$12+Distributievergoedingen!$U$12+Distributievergoedingen!$X$12)/(MAX(36,12*L88))</f>
        <v>112.77777777777777</v>
      </c>
      <c r="BT88" s="202"/>
      <c r="BU88" s="202">
        <f t="shared" si="52"/>
        <v>215.55555555555554</v>
      </c>
      <c r="BW88" s="151">
        <f t="shared" si="53"/>
        <v>216.55555555555554</v>
      </c>
      <c r="BY88" s="140">
        <f t="shared" si="54"/>
        <v>811.22222222222229</v>
      </c>
      <c r="BZ88" s="141">
        <f t="shared" si="55"/>
        <v>0.78929729729729736</v>
      </c>
      <c r="CA88" s="142" t="b">
        <f t="shared" si="56"/>
        <v>0</v>
      </c>
    </row>
    <row r="89" spans="1:79">
      <c r="A89" s="160" t="str">
        <f t="shared" si="44"/>
        <v>2VDSLPremiumnationaal448/448</v>
      </c>
      <c r="B89" s="142" t="str">
        <f t="shared" si="65"/>
        <v>2VDSL448/448Premium</v>
      </c>
      <c r="C89" s="198">
        <v>2</v>
      </c>
      <c r="D89" s="198" t="s">
        <v>77</v>
      </c>
      <c r="E89" s="198" t="s">
        <v>70</v>
      </c>
      <c r="F89" s="198" t="s">
        <v>115</v>
      </c>
      <c r="G89" s="199" t="s">
        <v>113</v>
      </c>
      <c r="H89" s="198" t="s">
        <v>79</v>
      </c>
      <c r="J89" s="142" t="str">
        <f t="shared" si="45"/>
        <v>VDSL448/448Premium</v>
      </c>
      <c r="L89" s="160">
        <f>INDEX(Mapping!$J:$J,MATCH(C$3&amp;C89,Mapping!$B:$B,0))</f>
        <v>1</v>
      </c>
      <c r="M89" s="148" t="str">
        <f>INDEX(Mapping!$H:$H,MATCH($E89,Mapping!$B:$B,0))</f>
        <v>WBA ZM Ethernet</v>
      </c>
      <c r="N89" s="148" t="str">
        <f>INDEX(Mapping!$I:$I,MATCH($E89&amp;$G89,Mapping!$B:$B,0))</f>
        <v>premium</v>
      </c>
      <c r="O89" s="148" t="str">
        <f>INDEX(Mapping!$I:$I,MATCH($D89,Mapping!$B:$B,0))</f>
        <v>VDSL</v>
      </c>
      <c r="P89" s="148" t="str">
        <f>INDEX(Mapping!$H:$H,MATCH($F89,Mapping!$B:$B,0))</f>
        <v>nvt</v>
      </c>
      <c r="Q89" s="148" t="str">
        <f>INDEX(Mapping!$J:$J,MATCH($E89&amp;$G89,Mapping!$B:$B,0))</f>
        <v>metro</v>
      </c>
      <c r="R89" s="148" t="str">
        <f>INDEX(Mapping!$I:$I,MATCH($J89,Mapping!$B:$B,0))</f>
        <v>1 Mbps/1 Mbps</v>
      </c>
      <c r="T89" s="148" t="str">
        <f>INDEX(Mapping!$K:$K,MATCH($E89&amp;$G89,Mapping!$B:$B,0))</f>
        <v>metro-nationaal</v>
      </c>
      <c r="U89" s="142" t="str">
        <f t="shared" si="46"/>
        <v>WBA ZM Ethernet1 Mbps/1 Mbpspremiummetro</v>
      </c>
      <c r="W89" s="160">
        <f>MATCH($J89,'Tarieven ZM'!$B:$B,0)</f>
        <v>41</v>
      </c>
      <c r="X89" s="148">
        <f>INDEX('Tarieven ZM'!$H:$H,$W89)</f>
        <v>1000</v>
      </c>
      <c r="Y89" s="161">
        <f>-INDEX(Parameters!$B:$B,MATCH(Y$3,Parameters!$A:$A,0))*$X89</f>
        <v>0</v>
      </c>
      <c r="Z89" s="149">
        <f>-INDEX(Parameters!$B:$B,MATCH(Z$3,Parameters!$A:$A,0))*$X89</f>
        <v>0</v>
      </c>
      <c r="AA89" s="148">
        <f t="shared" si="47"/>
        <v>1000</v>
      </c>
      <c r="AB89" s="148">
        <f>AA89/INDEX(Parameters!$B:$B,MATCH("AfschrijftermijnVVE"&amp;12*$C89,Parameters!$A:$A,0))</f>
        <v>27.777777777777779</v>
      </c>
      <c r="AC89" s="148">
        <f>INDEX('Tarieven ZM'!$G:$G,$W89)</f>
        <v>1000</v>
      </c>
      <c r="AD89" s="161">
        <f>-INDEX(Parameters!$B:$B,MATCH(AD$3,Parameters!$A:$A,0))*$AC89</f>
        <v>0</v>
      </c>
      <c r="AE89" s="161">
        <f>-INDEX(Parameters!$B:$B,MATCH(AE$3,Parameters!$A:$A,0))*$AC89</f>
        <v>0</v>
      </c>
      <c r="AF89" s="148">
        <f t="shared" si="48"/>
        <v>1000</v>
      </c>
      <c r="AG89" s="151">
        <f t="shared" si="66"/>
        <v>1027.7777777777778</v>
      </c>
      <c r="AH89" s="123"/>
      <c r="AI89" s="147">
        <f>IF(R89&lt;&gt;"n.a.",MATCH($U89,'Tarieven W&amp;O'!$B:$B,0),"nvt")</f>
        <v>138</v>
      </c>
      <c r="AJ89" s="148">
        <f>IF(AI89&lt;&gt;"nvt",INDEX('Tarieven W&amp;O'!$H:$H,$AI89),0)</f>
        <v>0</v>
      </c>
      <c r="AK89" s="148">
        <f>IF(AI89&lt;&gt;"nvt",INDEX('Tarieven W&amp;O'!$I:$I,$AI89),0)</f>
        <v>5</v>
      </c>
      <c r="AL89" s="277">
        <f>IF(AI89&lt;&gt;"nvt",-INDEX(Parameters!$B:$B,MATCH(AL$3&amp;$M89,Parameters!$A:$A,0))*(AJ89+AK89),0)</f>
        <v>0</v>
      </c>
      <c r="AM89" s="442"/>
      <c r="AN89" s="262">
        <f t="shared" si="49"/>
        <v>5</v>
      </c>
      <c r="AO89" s="262">
        <f>AN89/INDEX(Parameters!$B:$B,MATCH("AfschrijftermijnVVE"&amp;12*$C89,Parameters!$A:$A,0))</f>
        <v>0.1388888888888889</v>
      </c>
      <c r="AP89" s="179">
        <f t="shared" si="50"/>
        <v>138</v>
      </c>
      <c r="AQ89" s="202">
        <f>IF(AP89&lt;&gt;"nvt",INDEX('Tarieven W&amp;O'!$G:$G,$AP89),0)</f>
        <v>7.41</v>
      </c>
      <c r="AR89" s="277">
        <f>-INDEX(Parameters!$B:$B,MATCH(AR$3&amp;$M89&amp;O89,Parameters!$A:$A,0))*(AQ89)</f>
        <v>0</v>
      </c>
      <c r="AS89" s="262">
        <f>Parameters!$D$54</f>
        <v>2</v>
      </c>
      <c r="AT89" s="442">
        <f>IF(M89="WBA CM Ethernet",0,'EDC Minus'!$H$27)</f>
        <v>1</v>
      </c>
      <c r="AU89" s="150">
        <f t="shared" si="67"/>
        <v>10.41</v>
      </c>
      <c r="AV89" s="150">
        <f t="shared" si="68"/>
        <v>10.548888888888889</v>
      </c>
      <c r="AW89" s="150"/>
      <c r="AX89" s="150">
        <f>Parameters!$B$6*AV89</f>
        <v>0.1054888888888889</v>
      </c>
      <c r="AY89" s="202">
        <v>0</v>
      </c>
      <c r="AZ89" s="202"/>
      <c r="BA89" s="150">
        <f t="shared" si="69"/>
        <v>0.1054888888888889</v>
      </c>
      <c r="BB89" s="150"/>
      <c r="BC89" s="151">
        <f t="shared" si="70"/>
        <v>10.654377777777778</v>
      </c>
      <c r="BD89" s="209"/>
      <c r="BE89" s="140">
        <f t="shared" si="63"/>
        <v>1017.1234000000001</v>
      </c>
      <c r="BF89" s="141">
        <f t="shared" si="64"/>
        <v>0.9896335783783784</v>
      </c>
      <c r="BG89" s="142" t="b">
        <f t="shared" si="51"/>
        <v>0</v>
      </c>
      <c r="BH89" s="148"/>
      <c r="BI89" s="188" t="s">
        <v>538</v>
      </c>
      <c r="BJ89" s="189"/>
      <c r="BK89">
        <f>VLOOKUP(J89,'Tarieven ZM'!$B$7:$I$146,8,0)</f>
        <v>0</v>
      </c>
      <c r="BL89" s="179" t="str">
        <f>INDEX(Mapping!$M:$M,MATCH($J89,Mapping!$B:$B,0))</f>
        <v>nvt</v>
      </c>
      <c r="BM89" s="282">
        <v>0</v>
      </c>
      <c r="BN89" s="262">
        <f>BM89/INDEX(Parameters!$B:$B,MATCH("AfschrijftermijnVVE"&amp;12*$C89,Parameters!$A:$A,0))</f>
        <v>0</v>
      </c>
      <c r="BO89" s="262">
        <f>Parameters!$D$59+INDEX('inkoop ULL tbv Epacity'!I:I,MATCH($BL89,'inkoop ULL tbv Epacity'!H:H,0))</f>
        <v>1</v>
      </c>
      <c r="BP89" s="263">
        <f t="shared" si="43"/>
        <v>1</v>
      </c>
      <c r="BQ89" s="203"/>
      <c r="BR89" s="262">
        <f>Parameters!$B$12*AG89</f>
        <v>102.77777777777779</v>
      </c>
      <c r="BS89" s="262">
        <f>SUM(Distributievergoedingen!$F$12,Distributievergoedingen!$I$12,Distributievergoedingen!$L$12,Distributievergoedingen!$O$12)*AF89+SUM(Distributievergoedingen!$O$12*AA89+Distributievergoedingen!$R$12+Distributievergoedingen!$U$12+Distributievergoedingen!$X$12)/(MAX(36,12*L89))</f>
        <v>112.77777777777777</v>
      </c>
      <c r="BT89" s="202"/>
      <c r="BU89" s="202">
        <f t="shared" si="52"/>
        <v>215.55555555555554</v>
      </c>
      <c r="BW89" s="151">
        <f t="shared" si="53"/>
        <v>216.55555555555554</v>
      </c>
      <c r="BY89" s="140">
        <f t="shared" si="54"/>
        <v>811.22222222222229</v>
      </c>
      <c r="BZ89" s="141">
        <f t="shared" si="55"/>
        <v>0.78929729729729736</v>
      </c>
      <c r="CA89" s="142" t="b">
        <f t="shared" si="56"/>
        <v>0</v>
      </c>
    </row>
    <row r="90" spans="1:79">
      <c r="A90" s="160" t="str">
        <f t="shared" si="44"/>
        <v>2VDSLPremiumnationaal640/640</v>
      </c>
      <c r="B90" s="142" t="str">
        <f t="shared" si="65"/>
        <v>2VDSL640/640Premium</v>
      </c>
      <c r="C90" s="198">
        <v>2</v>
      </c>
      <c r="D90" s="198" t="s">
        <v>77</v>
      </c>
      <c r="E90" s="198" t="s">
        <v>70</v>
      </c>
      <c r="F90" s="198" t="s">
        <v>115</v>
      </c>
      <c r="G90" s="199" t="s">
        <v>113</v>
      </c>
      <c r="H90" s="198" t="s">
        <v>80</v>
      </c>
      <c r="J90" s="142" t="str">
        <f t="shared" si="45"/>
        <v>VDSL640/640Premium</v>
      </c>
      <c r="L90" s="160">
        <f>INDEX(Mapping!$J:$J,MATCH(C$3&amp;C90,Mapping!$B:$B,0))</f>
        <v>1</v>
      </c>
      <c r="M90" s="148" t="str">
        <f>INDEX(Mapping!$H:$H,MATCH($E90,Mapping!$B:$B,0))</f>
        <v>WBA ZM Ethernet</v>
      </c>
      <c r="N90" s="148" t="str">
        <f>INDEX(Mapping!$I:$I,MATCH($E90&amp;$G90,Mapping!$B:$B,0))</f>
        <v>premium</v>
      </c>
      <c r="O90" s="148" t="str">
        <f>INDEX(Mapping!$I:$I,MATCH($D90,Mapping!$B:$B,0))</f>
        <v>VDSL</v>
      </c>
      <c r="P90" s="148" t="str">
        <f>INDEX(Mapping!$H:$H,MATCH($F90,Mapping!$B:$B,0))</f>
        <v>nvt</v>
      </c>
      <c r="Q90" s="148" t="str">
        <f>INDEX(Mapping!$J:$J,MATCH($E90&amp;$G90,Mapping!$B:$B,0))</f>
        <v>metro</v>
      </c>
      <c r="R90" s="148" t="str">
        <f>INDEX(Mapping!$I:$I,MATCH($J90,Mapping!$B:$B,0))</f>
        <v>1 Mbps/1 Mbps</v>
      </c>
      <c r="T90" s="148" t="str">
        <f>INDEX(Mapping!$K:$K,MATCH($E90&amp;$G90,Mapping!$B:$B,0))</f>
        <v>metro-nationaal</v>
      </c>
      <c r="U90" s="142" t="str">
        <f t="shared" si="46"/>
        <v>WBA ZM Ethernet1 Mbps/1 Mbpspremiummetro</v>
      </c>
      <c r="W90" s="160">
        <f>MATCH($J90,'Tarieven ZM'!$B:$B,0)</f>
        <v>42</v>
      </c>
      <c r="X90" s="148">
        <f>INDEX('Tarieven ZM'!$H:$H,$W90)</f>
        <v>1000</v>
      </c>
      <c r="Y90" s="161">
        <f>-INDEX(Parameters!$B:$B,MATCH(Y$3,Parameters!$A:$A,0))*$X90</f>
        <v>0</v>
      </c>
      <c r="Z90" s="149">
        <f>-INDEX(Parameters!$B:$B,MATCH(Z$3,Parameters!$A:$A,0))*$X90</f>
        <v>0</v>
      </c>
      <c r="AA90" s="148">
        <f t="shared" si="47"/>
        <v>1000</v>
      </c>
      <c r="AB90" s="148">
        <f>AA90/INDEX(Parameters!$B:$B,MATCH("AfschrijftermijnVVE"&amp;12*$C90,Parameters!$A:$A,0))</f>
        <v>27.777777777777779</v>
      </c>
      <c r="AC90" s="148">
        <f>INDEX('Tarieven ZM'!$G:$G,$W90)</f>
        <v>1000</v>
      </c>
      <c r="AD90" s="161">
        <f>-INDEX(Parameters!$B:$B,MATCH(AD$3,Parameters!$A:$A,0))*$AC90</f>
        <v>0</v>
      </c>
      <c r="AE90" s="161">
        <f>-INDEX(Parameters!$B:$B,MATCH(AE$3,Parameters!$A:$A,0))*$AC90</f>
        <v>0</v>
      </c>
      <c r="AF90" s="148">
        <f t="shared" si="48"/>
        <v>1000</v>
      </c>
      <c r="AG90" s="151">
        <f t="shared" si="66"/>
        <v>1027.7777777777778</v>
      </c>
      <c r="AH90" s="123"/>
      <c r="AI90" s="147">
        <f>IF(R90&lt;&gt;"n.a.",MATCH($U90,'Tarieven W&amp;O'!$B:$B,0),"nvt")</f>
        <v>138</v>
      </c>
      <c r="AJ90" s="148">
        <f>IF(AI90&lt;&gt;"nvt",INDEX('Tarieven W&amp;O'!$H:$H,$AI90),0)</f>
        <v>0</v>
      </c>
      <c r="AK90" s="148">
        <f>IF(AI90&lt;&gt;"nvt",INDEX('Tarieven W&amp;O'!$I:$I,$AI90),0)</f>
        <v>5</v>
      </c>
      <c r="AL90" s="277">
        <f>IF(AI90&lt;&gt;"nvt",-INDEX(Parameters!$B:$B,MATCH(AL$3&amp;$M90,Parameters!$A:$A,0))*(AJ90+AK90),0)</f>
        <v>0</v>
      </c>
      <c r="AM90" s="442"/>
      <c r="AN90" s="262">
        <f t="shared" si="49"/>
        <v>5</v>
      </c>
      <c r="AO90" s="262">
        <f>AN90/INDEX(Parameters!$B:$B,MATCH("AfschrijftermijnVVE"&amp;12*$C90,Parameters!$A:$A,0))</f>
        <v>0.1388888888888889</v>
      </c>
      <c r="AP90" s="179">
        <f t="shared" si="50"/>
        <v>138</v>
      </c>
      <c r="AQ90" s="202">
        <f>IF(AP90&lt;&gt;"nvt",INDEX('Tarieven W&amp;O'!$G:$G,$AP90),0)</f>
        <v>7.41</v>
      </c>
      <c r="AR90" s="277">
        <f>-INDEX(Parameters!$B:$B,MATCH(AR$3&amp;$M90&amp;O90,Parameters!$A:$A,0))*(AQ90)</f>
        <v>0</v>
      </c>
      <c r="AS90" s="262">
        <f>Parameters!$D$54</f>
        <v>2</v>
      </c>
      <c r="AT90" s="442">
        <f>IF(M90="WBA CM Ethernet",0,'EDC Minus'!$H$27)</f>
        <v>1</v>
      </c>
      <c r="AU90" s="150">
        <f t="shared" si="67"/>
        <v>10.41</v>
      </c>
      <c r="AV90" s="150">
        <f t="shared" si="68"/>
        <v>10.548888888888889</v>
      </c>
      <c r="AW90" s="150"/>
      <c r="AX90" s="150">
        <f>Parameters!$B$6*AV90</f>
        <v>0.1054888888888889</v>
      </c>
      <c r="AY90" s="202">
        <v>0</v>
      </c>
      <c r="AZ90" s="202"/>
      <c r="BA90" s="150">
        <f t="shared" si="69"/>
        <v>0.1054888888888889</v>
      </c>
      <c r="BB90" s="150"/>
      <c r="BC90" s="151">
        <f t="shared" si="70"/>
        <v>10.654377777777778</v>
      </c>
      <c r="BD90" s="209"/>
      <c r="BE90" s="140">
        <f t="shared" si="63"/>
        <v>1017.1234000000001</v>
      </c>
      <c r="BF90" s="141">
        <f t="shared" si="64"/>
        <v>0.9896335783783784</v>
      </c>
      <c r="BG90" s="142" t="b">
        <f t="shared" si="51"/>
        <v>0</v>
      </c>
      <c r="BH90" s="148"/>
      <c r="BI90" s="188" t="s">
        <v>538</v>
      </c>
      <c r="BJ90" s="189"/>
      <c r="BK90">
        <f>VLOOKUP(J90,'Tarieven ZM'!$B$7:$I$146,8,0)</f>
        <v>0</v>
      </c>
      <c r="BL90" s="179" t="str">
        <f>INDEX(Mapping!$M:$M,MATCH($J90,Mapping!$B:$B,0))</f>
        <v>nvt</v>
      </c>
      <c r="BM90" s="282">
        <v>0</v>
      </c>
      <c r="BN90" s="262">
        <f>BM90/INDEX(Parameters!$B:$B,MATCH("AfschrijftermijnVVE"&amp;12*$C90,Parameters!$A:$A,0))</f>
        <v>0</v>
      </c>
      <c r="BO90" s="262">
        <f>Parameters!$D$59+INDEX('inkoop ULL tbv Epacity'!I:I,MATCH($BL90,'inkoop ULL tbv Epacity'!H:H,0))</f>
        <v>1</v>
      </c>
      <c r="BP90" s="263">
        <f t="shared" si="43"/>
        <v>1</v>
      </c>
      <c r="BQ90" s="203"/>
      <c r="BR90" s="262">
        <f>Parameters!$B$12*AG90</f>
        <v>102.77777777777779</v>
      </c>
      <c r="BS90" s="262">
        <f>SUM(Distributievergoedingen!$F$12,Distributievergoedingen!$I$12,Distributievergoedingen!$L$12,Distributievergoedingen!$O$12)*AF90+SUM(Distributievergoedingen!$O$12*AA90+Distributievergoedingen!$R$12+Distributievergoedingen!$U$12+Distributievergoedingen!$X$12)/(MAX(36,12*L90))</f>
        <v>112.77777777777777</v>
      </c>
      <c r="BT90" s="202"/>
      <c r="BU90" s="202">
        <f t="shared" si="52"/>
        <v>215.55555555555554</v>
      </c>
      <c r="BW90" s="151">
        <f t="shared" si="53"/>
        <v>216.55555555555554</v>
      </c>
      <c r="BY90" s="140">
        <f t="shared" si="54"/>
        <v>811.22222222222229</v>
      </c>
      <c r="BZ90" s="141">
        <f t="shared" si="55"/>
        <v>0.78929729729729736</v>
      </c>
      <c r="CA90" s="142" t="b">
        <f t="shared" si="56"/>
        <v>0</v>
      </c>
    </row>
    <row r="91" spans="1:79">
      <c r="A91" s="160" t="str">
        <f t="shared" si="44"/>
        <v>2VDSLPremiumnationaal1024/1024</v>
      </c>
      <c r="B91" s="142" t="str">
        <f t="shared" si="65"/>
        <v>2VDSL1024/1024Premium</v>
      </c>
      <c r="C91" s="198">
        <v>2</v>
      </c>
      <c r="D91" s="198" t="s">
        <v>77</v>
      </c>
      <c r="E91" s="198" t="s">
        <v>70</v>
      </c>
      <c r="F91" s="198" t="s">
        <v>115</v>
      </c>
      <c r="G91" s="199" t="s">
        <v>113</v>
      </c>
      <c r="H91" s="198" t="s">
        <v>66</v>
      </c>
      <c r="J91" s="142" t="str">
        <f t="shared" si="45"/>
        <v>VDSL1024/1024Premium</v>
      </c>
      <c r="L91" s="160">
        <f>INDEX(Mapping!$J:$J,MATCH(C$3&amp;C91,Mapping!$B:$B,0))</f>
        <v>1</v>
      </c>
      <c r="M91" s="148" t="str">
        <f>INDEX(Mapping!$H:$H,MATCH($E91,Mapping!$B:$B,0))</f>
        <v>WBA ZM Ethernet</v>
      </c>
      <c r="N91" s="148" t="str">
        <f>INDEX(Mapping!$I:$I,MATCH($E91&amp;$G91,Mapping!$B:$B,0))</f>
        <v>premium</v>
      </c>
      <c r="O91" s="148" t="str">
        <f>INDEX(Mapping!$I:$I,MATCH($D91,Mapping!$B:$B,0))</f>
        <v>VDSL</v>
      </c>
      <c r="P91" s="148" t="str">
        <f>INDEX(Mapping!$H:$H,MATCH($F91,Mapping!$B:$B,0))</f>
        <v>nvt</v>
      </c>
      <c r="Q91" s="148" t="str">
        <f>INDEX(Mapping!$J:$J,MATCH($E91&amp;$G91,Mapping!$B:$B,0))</f>
        <v>metro</v>
      </c>
      <c r="R91" s="148" t="str">
        <f>INDEX(Mapping!$I:$I,MATCH($J91,Mapping!$B:$B,0))</f>
        <v>1 Mbps/1 Mbps</v>
      </c>
      <c r="T91" s="148" t="str">
        <f>INDEX(Mapping!$K:$K,MATCH($E91&amp;$G91,Mapping!$B:$B,0))</f>
        <v>metro-nationaal</v>
      </c>
      <c r="U91" s="142" t="str">
        <f t="shared" si="46"/>
        <v>WBA ZM Ethernet1 Mbps/1 Mbpspremiummetro</v>
      </c>
      <c r="W91" s="160">
        <f>MATCH($J91,'Tarieven ZM'!$B:$B,0)</f>
        <v>43</v>
      </c>
      <c r="X91" s="148">
        <f>INDEX('Tarieven ZM'!$H:$H,$W91)</f>
        <v>1000</v>
      </c>
      <c r="Y91" s="161">
        <f>-INDEX(Parameters!$B:$B,MATCH(Y$3,Parameters!$A:$A,0))*$X91</f>
        <v>0</v>
      </c>
      <c r="Z91" s="149">
        <f>-INDEX(Parameters!$B:$B,MATCH(Z$3,Parameters!$A:$A,0))*$X91</f>
        <v>0</v>
      </c>
      <c r="AA91" s="148">
        <f t="shared" si="47"/>
        <v>1000</v>
      </c>
      <c r="AB91" s="148">
        <f>AA91/INDEX(Parameters!$B:$B,MATCH("AfschrijftermijnVVE"&amp;12*$C91,Parameters!$A:$A,0))</f>
        <v>27.777777777777779</v>
      </c>
      <c r="AC91" s="148">
        <f>INDEX('Tarieven ZM'!$G:$G,$W91)</f>
        <v>1000</v>
      </c>
      <c r="AD91" s="161">
        <f>-INDEX(Parameters!$B:$B,MATCH(AD$3,Parameters!$A:$A,0))*$AC91</f>
        <v>0</v>
      </c>
      <c r="AE91" s="161">
        <f>-INDEX(Parameters!$B:$B,MATCH(AE$3,Parameters!$A:$A,0))*$AC91</f>
        <v>0</v>
      </c>
      <c r="AF91" s="148">
        <f t="shared" si="48"/>
        <v>1000</v>
      </c>
      <c r="AG91" s="151">
        <f t="shared" si="66"/>
        <v>1027.7777777777778</v>
      </c>
      <c r="AH91" s="123"/>
      <c r="AI91" s="147">
        <f>IF(R91&lt;&gt;"n.a.",MATCH($U91,'Tarieven W&amp;O'!$B:$B,0),"nvt")</f>
        <v>138</v>
      </c>
      <c r="AJ91" s="148">
        <f>IF(AI91&lt;&gt;"nvt",INDEX('Tarieven W&amp;O'!$H:$H,$AI91),0)</f>
        <v>0</v>
      </c>
      <c r="AK91" s="148">
        <f>IF(AI91&lt;&gt;"nvt",INDEX('Tarieven W&amp;O'!$I:$I,$AI91),0)</f>
        <v>5</v>
      </c>
      <c r="AL91" s="277">
        <f>IF(AI91&lt;&gt;"nvt",-INDEX(Parameters!$B:$B,MATCH(AL$3&amp;$M91,Parameters!$A:$A,0))*(AJ91+AK91),0)</f>
        <v>0</v>
      </c>
      <c r="AM91" s="442"/>
      <c r="AN91" s="262">
        <f t="shared" si="49"/>
        <v>5</v>
      </c>
      <c r="AO91" s="262">
        <f>AN91/INDEX(Parameters!$B:$B,MATCH("AfschrijftermijnVVE"&amp;12*$C91,Parameters!$A:$A,0))</f>
        <v>0.1388888888888889</v>
      </c>
      <c r="AP91" s="179">
        <f t="shared" si="50"/>
        <v>138</v>
      </c>
      <c r="AQ91" s="202">
        <f>IF(AP91&lt;&gt;"nvt",INDEX('Tarieven W&amp;O'!$G:$G,$AP91),0)</f>
        <v>7.41</v>
      </c>
      <c r="AR91" s="277">
        <f>-INDEX(Parameters!$B:$B,MATCH(AR$3&amp;$M91&amp;O91,Parameters!$A:$A,0))*(AQ91)</f>
        <v>0</v>
      </c>
      <c r="AS91" s="262">
        <f>Parameters!$D$54</f>
        <v>2</v>
      </c>
      <c r="AT91" s="442">
        <f>IF(M91="WBA CM Ethernet",0,'EDC Minus'!$H$27)</f>
        <v>1</v>
      </c>
      <c r="AU91" s="150">
        <f t="shared" si="67"/>
        <v>10.41</v>
      </c>
      <c r="AV91" s="150">
        <f t="shared" si="68"/>
        <v>10.548888888888889</v>
      </c>
      <c r="AW91" s="150"/>
      <c r="AX91" s="150">
        <f>Parameters!$B$6*AV91</f>
        <v>0.1054888888888889</v>
      </c>
      <c r="AY91" s="202">
        <v>0</v>
      </c>
      <c r="AZ91" s="202"/>
      <c r="BA91" s="150">
        <f t="shared" si="69"/>
        <v>0.1054888888888889</v>
      </c>
      <c r="BB91" s="150"/>
      <c r="BC91" s="151">
        <f t="shared" si="70"/>
        <v>10.654377777777778</v>
      </c>
      <c r="BD91" s="209"/>
      <c r="BE91" s="140">
        <f t="shared" si="63"/>
        <v>1017.1234000000001</v>
      </c>
      <c r="BF91" s="141">
        <f t="shared" si="64"/>
        <v>0.9896335783783784</v>
      </c>
      <c r="BG91" s="142" t="b">
        <f t="shared" si="51"/>
        <v>0</v>
      </c>
      <c r="BH91" s="148"/>
      <c r="BI91" s="188" t="s">
        <v>538</v>
      </c>
      <c r="BJ91" s="189"/>
      <c r="BK91">
        <f>VLOOKUP(J91,'Tarieven ZM'!$B$7:$I$146,8,0)</f>
        <v>0</v>
      </c>
      <c r="BL91" s="179" t="str">
        <f>INDEX(Mapping!$M:$M,MATCH($J91,Mapping!$B:$B,0))</f>
        <v>nvt</v>
      </c>
      <c r="BM91" s="282">
        <v>0</v>
      </c>
      <c r="BN91" s="262">
        <f>BM91/INDEX(Parameters!$B:$B,MATCH("AfschrijftermijnVVE"&amp;12*$C91,Parameters!$A:$A,0))</f>
        <v>0</v>
      </c>
      <c r="BO91" s="262">
        <f>Parameters!$D$59+INDEX('inkoop ULL tbv Epacity'!I:I,MATCH($BL91,'inkoop ULL tbv Epacity'!H:H,0))</f>
        <v>1</v>
      </c>
      <c r="BP91" s="263">
        <f t="shared" si="43"/>
        <v>1</v>
      </c>
      <c r="BQ91" s="203"/>
      <c r="BR91" s="262">
        <f>Parameters!$B$12*AG91</f>
        <v>102.77777777777779</v>
      </c>
      <c r="BS91" s="262">
        <f>SUM(Distributievergoedingen!$F$12,Distributievergoedingen!$I$12,Distributievergoedingen!$L$12,Distributievergoedingen!$O$12)*AF91+SUM(Distributievergoedingen!$O$12*AA91+Distributievergoedingen!$R$12+Distributievergoedingen!$U$12+Distributievergoedingen!$X$12)/(MAX(36,12*L91))</f>
        <v>112.77777777777777</v>
      </c>
      <c r="BT91" s="202"/>
      <c r="BU91" s="202">
        <f t="shared" si="52"/>
        <v>215.55555555555554</v>
      </c>
      <c r="BW91" s="151">
        <f t="shared" si="53"/>
        <v>216.55555555555554</v>
      </c>
      <c r="BY91" s="140">
        <f t="shared" si="54"/>
        <v>811.22222222222229</v>
      </c>
      <c r="BZ91" s="141">
        <f t="shared" si="55"/>
        <v>0.78929729729729736</v>
      </c>
      <c r="CA91" s="142" t="b">
        <f t="shared" si="56"/>
        <v>0</v>
      </c>
    </row>
    <row r="92" spans="1:79">
      <c r="A92" s="160" t="str">
        <f t="shared" si="44"/>
        <v>2VDSLPremiumnationaal2048/2048</v>
      </c>
      <c r="B92" s="142" t="str">
        <f t="shared" si="65"/>
        <v>2VDSL2048/2048Premium</v>
      </c>
      <c r="C92" s="198">
        <v>2</v>
      </c>
      <c r="D92" s="198" t="s">
        <v>77</v>
      </c>
      <c r="E92" s="198" t="s">
        <v>70</v>
      </c>
      <c r="F92" s="198" t="s">
        <v>115</v>
      </c>
      <c r="G92" s="199" t="s">
        <v>113</v>
      </c>
      <c r="H92" s="198" t="s">
        <v>68</v>
      </c>
      <c r="J92" s="142" t="str">
        <f t="shared" si="45"/>
        <v>VDSL2048/2048Premium</v>
      </c>
      <c r="L92" s="160">
        <f>INDEX(Mapping!$J:$J,MATCH(C$3&amp;C92,Mapping!$B:$B,0))</f>
        <v>1</v>
      </c>
      <c r="M92" s="148" t="str">
        <f>INDEX(Mapping!$H:$H,MATCH($E92,Mapping!$B:$B,0))</f>
        <v>WBA ZM Ethernet</v>
      </c>
      <c r="N92" s="148" t="str">
        <f>INDEX(Mapping!$I:$I,MATCH($E92&amp;$G92,Mapping!$B:$B,0))</f>
        <v>premium</v>
      </c>
      <c r="O92" s="148" t="str">
        <f>INDEX(Mapping!$I:$I,MATCH($D92,Mapping!$B:$B,0))</f>
        <v>VDSL</v>
      </c>
      <c r="P92" s="148" t="str">
        <f>INDEX(Mapping!$H:$H,MATCH($F92,Mapping!$B:$B,0))</f>
        <v>nvt</v>
      </c>
      <c r="Q92" s="148" t="str">
        <f>INDEX(Mapping!$J:$J,MATCH($E92&amp;$G92,Mapping!$B:$B,0))</f>
        <v>metro</v>
      </c>
      <c r="R92" s="148" t="str">
        <f>INDEX(Mapping!$I:$I,MATCH($J92,Mapping!$B:$B,0))</f>
        <v>2 Mbps/2 Mbps</v>
      </c>
      <c r="T92" s="148" t="str">
        <f>INDEX(Mapping!$K:$K,MATCH($E92&amp;$G92,Mapping!$B:$B,0))</f>
        <v>metro-nationaal</v>
      </c>
      <c r="U92" s="142" t="str">
        <f t="shared" si="46"/>
        <v>WBA ZM Ethernet2 Mbps/2 Mbpspremiummetro</v>
      </c>
      <c r="W92" s="160">
        <f>MATCH($J92,'Tarieven ZM'!$B:$B,0)</f>
        <v>44</v>
      </c>
      <c r="X92" s="148">
        <f>INDEX('Tarieven ZM'!$H:$H,$W92)</f>
        <v>1000</v>
      </c>
      <c r="Y92" s="161">
        <f>-INDEX(Parameters!$B:$B,MATCH(Y$3,Parameters!$A:$A,0))*$X92</f>
        <v>0</v>
      </c>
      <c r="Z92" s="149">
        <f>-INDEX(Parameters!$B:$B,MATCH(Z$3,Parameters!$A:$A,0))*$X92</f>
        <v>0</v>
      </c>
      <c r="AA92" s="148">
        <f t="shared" si="47"/>
        <v>1000</v>
      </c>
      <c r="AB92" s="148">
        <f>AA92/INDEX(Parameters!$B:$B,MATCH("AfschrijftermijnVVE"&amp;12*$C92,Parameters!$A:$A,0))</f>
        <v>27.777777777777779</v>
      </c>
      <c r="AC92" s="148">
        <f>INDEX('Tarieven ZM'!$G:$G,$W92)</f>
        <v>1000</v>
      </c>
      <c r="AD92" s="161">
        <f>-INDEX(Parameters!$B:$B,MATCH(AD$3,Parameters!$A:$A,0))*$AC92</f>
        <v>0</v>
      </c>
      <c r="AE92" s="161">
        <f>-INDEX(Parameters!$B:$B,MATCH(AE$3,Parameters!$A:$A,0))*$AC92</f>
        <v>0</v>
      </c>
      <c r="AF92" s="148">
        <f t="shared" si="48"/>
        <v>1000</v>
      </c>
      <c r="AG92" s="151">
        <f t="shared" si="66"/>
        <v>1027.7777777777778</v>
      </c>
      <c r="AH92" s="123"/>
      <c r="AI92" s="147">
        <f>IF(R92&lt;&gt;"n.a.",MATCH($U92,'Tarieven W&amp;O'!$B:$B,0),"nvt")</f>
        <v>139</v>
      </c>
      <c r="AJ92" s="148">
        <f>IF(AI92&lt;&gt;"nvt",INDEX('Tarieven W&amp;O'!$H:$H,$AI92),0)</f>
        <v>0</v>
      </c>
      <c r="AK92" s="148">
        <f>IF(AI92&lt;&gt;"nvt",INDEX('Tarieven W&amp;O'!$I:$I,$AI92),0)</f>
        <v>5</v>
      </c>
      <c r="AL92" s="277">
        <f>IF(AI92&lt;&gt;"nvt",-INDEX(Parameters!$B:$B,MATCH(AL$3&amp;$M92,Parameters!$A:$A,0))*(AJ92+AK92),0)</f>
        <v>0</v>
      </c>
      <c r="AM92" s="442"/>
      <c r="AN92" s="262">
        <f t="shared" si="49"/>
        <v>5</v>
      </c>
      <c r="AO92" s="262">
        <f>AN92/INDEX(Parameters!$B:$B,MATCH("AfschrijftermijnVVE"&amp;12*$C92,Parameters!$A:$A,0))</f>
        <v>0.1388888888888889</v>
      </c>
      <c r="AP92" s="179">
        <f t="shared" si="50"/>
        <v>139</v>
      </c>
      <c r="AQ92" s="202">
        <f>IF(AP92&lt;&gt;"nvt",INDEX('Tarieven W&amp;O'!$G:$G,$AP92),0)</f>
        <v>14.82</v>
      </c>
      <c r="AR92" s="277">
        <f>-INDEX(Parameters!$B:$B,MATCH(AR$3&amp;$M92&amp;O92,Parameters!$A:$A,0))*(AQ92)</f>
        <v>0</v>
      </c>
      <c r="AS92" s="262">
        <f>Parameters!$D$54</f>
        <v>2</v>
      </c>
      <c r="AT92" s="442">
        <f>IF(M92="WBA CM Ethernet",0,'EDC Minus'!$H$27)</f>
        <v>1</v>
      </c>
      <c r="AU92" s="150">
        <f t="shared" si="67"/>
        <v>17.82</v>
      </c>
      <c r="AV92" s="150">
        <f t="shared" si="68"/>
        <v>17.95888888888889</v>
      </c>
      <c r="AW92" s="150"/>
      <c r="AX92" s="150">
        <f>Parameters!$B$6*AV92</f>
        <v>0.17958888888888891</v>
      </c>
      <c r="AY92" s="202">
        <v>0</v>
      </c>
      <c r="AZ92" s="202"/>
      <c r="BA92" s="150">
        <f t="shared" si="69"/>
        <v>0.17958888888888891</v>
      </c>
      <c r="BB92" s="150"/>
      <c r="BC92" s="151">
        <f t="shared" si="70"/>
        <v>18.13847777777778</v>
      </c>
      <c r="BD92" s="209"/>
      <c r="BE92" s="140">
        <f t="shared" si="63"/>
        <v>1009.6393</v>
      </c>
      <c r="BF92" s="141">
        <f t="shared" si="64"/>
        <v>0.98235175135135133</v>
      </c>
      <c r="BG92" s="142" t="b">
        <f t="shared" si="51"/>
        <v>0</v>
      </c>
      <c r="BH92" s="148"/>
      <c r="BI92" s="188" t="s">
        <v>538</v>
      </c>
      <c r="BJ92" s="189"/>
      <c r="BK92">
        <f>VLOOKUP(J92,'Tarieven ZM'!$B$7:$I$146,8,0)</f>
        <v>0</v>
      </c>
      <c r="BL92" s="179" t="str">
        <f>INDEX(Mapping!$M:$M,MATCH($J92,Mapping!$B:$B,0))</f>
        <v>nvt</v>
      </c>
      <c r="BM92" s="282">
        <v>0</v>
      </c>
      <c r="BN92" s="262">
        <f>BM92/INDEX(Parameters!$B:$B,MATCH("AfschrijftermijnVVE"&amp;12*$C92,Parameters!$A:$A,0))</f>
        <v>0</v>
      </c>
      <c r="BO92" s="262">
        <f>Parameters!$D$59+INDEX('inkoop ULL tbv Epacity'!I:I,MATCH($BL92,'inkoop ULL tbv Epacity'!H:H,0))</f>
        <v>1</v>
      </c>
      <c r="BP92" s="263">
        <f t="shared" si="43"/>
        <v>1</v>
      </c>
      <c r="BQ92" s="203"/>
      <c r="BR92" s="262">
        <f>Parameters!$B$12*AG92</f>
        <v>102.77777777777779</v>
      </c>
      <c r="BS92" s="262">
        <f>SUM(Distributievergoedingen!$F$12,Distributievergoedingen!$I$12,Distributievergoedingen!$L$12,Distributievergoedingen!$O$12)*AF92+SUM(Distributievergoedingen!$O$12*AA92+Distributievergoedingen!$R$12+Distributievergoedingen!$U$12+Distributievergoedingen!$X$12)/(MAX(36,12*L92))</f>
        <v>112.77777777777777</v>
      </c>
      <c r="BT92" s="202"/>
      <c r="BU92" s="202">
        <f t="shared" si="52"/>
        <v>215.55555555555554</v>
      </c>
      <c r="BW92" s="151">
        <f t="shared" si="53"/>
        <v>216.55555555555554</v>
      </c>
      <c r="BY92" s="140">
        <f t="shared" si="54"/>
        <v>811.22222222222229</v>
      </c>
      <c r="BZ92" s="141">
        <f t="shared" si="55"/>
        <v>0.78929729729729736</v>
      </c>
      <c r="CA92" s="142" t="b">
        <f t="shared" si="56"/>
        <v>0</v>
      </c>
    </row>
    <row r="93" spans="1:79">
      <c r="A93" s="160" t="str">
        <f t="shared" si="44"/>
        <v>2VDSLPremiumnationaal3072/3072</v>
      </c>
      <c r="B93" s="142" t="str">
        <f t="shared" si="65"/>
        <v>2VDSL3072/3072Premium</v>
      </c>
      <c r="C93" s="198">
        <v>2</v>
      </c>
      <c r="D93" s="198" t="s">
        <v>77</v>
      </c>
      <c r="E93" s="198" t="s">
        <v>70</v>
      </c>
      <c r="F93" s="198" t="s">
        <v>115</v>
      </c>
      <c r="G93" s="199" t="s">
        <v>113</v>
      </c>
      <c r="H93" s="198" t="s">
        <v>82</v>
      </c>
      <c r="J93" s="142" t="str">
        <f t="shared" si="45"/>
        <v>VDSL3072/3072Premium</v>
      </c>
      <c r="L93" s="160">
        <f>INDEX(Mapping!$J:$J,MATCH(C$3&amp;C93,Mapping!$B:$B,0))</f>
        <v>1</v>
      </c>
      <c r="M93" s="148" t="str">
        <f>INDEX(Mapping!$H:$H,MATCH($E93,Mapping!$B:$B,0))</f>
        <v>WBA ZM Ethernet</v>
      </c>
      <c r="N93" s="148" t="str">
        <f>INDEX(Mapping!$I:$I,MATCH($E93&amp;$G93,Mapping!$B:$B,0))</f>
        <v>premium</v>
      </c>
      <c r="O93" s="148" t="str">
        <f>INDEX(Mapping!$I:$I,MATCH($D93,Mapping!$B:$B,0))</f>
        <v>VDSL</v>
      </c>
      <c r="P93" s="148" t="str">
        <f>INDEX(Mapping!$H:$H,MATCH($F93,Mapping!$B:$B,0))</f>
        <v>nvt</v>
      </c>
      <c r="Q93" s="148" t="str">
        <f>INDEX(Mapping!$J:$J,MATCH($E93&amp;$G93,Mapping!$B:$B,0))</f>
        <v>metro</v>
      </c>
      <c r="R93" s="148" t="str">
        <f>INDEX(Mapping!$I:$I,MATCH($J93,Mapping!$B:$B,0))</f>
        <v>5 Mbps/5 Mbps</v>
      </c>
      <c r="T93" s="148" t="str">
        <f>INDEX(Mapping!$K:$K,MATCH($E93&amp;$G93,Mapping!$B:$B,0))</f>
        <v>metro-nationaal</v>
      </c>
      <c r="U93" s="142" t="str">
        <f t="shared" si="46"/>
        <v>WBA ZM Ethernet5 Mbps/5 Mbpspremiummetro</v>
      </c>
      <c r="W93" s="160">
        <f>MATCH($J93,'Tarieven ZM'!$B:$B,0)</f>
        <v>45</v>
      </c>
      <c r="X93" s="148">
        <f>INDEX('Tarieven ZM'!$H:$H,$W93)</f>
        <v>1000</v>
      </c>
      <c r="Y93" s="161">
        <f>-INDEX(Parameters!$B:$B,MATCH(Y$3,Parameters!$A:$A,0))*$X93</f>
        <v>0</v>
      </c>
      <c r="Z93" s="149">
        <f>-INDEX(Parameters!$B:$B,MATCH(Z$3,Parameters!$A:$A,0))*$X93</f>
        <v>0</v>
      </c>
      <c r="AA93" s="148">
        <f t="shared" si="47"/>
        <v>1000</v>
      </c>
      <c r="AB93" s="148">
        <f>AA93/INDEX(Parameters!$B:$B,MATCH("AfschrijftermijnVVE"&amp;12*$C93,Parameters!$A:$A,0))</f>
        <v>27.777777777777779</v>
      </c>
      <c r="AC93" s="148">
        <f>INDEX('Tarieven ZM'!$G:$G,$W93)</f>
        <v>1000</v>
      </c>
      <c r="AD93" s="161">
        <f>-INDEX(Parameters!$B:$B,MATCH(AD$3,Parameters!$A:$A,0))*$AC93</f>
        <v>0</v>
      </c>
      <c r="AE93" s="161">
        <f>-INDEX(Parameters!$B:$B,MATCH(AE$3,Parameters!$A:$A,0))*$AC93</f>
        <v>0</v>
      </c>
      <c r="AF93" s="148">
        <f t="shared" si="48"/>
        <v>1000</v>
      </c>
      <c r="AG93" s="151">
        <f t="shared" si="66"/>
        <v>1027.7777777777778</v>
      </c>
      <c r="AH93" s="123"/>
      <c r="AI93" s="147">
        <f>IF(R93&lt;&gt;"n.a.",MATCH($U93,'Tarieven W&amp;O'!$B:$B,0),"nvt")</f>
        <v>140</v>
      </c>
      <c r="AJ93" s="148">
        <f>IF(AI93&lt;&gt;"nvt",INDEX('Tarieven W&amp;O'!$H:$H,$AI93),0)</f>
        <v>0</v>
      </c>
      <c r="AK93" s="148">
        <f>IF(AI93&lt;&gt;"nvt",INDEX('Tarieven W&amp;O'!$I:$I,$AI93),0)</f>
        <v>5</v>
      </c>
      <c r="AL93" s="277">
        <f>IF(AI93&lt;&gt;"nvt",-INDEX(Parameters!$B:$B,MATCH(AL$3&amp;$M93,Parameters!$A:$A,0))*(AJ93+AK93),0)</f>
        <v>0</v>
      </c>
      <c r="AM93" s="442"/>
      <c r="AN93" s="262">
        <f t="shared" si="49"/>
        <v>5</v>
      </c>
      <c r="AO93" s="262">
        <f>AN93/INDEX(Parameters!$B:$B,MATCH("AfschrijftermijnVVE"&amp;12*$C93,Parameters!$A:$A,0))</f>
        <v>0.1388888888888889</v>
      </c>
      <c r="AP93" s="179">
        <f t="shared" si="50"/>
        <v>140</v>
      </c>
      <c r="AQ93" s="202">
        <f>IF(AP93&lt;&gt;"nvt",INDEX('Tarieven W&amp;O'!$G:$G,$AP93),0)</f>
        <v>18.53</v>
      </c>
      <c r="AR93" s="277">
        <f>-INDEX(Parameters!$B:$B,MATCH(AR$3&amp;$M93&amp;O93,Parameters!$A:$A,0))*(AQ93)</f>
        <v>0</v>
      </c>
      <c r="AS93" s="262">
        <f>Parameters!$D$54</f>
        <v>2</v>
      </c>
      <c r="AT93" s="442">
        <f>IF(M93="WBA CM Ethernet",0,'EDC Minus'!$H$27)</f>
        <v>1</v>
      </c>
      <c r="AU93" s="150">
        <f t="shared" si="67"/>
        <v>21.53</v>
      </c>
      <c r="AV93" s="150">
        <f t="shared" si="68"/>
        <v>21.66888888888889</v>
      </c>
      <c r="AW93" s="150"/>
      <c r="AX93" s="150">
        <f>Parameters!$B$6*AV93</f>
        <v>0.2166888888888889</v>
      </c>
      <c r="AY93" s="202">
        <v>0</v>
      </c>
      <c r="AZ93" s="202"/>
      <c r="BA93" s="150">
        <f t="shared" si="69"/>
        <v>0.2166888888888889</v>
      </c>
      <c r="BB93" s="150"/>
      <c r="BC93" s="151">
        <f t="shared" si="70"/>
        <v>21.88557777777778</v>
      </c>
      <c r="BD93" s="209"/>
      <c r="BE93" s="140">
        <f t="shared" si="63"/>
        <v>1005.8922</v>
      </c>
      <c r="BF93" s="141">
        <f t="shared" si="64"/>
        <v>0.97870592432432424</v>
      </c>
      <c r="BG93" s="142" t="b">
        <f t="shared" si="51"/>
        <v>0</v>
      </c>
      <c r="BH93" s="148"/>
      <c r="BI93" s="188" t="s">
        <v>538</v>
      </c>
      <c r="BJ93" s="189"/>
      <c r="BK93">
        <f>VLOOKUP(J93,'Tarieven ZM'!$B$7:$I$146,8,0)</f>
        <v>0</v>
      </c>
      <c r="BL93" s="179" t="str">
        <f>INDEX(Mapping!$M:$M,MATCH($J93,Mapping!$B:$B,0))</f>
        <v>Premium &gt; 2/2Mbps</v>
      </c>
      <c r="BM93" s="282">
        <v>0</v>
      </c>
      <c r="BN93" s="262">
        <f>BM93/INDEX(Parameters!$B:$B,MATCH("AfschrijftermijnVVE"&amp;12*$C93,Parameters!$A:$A,0))</f>
        <v>0</v>
      </c>
      <c r="BO93" s="262">
        <f>Parameters!$D$59+INDEX('inkoop ULL tbv Epacity'!I:I,MATCH($BL93,'inkoop ULL tbv Epacity'!H:H,0))</f>
        <v>17.02</v>
      </c>
      <c r="BP93" s="263">
        <f t="shared" si="43"/>
        <v>17.02</v>
      </c>
      <c r="BQ93" s="203"/>
      <c r="BR93" s="262">
        <f>Parameters!$B$12*AG93</f>
        <v>102.77777777777779</v>
      </c>
      <c r="BS93" s="262">
        <f>SUM(Distributievergoedingen!$F$12,Distributievergoedingen!$I$12,Distributievergoedingen!$L$12,Distributievergoedingen!$O$12)*AF93+SUM(Distributievergoedingen!$O$12*AA93+Distributievergoedingen!$R$12+Distributievergoedingen!$U$12+Distributievergoedingen!$X$12)/(MAX(36,12*L93))</f>
        <v>112.77777777777777</v>
      </c>
      <c r="BT93" s="202"/>
      <c r="BU93" s="202">
        <f t="shared" si="52"/>
        <v>215.55555555555554</v>
      </c>
      <c r="BW93" s="151">
        <f t="shared" si="53"/>
        <v>232.57555555555555</v>
      </c>
      <c r="BY93" s="140">
        <f t="shared" si="54"/>
        <v>795.2022222222223</v>
      </c>
      <c r="BZ93" s="141">
        <f t="shared" si="55"/>
        <v>0.77371027027027028</v>
      </c>
      <c r="CA93" s="142" t="b">
        <f t="shared" si="56"/>
        <v>0</v>
      </c>
    </row>
    <row r="94" spans="1:79">
      <c r="A94" s="160" t="str">
        <f t="shared" si="44"/>
        <v>2VDSLPremiumnationaal4096/1024</v>
      </c>
      <c r="B94" s="142" t="str">
        <f t="shared" si="65"/>
        <v>2VDSL4096/1024Premium</v>
      </c>
      <c r="C94" s="198">
        <v>2</v>
      </c>
      <c r="D94" s="198" t="s">
        <v>77</v>
      </c>
      <c r="E94" s="198" t="s">
        <v>70</v>
      </c>
      <c r="F94" s="198" t="s">
        <v>115</v>
      </c>
      <c r="G94" s="199" t="s">
        <v>113</v>
      </c>
      <c r="H94" s="198" t="s">
        <v>57</v>
      </c>
      <c r="J94" s="142" t="str">
        <f t="shared" si="45"/>
        <v>VDSL4096/1024Premium</v>
      </c>
      <c r="L94" s="160">
        <f>INDEX(Mapping!$J:$J,MATCH(C$3&amp;C94,Mapping!$B:$B,0))</f>
        <v>1</v>
      </c>
      <c r="M94" s="148" t="str">
        <f>INDEX(Mapping!$H:$H,MATCH($E94,Mapping!$B:$B,0))</f>
        <v>WBA ZM Ethernet</v>
      </c>
      <c r="N94" s="148" t="str">
        <f>INDEX(Mapping!$I:$I,MATCH($E94&amp;$G94,Mapping!$B:$B,0))</f>
        <v>premium</v>
      </c>
      <c r="O94" s="148" t="str">
        <f>INDEX(Mapping!$I:$I,MATCH($D94,Mapping!$B:$B,0))</f>
        <v>VDSL</v>
      </c>
      <c r="P94" s="148" t="str">
        <f>INDEX(Mapping!$H:$H,MATCH($F94,Mapping!$B:$B,0))</f>
        <v>nvt</v>
      </c>
      <c r="Q94" s="148" t="str">
        <f>INDEX(Mapping!$J:$J,MATCH($E94&amp;$G94,Mapping!$B:$B,0))</f>
        <v>metro</v>
      </c>
      <c r="R94" s="148" t="str">
        <f>INDEX(Mapping!$I:$I,MATCH($J94,Mapping!$B:$B,0))</f>
        <v>5 Mbps/1 Mbps</v>
      </c>
      <c r="T94" s="148" t="str">
        <f>INDEX(Mapping!$K:$K,MATCH($E94&amp;$G94,Mapping!$B:$B,0))</f>
        <v>metro-nationaal</v>
      </c>
      <c r="U94" s="142" t="str">
        <f t="shared" si="46"/>
        <v>WBA ZM Ethernet5 Mbps/1 Mbpspremiummetro</v>
      </c>
      <c r="W94" s="160">
        <f>MATCH($J94,'Tarieven ZM'!$B:$B,0)</f>
        <v>46</v>
      </c>
      <c r="X94" s="148">
        <f>INDEX('Tarieven ZM'!$H:$H,$W94)</f>
        <v>1000</v>
      </c>
      <c r="Y94" s="161">
        <f>-INDEX(Parameters!$B:$B,MATCH(Y$3,Parameters!$A:$A,0))*$X94</f>
        <v>0</v>
      </c>
      <c r="Z94" s="149">
        <f>-INDEX(Parameters!$B:$B,MATCH(Z$3,Parameters!$A:$A,0))*$X94</f>
        <v>0</v>
      </c>
      <c r="AA94" s="148">
        <f t="shared" si="47"/>
        <v>1000</v>
      </c>
      <c r="AB94" s="148">
        <f>AA94/INDEX(Parameters!$B:$B,MATCH("AfschrijftermijnVVE"&amp;12*$C94,Parameters!$A:$A,0))</f>
        <v>27.777777777777779</v>
      </c>
      <c r="AC94" s="148">
        <f>INDEX('Tarieven ZM'!$G:$G,$W94)</f>
        <v>1000</v>
      </c>
      <c r="AD94" s="161">
        <f>-INDEX(Parameters!$B:$B,MATCH(AD$3,Parameters!$A:$A,0))*$AC94</f>
        <v>0</v>
      </c>
      <c r="AE94" s="161">
        <f>-INDEX(Parameters!$B:$B,MATCH(AE$3,Parameters!$A:$A,0))*$AC94</f>
        <v>0</v>
      </c>
      <c r="AF94" s="148">
        <f t="shared" si="48"/>
        <v>1000</v>
      </c>
      <c r="AG94" s="151">
        <f t="shared" si="66"/>
        <v>1027.7777777777778</v>
      </c>
      <c r="AH94" s="123"/>
      <c r="AI94" s="147">
        <f>IF(R94&lt;&gt;"n.a.",MATCH($U94,'Tarieven W&amp;O'!$B:$B,0),"nvt")</f>
        <v>144</v>
      </c>
      <c r="AJ94" s="148">
        <f>IF(AI94&lt;&gt;"nvt",INDEX('Tarieven W&amp;O'!$H:$H,$AI94),0)</f>
        <v>0</v>
      </c>
      <c r="AK94" s="148">
        <f>IF(AI94&lt;&gt;"nvt",INDEX('Tarieven W&amp;O'!$I:$I,$AI94),0)</f>
        <v>5</v>
      </c>
      <c r="AL94" s="277">
        <f>IF(AI94&lt;&gt;"nvt",-INDEX(Parameters!$B:$B,MATCH(AL$3&amp;$M94,Parameters!$A:$A,0))*(AJ94+AK94),0)</f>
        <v>0</v>
      </c>
      <c r="AM94" s="442"/>
      <c r="AN94" s="262">
        <f t="shared" si="49"/>
        <v>5</v>
      </c>
      <c r="AO94" s="262">
        <f>AN94/INDEX(Parameters!$B:$B,MATCH("AfschrijftermijnVVE"&amp;12*$C94,Parameters!$A:$A,0))</f>
        <v>0.1388888888888889</v>
      </c>
      <c r="AP94" s="179">
        <f t="shared" si="50"/>
        <v>144</v>
      </c>
      <c r="AQ94" s="202">
        <f>IF(AP94&lt;&gt;"nvt",INDEX('Tarieven W&amp;O'!$G:$G,$AP94),0)</f>
        <v>17.29</v>
      </c>
      <c r="AR94" s="277">
        <f>-INDEX(Parameters!$B:$B,MATCH(AR$3&amp;$M94&amp;O94,Parameters!$A:$A,0))*(AQ94)</f>
        <v>0</v>
      </c>
      <c r="AS94" s="262">
        <f>Parameters!$D$54</f>
        <v>2</v>
      </c>
      <c r="AT94" s="442">
        <f>IF(M94="WBA CM Ethernet",0,'EDC Minus'!$H$27)</f>
        <v>1</v>
      </c>
      <c r="AU94" s="150">
        <f t="shared" si="67"/>
        <v>20.29</v>
      </c>
      <c r="AV94" s="150">
        <f t="shared" si="68"/>
        <v>20.428888888888888</v>
      </c>
      <c r="AW94" s="150"/>
      <c r="AX94" s="150">
        <f>Parameters!$B$6*AV94</f>
        <v>0.20428888888888888</v>
      </c>
      <c r="AY94" s="202">
        <v>0</v>
      </c>
      <c r="AZ94" s="202"/>
      <c r="BA94" s="150">
        <f t="shared" si="69"/>
        <v>0.20428888888888888</v>
      </c>
      <c r="BB94" s="150"/>
      <c r="BC94" s="151">
        <f t="shared" si="70"/>
        <v>20.633177777777778</v>
      </c>
      <c r="BD94" s="209"/>
      <c r="BE94" s="140">
        <f t="shared" si="63"/>
        <v>1007.1446000000001</v>
      </c>
      <c r="BF94" s="141">
        <f t="shared" si="64"/>
        <v>0.97992447567567575</v>
      </c>
      <c r="BG94" s="142" t="b">
        <f t="shared" si="51"/>
        <v>0</v>
      </c>
      <c r="BH94" s="148"/>
      <c r="BI94" s="188" t="s">
        <v>538</v>
      </c>
      <c r="BJ94" s="189"/>
      <c r="BK94">
        <f>VLOOKUP(J94,'Tarieven ZM'!$B$7:$I$146,8,0)</f>
        <v>0</v>
      </c>
      <c r="BL94" s="179" t="str">
        <f>INDEX(Mapping!$M:$M,MATCH($J94,Mapping!$B:$B,0))</f>
        <v>Premium &gt; 2/2Mbps</v>
      </c>
      <c r="BM94" s="282">
        <v>0</v>
      </c>
      <c r="BN94" s="262">
        <f>BM94/INDEX(Parameters!$B:$B,MATCH("AfschrijftermijnVVE"&amp;12*$C94,Parameters!$A:$A,0))</f>
        <v>0</v>
      </c>
      <c r="BO94" s="262">
        <f>Parameters!$D$59+INDEX('inkoop ULL tbv Epacity'!I:I,MATCH($BL94,'inkoop ULL tbv Epacity'!H:H,0))</f>
        <v>17.02</v>
      </c>
      <c r="BP94" s="263">
        <f t="shared" si="43"/>
        <v>17.02</v>
      </c>
      <c r="BQ94" s="203"/>
      <c r="BR94" s="262">
        <f>Parameters!$B$12*AG94</f>
        <v>102.77777777777779</v>
      </c>
      <c r="BS94" s="262">
        <f>SUM(Distributievergoedingen!$F$12,Distributievergoedingen!$I$12,Distributievergoedingen!$L$12,Distributievergoedingen!$O$12)*AF94+SUM(Distributievergoedingen!$O$12*AA94+Distributievergoedingen!$R$12+Distributievergoedingen!$U$12+Distributievergoedingen!$X$12)/(MAX(36,12*L94))</f>
        <v>112.77777777777777</v>
      </c>
      <c r="BT94" s="202"/>
      <c r="BU94" s="202">
        <f t="shared" si="52"/>
        <v>215.55555555555554</v>
      </c>
      <c r="BW94" s="151">
        <f t="shared" si="53"/>
        <v>232.57555555555555</v>
      </c>
      <c r="BY94" s="140">
        <f t="shared" si="54"/>
        <v>795.2022222222223</v>
      </c>
      <c r="BZ94" s="141">
        <f t="shared" si="55"/>
        <v>0.77371027027027028</v>
      </c>
      <c r="CA94" s="142" t="b">
        <f t="shared" si="56"/>
        <v>0</v>
      </c>
    </row>
    <row r="95" spans="1:79">
      <c r="A95" s="160" t="str">
        <f t="shared" si="44"/>
        <v>2VDSLPremiumnationaal4096/4096</v>
      </c>
      <c r="B95" s="142" t="str">
        <f t="shared" si="65"/>
        <v>2VDSL4096/4096Premium</v>
      </c>
      <c r="C95" s="198">
        <v>2</v>
      </c>
      <c r="D95" s="198" t="s">
        <v>77</v>
      </c>
      <c r="E95" s="198" t="s">
        <v>70</v>
      </c>
      <c r="F95" s="198" t="s">
        <v>115</v>
      </c>
      <c r="G95" s="199" t="s">
        <v>113</v>
      </c>
      <c r="H95" s="198" t="s">
        <v>83</v>
      </c>
      <c r="J95" s="142" t="str">
        <f t="shared" si="45"/>
        <v>VDSL4096/4096Premium</v>
      </c>
      <c r="L95" s="160">
        <f>INDEX(Mapping!$J:$J,MATCH(C$3&amp;C95,Mapping!$B:$B,0))</f>
        <v>1</v>
      </c>
      <c r="M95" s="148" t="str">
        <f>INDEX(Mapping!$H:$H,MATCH($E95,Mapping!$B:$B,0))</f>
        <v>WBA ZM Ethernet</v>
      </c>
      <c r="N95" s="148" t="str">
        <f>INDEX(Mapping!$I:$I,MATCH($E95&amp;$G95,Mapping!$B:$B,0))</f>
        <v>premium</v>
      </c>
      <c r="O95" s="148" t="str">
        <f>INDEX(Mapping!$I:$I,MATCH($D95,Mapping!$B:$B,0))</f>
        <v>VDSL</v>
      </c>
      <c r="P95" s="148" t="str">
        <f>INDEX(Mapping!$H:$H,MATCH($F95,Mapping!$B:$B,0))</f>
        <v>nvt</v>
      </c>
      <c r="Q95" s="148" t="str">
        <f>INDEX(Mapping!$J:$J,MATCH($E95&amp;$G95,Mapping!$B:$B,0))</f>
        <v>metro</v>
      </c>
      <c r="R95" s="148" t="str">
        <f>INDEX(Mapping!$I:$I,MATCH($J95,Mapping!$B:$B,0))</f>
        <v>5 Mbps/5 Mbps</v>
      </c>
      <c r="T95" s="148" t="str">
        <f>INDEX(Mapping!$K:$K,MATCH($E95&amp;$G95,Mapping!$B:$B,0))</f>
        <v>metro-nationaal</v>
      </c>
      <c r="U95" s="142" t="str">
        <f t="shared" si="46"/>
        <v>WBA ZM Ethernet5 Mbps/5 Mbpspremiummetro</v>
      </c>
      <c r="W95" s="160">
        <f>MATCH($J95,'Tarieven ZM'!$B:$B,0)</f>
        <v>47</v>
      </c>
      <c r="X95" s="148">
        <f>INDEX('Tarieven ZM'!$H:$H,$W95)</f>
        <v>1000</v>
      </c>
      <c r="Y95" s="161">
        <f>-INDEX(Parameters!$B:$B,MATCH(Y$3,Parameters!$A:$A,0))*$X95</f>
        <v>0</v>
      </c>
      <c r="Z95" s="149">
        <f>-INDEX(Parameters!$B:$B,MATCH(Z$3,Parameters!$A:$A,0))*$X95</f>
        <v>0</v>
      </c>
      <c r="AA95" s="148">
        <f t="shared" si="47"/>
        <v>1000</v>
      </c>
      <c r="AB95" s="148">
        <f>AA95/INDEX(Parameters!$B:$B,MATCH("AfschrijftermijnVVE"&amp;12*$C95,Parameters!$A:$A,0))</f>
        <v>27.777777777777779</v>
      </c>
      <c r="AC95" s="148">
        <f>INDEX('Tarieven ZM'!$G:$G,$W95)</f>
        <v>1000</v>
      </c>
      <c r="AD95" s="161">
        <f>-INDEX(Parameters!$B:$B,MATCH(AD$3,Parameters!$A:$A,0))*$AC95</f>
        <v>0</v>
      </c>
      <c r="AE95" s="161">
        <f>-INDEX(Parameters!$B:$B,MATCH(AE$3,Parameters!$A:$A,0))*$AC95</f>
        <v>0</v>
      </c>
      <c r="AF95" s="148">
        <f t="shared" si="48"/>
        <v>1000</v>
      </c>
      <c r="AG95" s="151">
        <f t="shared" si="66"/>
        <v>1027.7777777777778</v>
      </c>
      <c r="AH95" s="123"/>
      <c r="AI95" s="147">
        <f>IF(R95&lt;&gt;"n.a.",MATCH($U95,'Tarieven W&amp;O'!$B:$B,0),"nvt")</f>
        <v>140</v>
      </c>
      <c r="AJ95" s="148">
        <f>IF(AI95&lt;&gt;"nvt",INDEX('Tarieven W&amp;O'!$H:$H,$AI95),0)</f>
        <v>0</v>
      </c>
      <c r="AK95" s="148">
        <f>IF(AI95&lt;&gt;"nvt",INDEX('Tarieven W&amp;O'!$I:$I,$AI95),0)</f>
        <v>5</v>
      </c>
      <c r="AL95" s="277">
        <f>IF(AI95&lt;&gt;"nvt",-INDEX(Parameters!$B:$B,MATCH(AL$3&amp;$M95,Parameters!$A:$A,0))*(AJ95+AK95),0)</f>
        <v>0</v>
      </c>
      <c r="AM95" s="442"/>
      <c r="AN95" s="262">
        <f t="shared" si="49"/>
        <v>5</v>
      </c>
      <c r="AO95" s="262">
        <f>AN95/INDEX(Parameters!$B:$B,MATCH("AfschrijftermijnVVE"&amp;12*$C95,Parameters!$A:$A,0))</f>
        <v>0.1388888888888889</v>
      </c>
      <c r="AP95" s="179">
        <f t="shared" si="50"/>
        <v>140</v>
      </c>
      <c r="AQ95" s="202">
        <f>IF(AP95&lt;&gt;"nvt",INDEX('Tarieven W&amp;O'!$G:$G,$AP95),0)</f>
        <v>18.53</v>
      </c>
      <c r="AR95" s="277">
        <f>-INDEX(Parameters!$B:$B,MATCH(AR$3&amp;$M95&amp;O95,Parameters!$A:$A,0))*(AQ95)</f>
        <v>0</v>
      </c>
      <c r="AS95" s="262">
        <f>Parameters!$D$54</f>
        <v>2</v>
      </c>
      <c r="AT95" s="442">
        <f>IF(M95="WBA CM Ethernet",0,'EDC Minus'!$H$27)</f>
        <v>1</v>
      </c>
      <c r="AU95" s="150">
        <f t="shared" si="67"/>
        <v>21.53</v>
      </c>
      <c r="AV95" s="150">
        <f t="shared" si="68"/>
        <v>21.66888888888889</v>
      </c>
      <c r="AW95" s="150"/>
      <c r="AX95" s="150">
        <f>Parameters!$B$6*AV95</f>
        <v>0.2166888888888889</v>
      </c>
      <c r="AY95" s="202">
        <v>0</v>
      </c>
      <c r="AZ95" s="202"/>
      <c r="BA95" s="150">
        <f t="shared" si="69"/>
        <v>0.2166888888888889</v>
      </c>
      <c r="BB95" s="150"/>
      <c r="BC95" s="151">
        <f t="shared" si="70"/>
        <v>21.88557777777778</v>
      </c>
      <c r="BD95" s="209"/>
      <c r="BE95" s="140">
        <f t="shared" si="63"/>
        <v>1005.8922</v>
      </c>
      <c r="BF95" s="141">
        <f t="shared" si="64"/>
        <v>0.97870592432432424</v>
      </c>
      <c r="BG95" s="142" t="b">
        <f t="shared" si="51"/>
        <v>0</v>
      </c>
      <c r="BH95" s="148"/>
      <c r="BI95" s="188" t="s">
        <v>538</v>
      </c>
      <c r="BJ95" s="189"/>
      <c r="BK95">
        <f>VLOOKUP(J95,'Tarieven ZM'!$B$7:$I$146,8,0)</f>
        <v>0</v>
      </c>
      <c r="BL95" s="179" t="str">
        <f>INDEX(Mapping!$M:$M,MATCH($J95,Mapping!$B:$B,0))</f>
        <v>Premium &gt; 2/2Mbps</v>
      </c>
      <c r="BM95" s="282">
        <v>0</v>
      </c>
      <c r="BN95" s="262">
        <f>BM95/INDEX(Parameters!$B:$B,MATCH("AfschrijftermijnVVE"&amp;12*$C95,Parameters!$A:$A,0))</f>
        <v>0</v>
      </c>
      <c r="BO95" s="262">
        <f>Parameters!$D$59+INDEX('inkoop ULL tbv Epacity'!I:I,MATCH($BL95,'inkoop ULL tbv Epacity'!H:H,0))</f>
        <v>17.02</v>
      </c>
      <c r="BP95" s="263">
        <f t="shared" si="43"/>
        <v>17.02</v>
      </c>
      <c r="BQ95" s="203"/>
      <c r="BR95" s="262">
        <f>Parameters!$B$12*AG95</f>
        <v>102.77777777777779</v>
      </c>
      <c r="BS95" s="262">
        <f>SUM(Distributievergoedingen!$F$12,Distributievergoedingen!$I$12,Distributievergoedingen!$L$12,Distributievergoedingen!$O$12)*AF95+SUM(Distributievergoedingen!$O$12*AA95+Distributievergoedingen!$R$12+Distributievergoedingen!$U$12+Distributievergoedingen!$X$12)/(MAX(36,12*L95))</f>
        <v>112.77777777777777</v>
      </c>
      <c r="BT95" s="202"/>
      <c r="BU95" s="202">
        <f t="shared" si="52"/>
        <v>215.55555555555554</v>
      </c>
      <c r="BW95" s="151">
        <f t="shared" si="53"/>
        <v>232.57555555555555</v>
      </c>
      <c r="BY95" s="140">
        <f t="shared" si="54"/>
        <v>795.2022222222223</v>
      </c>
      <c r="BZ95" s="141">
        <f t="shared" si="55"/>
        <v>0.77371027027027028</v>
      </c>
      <c r="CA95" s="142" t="b">
        <f t="shared" si="56"/>
        <v>0</v>
      </c>
    </row>
    <row r="96" spans="1:79">
      <c r="A96" s="160" t="str">
        <f t="shared" si="44"/>
        <v>2VDSLPremiumnationaal8192/1024</v>
      </c>
      <c r="B96" s="142" t="str">
        <f t="shared" si="65"/>
        <v>2VDSL8192/1024Premium</v>
      </c>
      <c r="C96" s="198">
        <v>2</v>
      </c>
      <c r="D96" s="198" t="s">
        <v>77</v>
      </c>
      <c r="E96" s="198" t="s">
        <v>70</v>
      </c>
      <c r="F96" s="198" t="s">
        <v>115</v>
      </c>
      <c r="G96" s="199" t="s">
        <v>113</v>
      </c>
      <c r="H96" s="198" t="s">
        <v>84</v>
      </c>
      <c r="J96" s="142" t="str">
        <f t="shared" si="45"/>
        <v>VDSL8192/1024Premium</v>
      </c>
      <c r="L96" s="160">
        <f>INDEX(Mapping!$J:$J,MATCH(C$3&amp;C96,Mapping!$B:$B,0))</f>
        <v>1</v>
      </c>
      <c r="M96" s="148" t="str">
        <f>INDEX(Mapping!$H:$H,MATCH($E96,Mapping!$B:$B,0))</f>
        <v>WBA ZM Ethernet</v>
      </c>
      <c r="N96" s="148" t="str">
        <f>INDEX(Mapping!$I:$I,MATCH($E96&amp;$G96,Mapping!$B:$B,0))</f>
        <v>premium</v>
      </c>
      <c r="O96" s="148" t="str">
        <f>INDEX(Mapping!$I:$I,MATCH($D96,Mapping!$B:$B,0))</f>
        <v>VDSL</v>
      </c>
      <c r="P96" s="148" t="str">
        <f>INDEX(Mapping!$H:$H,MATCH($F96,Mapping!$B:$B,0))</f>
        <v>nvt</v>
      </c>
      <c r="Q96" s="148" t="str">
        <f>INDEX(Mapping!$J:$J,MATCH($E96&amp;$G96,Mapping!$B:$B,0))</f>
        <v>metro</v>
      </c>
      <c r="R96" s="148" t="str">
        <f>INDEX(Mapping!$I:$I,MATCH($J96,Mapping!$B:$B,0))</f>
        <v>10 Mbps/5 Mbps</v>
      </c>
      <c r="T96" s="148" t="str">
        <f>INDEX(Mapping!$K:$K,MATCH($E96&amp;$G96,Mapping!$B:$B,0))</f>
        <v>metro-nationaal</v>
      </c>
      <c r="U96" s="142" t="str">
        <f t="shared" ref="U96:U107" si="71">M96&amp;R96&amp;N96&amp;Q96</f>
        <v>WBA ZM Ethernet10 Mbps/5 Mbpspremiummetro</v>
      </c>
      <c r="W96" s="160">
        <f>MATCH($J96,'Tarieven ZM'!$B:$B,0)</f>
        <v>48</v>
      </c>
      <c r="X96" s="148">
        <f>INDEX('Tarieven ZM'!$H:$H,$W96)</f>
        <v>1000</v>
      </c>
      <c r="Y96" s="161">
        <f>-INDEX(Parameters!$B:$B,MATCH(Y$3,Parameters!$A:$A,0))*$X96</f>
        <v>0</v>
      </c>
      <c r="Z96" s="149">
        <f>-INDEX(Parameters!$B:$B,MATCH(Z$3,Parameters!$A:$A,0))*$X96</f>
        <v>0</v>
      </c>
      <c r="AA96" s="148">
        <f t="shared" si="47"/>
        <v>1000</v>
      </c>
      <c r="AB96" s="148">
        <f>AA96/INDEX(Parameters!$B:$B,MATCH("AfschrijftermijnVVE"&amp;12*$C96,Parameters!$A:$A,0))</f>
        <v>27.777777777777779</v>
      </c>
      <c r="AC96" s="148">
        <f>INDEX('Tarieven ZM'!$G:$G,$W96)</f>
        <v>1000</v>
      </c>
      <c r="AD96" s="161">
        <f>-INDEX(Parameters!$B:$B,MATCH(AD$3,Parameters!$A:$A,0))*$AC96</f>
        <v>0</v>
      </c>
      <c r="AE96" s="161">
        <f>-INDEX(Parameters!$B:$B,MATCH(AE$3,Parameters!$A:$A,0))*$AC96</f>
        <v>0</v>
      </c>
      <c r="AF96" s="148">
        <f t="shared" si="48"/>
        <v>1000</v>
      </c>
      <c r="AG96" s="151">
        <f t="shared" si="66"/>
        <v>1027.7777777777778</v>
      </c>
      <c r="AH96" s="123"/>
      <c r="AI96" s="147">
        <f>IF(R96&lt;&gt;"n.a.",MATCH($U96,'Tarieven W&amp;O'!$B:$B,0),"nvt")</f>
        <v>145</v>
      </c>
      <c r="AJ96" s="148">
        <f>IF(AI96&lt;&gt;"nvt",INDEX('Tarieven W&amp;O'!$H:$H,$AI96),0)</f>
        <v>0</v>
      </c>
      <c r="AK96" s="148">
        <f>IF(AI96&lt;&gt;"nvt",INDEX('Tarieven W&amp;O'!$I:$I,$AI96),0)</f>
        <v>5</v>
      </c>
      <c r="AL96" s="277">
        <f>IF(AI96&lt;&gt;"nvt",-INDEX(Parameters!$B:$B,MATCH(AL$3&amp;$M96,Parameters!$A:$A,0))*(AJ96+AK96),0)</f>
        <v>0</v>
      </c>
      <c r="AM96" s="442"/>
      <c r="AN96" s="262">
        <f t="shared" si="49"/>
        <v>5</v>
      </c>
      <c r="AO96" s="262">
        <f>AN96/INDEX(Parameters!$B:$B,MATCH("AfschrijftermijnVVE"&amp;12*$C96,Parameters!$A:$A,0))</f>
        <v>0.1388888888888889</v>
      </c>
      <c r="AP96" s="179">
        <f t="shared" si="50"/>
        <v>145</v>
      </c>
      <c r="AQ96" s="202">
        <f>IF(AP96&lt;&gt;"nvt",INDEX('Tarieven W&amp;O'!$G:$G,$AP96),0)</f>
        <v>22.24</v>
      </c>
      <c r="AR96" s="277">
        <f>-INDEX(Parameters!$B:$B,MATCH(AR$3&amp;$M96&amp;O96,Parameters!$A:$A,0))*(AQ96)</f>
        <v>0</v>
      </c>
      <c r="AS96" s="262">
        <f>Parameters!$D$54</f>
        <v>2</v>
      </c>
      <c r="AT96" s="442">
        <f>IF(M96="WBA CM Ethernet",0,'EDC Minus'!$H$27)</f>
        <v>1</v>
      </c>
      <c r="AU96" s="150">
        <f t="shared" si="67"/>
        <v>25.24</v>
      </c>
      <c r="AV96" s="150">
        <f t="shared" si="68"/>
        <v>25.378888888888888</v>
      </c>
      <c r="AW96" s="150"/>
      <c r="AX96" s="150">
        <f>Parameters!$B$6*AV96</f>
        <v>0.2537888888888889</v>
      </c>
      <c r="AY96" s="202">
        <v>0</v>
      </c>
      <c r="AZ96" s="202"/>
      <c r="BA96" s="150">
        <f t="shared" si="69"/>
        <v>0.2537888888888889</v>
      </c>
      <c r="BB96" s="150"/>
      <c r="BC96" s="151">
        <f t="shared" si="70"/>
        <v>25.632677777777776</v>
      </c>
      <c r="BD96" s="209"/>
      <c r="BE96" s="140">
        <f t="shared" si="63"/>
        <v>1002.1451000000001</v>
      </c>
      <c r="BF96" s="141">
        <f t="shared" si="64"/>
        <v>0.97506009729729737</v>
      </c>
      <c r="BG96" s="142" t="b">
        <f t="shared" si="51"/>
        <v>0</v>
      </c>
      <c r="BH96" s="148"/>
      <c r="BI96" s="188" t="s">
        <v>538</v>
      </c>
      <c r="BJ96" s="189"/>
      <c r="BK96">
        <f>VLOOKUP(J96,'Tarieven ZM'!$B$7:$I$146,8,0)</f>
        <v>0</v>
      </c>
      <c r="BL96" s="179" t="str">
        <f>INDEX(Mapping!$M:$M,MATCH($J96,Mapping!$B:$B,0))</f>
        <v>Premium &gt; 2/2Mbps</v>
      </c>
      <c r="BM96" s="282">
        <v>0</v>
      </c>
      <c r="BN96" s="262">
        <f>BM96/INDEX(Parameters!$B:$B,MATCH("AfschrijftermijnVVE"&amp;12*$C96,Parameters!$A:$A,0))</f>
        <v>0</v>
      </c>
      <c r="BO96" s="262">
        <f>Parameters!$D$59+INDEX('inkoop ULL tbv Epacity'!I:I,MATCH($BL96,'inkoop ULL tbv Epacity'!H:H,0))</f>
        <v>17.02</v>
      </c>
      <c r="BP96" s="263">
        <f t="shared" si="43"/>
        <v>17.02</v>
      </c>
      <c r="BQ96" s="203"/>
      <c r="BR96" s="262">
        <f>Parameters!$B$12*AG96</f>
        <v>102.77777777777779</v>
      </c>
      <c r="BS96" s="262">
        <f>SUM(Distributievergoedingen!$F$12,Distributievergoedingen!$I$12,Distributievergoedingen!$L$12,Distributievergoedingen!$O$12)*AF96+SUM(Distributievergoedingen!$O$12*AA96+Distributievergoedingen!$R$12+Distributievergoedingen!$U$12+Distributievergoedingen!$X$12)/(MAX(36,12*L96))</f>
        <v>112.77777777777777</v>
      </c>
      <c r="BT96" s="202"/>
      <c r="BU96" s="202">
        <f t="shared" si="52"/>
        <v>215.55555555555554</v>
      </c>
      <c r="BW96" s="151">
        <f t="shared" si="53"/>
        <v>232.57555555555555</v>
      </c>
      <c r="BY96" s="140">
        <f t="shared" si="54"/>
        <v>795.2022222222223</v>
      </c>
      <c r="BZ96" s="141">
        <f t="shared" si="55"/>
        <v>0.77371027027027028</v>
      </c>
      <c r="CA96" s="142" t="b">
        <f t="shared" si="56"/>
        <v>0</v>
      </c>
    </row>
    <row r="97" spans="1:79" s="203" customFormat="1">
      <c r="A97" s="273" t="str">
        <f>C97&amp;D97&amp;E97&amp;G97&amp;H97</f>
        <v>2SA IPVPNEntrynationaal1024/1024 tbv alarm</v>
      </c>
      <c r="B97" s="274" t="str">
        <f>C97&amp;D97&amp;H97&amp;E97</f>
        <v>2SA IPVPN1024/1024 tbv alarmEntry</v>
      </c>
      <c r="C97" s="275">
        <v>2</v>
      </c>
      <c r="D97" s="275" t="s">
        <v>93</v>
      </c>
      <c r="E97" s="275" t="s">
        <v>78</v>
      </c>
      <c r="F97" s="275" t="s">
        <v>115</v>
      </c>
      <c r="G97" s="201" t="s">
        <v>113</v>
      </c>
      <c r="H97" s="438" t="s">
        <v>1249</v>
      </c>
      <c r="J97" s="274" t="str">
        <f>D97&amp;H97&amp;E97</f>
        <v>SA IPVPN1024/1024 tbv alarmEntry</v>
      </c>
      <c r="L97" s="273">
        <f>INDEX(Mapping!$J:$J,MATCH(C$3&amp;C97,Mapping!$B:$B,0))</f>
        <v>1</v>
      </c>
      <c r="M97" s="179" t="str">
        <f>INDEX(Mapping!$H:$H,MATCH($E97,Mapping!$B:$B,0))</f>
        <v>WBA CM Ethernet</v>
      </c>
      <c r="N97" s="179" t="str">
        <f>INDEX(Mapping!$I:$I,MATCH($E97&amp;$G97,Mapping!$B:$B,0))</f>
        <v>entry</v>
      </c>
      <c r="O97" s="179" t="str">
        <f>INDEX(Mapping!$I:$I,MATCH($D97,Mapping!$B:$B,0))</f>
        <v>FttH</v>
      </c>
      <c r="P97" s="179" t="str">
        <f>INDEX(Mapping!$H:$H,MATCH($F97,Mapping!$B:$B,0))</f>
        <v>nvt</v>
      </c>
      <c r="Q97" s="179" t="str">
        <f>INDEX(Mapping!$J:$J,MATCH($E97&amp;$G97,Mapping!$B:$B,0))</f>
        <v>national</v>
      </c>
      <c r="R97" s="179" t="str">
        <f>INDEX(Mapping!$I:$I,MATCH($J97,Mapping!$B:$B,0))</f>
        <v>≤50/50 Mbps</v>
      </c>
      <c r="T97" s="179" t="str">
        <f>INDEX(Mapping!$K:$K,MATCH($E97&amp;$G97,Mapping!$B:$B,0))</f>
        <v>nvt</v>
      </c>
      <c r="U97" s="274" t="str">
        <f>M97&amp;R97&amp;N97&amp;Q97</f>
        <v>WBA CM Ethernet≤50/50 Mbpsentrynational</v>
      </c>
      <c r="W97" s="273">
        <f>MATCH($J97,'Tarieven ZM'!$B:$B,0)</f>
        <v>49</v>
      </c>
      <c r="X97" s="179">
        <f>INDEX('Tarieven ZM'!$H:$H,$W97)</f>
        <v>1000</v>
      </c>
      <c r="Y97" s="276">
        <f>-INDEX(Parameters!$B:$B,MATCH(Y$3,Parameters!$A:$A,0))*$X97</f>
        <v>0</v>
      </c>
      <c r="Z97" s="277">
        <f>-INDEX(Parameters!$B:$B,MATCH(Z$3,Parameters!$A:$A,0))*$X97</f>
        <v>0</v>
      </c>
      <c r="AA97" s="179">
        <f>SUM(X97:Z97)</f>
        <v>1000</v>
      </c>
      <c r="AB97" s="179">
        <f>AA97/INDEX(Parameters!$B:$B,MATCH("AfschrijftermijnVVE"&amp;12*$C97,Parameters!$A:$A,0))</f>
        <v>27.777777777777779</v>
      </c>
      <c r="AC97" s="179">
        <f>INDEX('Tarieven ZM'!$G:$G,$W97)</f>
        <v>1000</v>
      </c>
      <c r="AD97" s="276">
        <f>-INDEX(Parameters!$B:$B,MATCH(AD$3,Parameters!$A:$A,0))*$AC97</f>
        <v>0</v>
      </c>
      <c r="AE97" s="276">
        <f>-INDEX(Parameters!$B:$B,MATCH(AE$3,Parameters!$A:$A,0))*$AC97</f>
        <v>0</v>
      </c>
      <c r="AF97" s="179">
        <f>SUM(AC97:AE97)</f>
        <v>1000</v>
      </c>
      <c r="AG97" s="278">
        <f>SUM(AB97,AF97)</f>
        <v>1027.7777777777778</v>
      </c>
      <c r="AH97" s="209"/>
      <c r="AI97" s="279">
        <f>IF(R97&lt;&gt;"n.a.",MATCH($U97,'Tarieven W&amp;O'!$B:$B,0),"nvt")</f>
        <v>126</v>
      </c>
      <c r="AJ97" s="179">
        <f>IF(AI97&lt;&gt;"nvt",INDEX('Tarieven W&amp;O'!$H:$H,$AI97),0)</f>
        <v>0</v>
      </c>
      <c r="AK97" s="179">
        <f>IF(AI97&lt;&gt;"nvt",INDEX('Tarieven W&amp;O'!$I:$I,$AI97),0)</f>
        <v>5</v>
      </c>
      <c r="AL97" s="277">
        <f>IF(AI97&lt;&gt;"nvt",-INDEX(Parameters!$B:$B,MATCH(AL$3&amp;$M97,Parameters!$A:$A,0))*(AJ97+AK97),0)</f>
        <v>0</v>
      </c>
      <c r="AM97" s="442"/>
      <c r="AN97" s="262">
        <f>SUM(AJ97:AM97)</f>
        <v>5</v>
      </c>
      <c r="AO97" s="262">
        <f>AN97/INDEX(Parameters!$B:$B,MATCH("AfschrijftermijnVVE"&amp;12*$C97,Parameters!$A:$A,0))</f>
        <v>0.1388888888888889</v>
      </c>
      <c r="AP97" s="179">
        <f>AI97</f>
        <v>126</v>
      </c>
      <c r="AQ97" s="202">
        <f>IF(AP97&lt;&gt;"nvt",INDEX('Tarieven W&amp;O'!$G:$G,$AP97),0)</f>
        <v>7.43</v>
      </c>
      <c r="AR97" s="277">
        <f>-INDEX(Parameters!$B:$B,MATCH(AR$3&amp;$M97&amp;O97,Parameters!$A:$A,0))*(AQ97)</f>
        <v>0</v>
      </c>
      <c r="AS97" s="262">
        <f>Parameters!$D$54</f>
        <v>2</v>
      </c>
      <c r="AT97" s="442">
        <f>IF(M97="WBA CM Ethernet",0,'EDC Minus'!$H$27)</f>
        <v>0</v>
      </c>
      <c r="AU97" s="202">
        <f>SUM(AQ97:AT97)</f>
        <v>9.43</v>
      </c>
      <c r="AV97" s="202">
        <f>SUM(AO97,AU97)</f>
        <v>9.568888888888889</v>
      </c>
      <c r="AW97" s="202"/>
      <c r="AX97" s="202">
        <f>Parameters!$B$6*AV97</f>
        <v>9.5688888888888893E-2</v>
      </c>
      <c r="AY97" s="202">
        <v>0</v>
      </c>
      <c r="AZ97" s="202"/>
      <c r="BA97" s="202">
        <f>SUM(AX97:AZ97)</f>
        <v>9.5688888888888893E-2</v>
      </c>
      <c r="BB97" s="202"/>
      <c r="BC97" s="278">
        <f>SUM(AV97,BA97)</f>
        <v>9.6645777777777777</v>
      </c>
      <c r="BD97" s="209"/>
      <c r="BE97" s="280">
        <f>AG97-BC97</f>
        <v>1018.1132</v>
      </c>
      <c r="BF97" s="264">
        <f>IF(AG97=0,-999%,BE97/AG97)</f>
        <v>0.990596627027027</v>
      </c>
      <c r="BG97" s="274" t="b">
        <f>BF97&lt;0</f>
        <v>0</v>
      </c>
      <c r="BH97" s="179"/>
      <c r="BI97" s="443" t="s">
        <v>538</v>
      </c>
      <c r="BJ97" s="281"/>
      <c r="BK97" s="203">
        <f>VLOOKUP(J97,'Tarieven ZM'!$B$7:$I$146,8,0)</f>
        <v>0</v>
      </c>
      <c r="BL97" s="179" t="str">
        <f>INDEX(Mapping!$M:$M,MATCH($J97,Mapping!$B:$B,0))</f>
        <v>nvt</v>
      </c>
      <c r="BM97" s="282">
        <v>0</v>
      </c>
      <c r="BN97" s="262">
        <f>BM97/INDEX(Parameters!$B:$B,MATCH("AfschrijftermijnVVE"&amp;12*$C97,Parameters!$A:$A,0))</f>
        <v>0</v>
      </c>
      <c r="BO97" s="262">
        <f>Parameters!$D$59+INDEX('inkoop ULL tbv Epacity'!I:I,MATCH($BL97,'inkoop ULL tbv Epacity'!H:H,0))</f>
        <v>1</v>
      </c>
      <c r="BP97" s="263">
        <f>BN97+BO97</f>
        <v>1</v>
      </c>
      <c r="BR97" s="262">
        <f>Parameters!$B$12*AG97</f>
        <v>102.77777777777779</v>
      </c>
      <c r="BS97" s="262">
        <f>SUM(Distributievergoedingen!$F$12,Distributievergoedingen!$I$12,Distributievergoedingen!$L$12,Distributievergoedingen!$O$12)*AF97+SUM(Distributievergoedingen!$O$12*AA97+Distributievergoedingen!$R$12+Distributievergoedingen!$U$12+Distributievergoedingen!$X$12)/(MAX(36,12*L97))</f>
        <v>112.77777777777777</v>
      </c>
      <c r="BT97" s="202"/>
      <c r="BU97" s="202">
        <f>SUM(BR97:BT97)</f>
        <v>215.55555555555554</v>
      </c>
      <c r="BW97" s="278">
        <f>SUM(BP97,BU97)</f>
        <v>216.55555555555554</v>
      </c>
      <c r="BY97" s="280">
        <f>AG97-BW97</f>
        <v>811.22222222222229</v>
      </c>
      <c r="BZ97" s="264">
        <f>IF(AG97=0,-999%,BY97/AG97)</f>
        <v>0.78929729729729736</v>
      </c>
      <c r="CA97" s="274" t="b">
        <f>BZ97&lt;0</f>
        <v>0</v>
      </c>
    </row>
    <row r="98" spans="1:79">
      <c r="A98" s="160" t="str">
        <f t="shared" ref="A98:A107" si="72">C98&amp;D98&amp;E98&amp;G98&amp;H98</f>
        <v>2SA IPVPNEntrynationaal51200/51200</v>
      </c>
      <c r="B98" s="142" t="str">
        <f t="shared" si="65"/>
        <v>2SA IPVPN51200/51200Entry</v>
      </c>
      <c r="C98" s="198">
        <v>2</v>
      </c>
      <c r="D98" s="198" t="s">
        <v>93</v>
      </c>
      <c r="E98" s="198" t="s">
        <v>78</v>
      </c>
      <c r="F98" s="198" t="s">
        <v>115</v>
      </c>
      <c r="G98" s="199" t="s">
        <v>113</v>
      </c>
      <c r="H98" s="198" t="s">
        <v>100</v>
      </c>
      <c r="J98" s="142" t="str">
        <f t="shared" ref="J98:J107" si="73">D98&amp;H98&amp;E98</f>
        <v>SA IPVPN51200/51200Entry</v>
      </c>
      <c r="L98" s="160">
        <f>INDEX(Mapping!$J:$J,MATCH(C$3&amp;C98,Mapping!$B:$B,0))</f>
        <v>1</v>
      </c>
      <c r="M98" s="148" t="str">
        <f>INDEX(Mapping!$H:$H,MATCH($E98,Mapping!$B:$B,0))</f>
        <v>WBA CM Ethernet</v>
      </c>
      <c r="N98" s="148" t="str">
        <f>INDEX(Mapping!$I:$I,MATCH($E98&amp;$G98,Mapping!$B:$B,0))</f>
        <v>entry</v>
      </c>
      <c r="O98" s="148" t="str">
        <f>INDEX(Mapping!$I:$I,MATCH($D98,Mapping!$B:$B,0))</f>
        <v>FttH</v>
      </c>
      <c r="P98" s="148" t="str">
        <f>INDEX(Mapping!$H:$H,MATCH($F98,Mapping!$B:$B,0))</f>
        <v>nvt</v>
      </c>
      <c r="Q98" s="148" t="str">
        <f>INDEX(Mapping!$J:$J,MATCH($E98&amp;$G98,Mapping!$B:$B,0))</f>
        <v>national</v>
      </c>
      <c r="R98" s="148" t="str">
        <f>INDEX(Mapping!$I:$I,MATCH($J98,Mapping!$B:$B,0))</f>
        <v>≤50/50 Mbps</v>
      </c>
      <c r="T98" s="148" t="str">
        <f>INDEX(Mapping!$K:$K,MATCH($E98&amp;$G98,Mapping!$B:$B,0))</f>
        <v>nvt</v>
      </c>
      <c r="U98" s="142" t="str">
        <f t="shared" si="71"/>
        <v>WBA CM Ethernet≤50/50 Mbpsentrynational</v>
      </c>
      <c r="W98" s="160">
        <f>MATCH($J98,'Tarieven ZM'!$B:$B,0)</f>
        <v>50</v>
      </c>
      <c r="X98" s="148">
        <f>INDEX('Tarieven ZM'!$H:$H,$W98)</f>
        <v>1000</v>
      </c>
      <c r="Y98" s="161">
        <f>-INDEX(Parameters!$B:$B,MATCH(Y$3,Parameters!$A:$A,0))*$X98</f>
        <v>0</v>
      </c>
      <c r="Z98" s="149">
        <f>-INDEX(Parameters!$B:$B,MATCH(Z$3,Parameters!$A:$A,0))*$X98</f>
        <v>0</v>
      </c>
      <c r="AA98" s="148">
        <f t="shared" ref="AA98:AA107" si="74">SUM(X98:Z98)</f>
        <v>1000</v>
      </c>
      <c r="AB98" s="148">
        <f>AA98/INDEX(Parameters!$B:$B,MATCH("AfschrijftermijnVVE"&amp;12*$C98,Parameters!$A:$A,0))</f>
        <v>27.777777777777779</v>
      </c>
      <c r="AC98" s="148">
        <f>INDEX('Tarieven ZM'!$G:$G,$W98)</f>
        <v>1000</v>
      </c>
      <c r="AD98" s="161">
        <f>-INDEX(Parameters!$B:$B,MATCH(AD$3,Parameters!$A:$A,0))*$AC98</f>
        <v>0</v>
      </c>
      <c r="AE98" s="161">
        <f>-INDEX(Parameters!$B:$B,MATCH(AE$3,Parameters!$A:$A,0))*$AC98</f>
        <v>0</v>
      </c>
      <c r="AF98" s="148">
        <f t="shared" ref="AF98:AF107" si="75">SUM(AC98:AE98)</f>
        <v>1000</v>
      </c>
      <c r="AG98" s="151">
        <f t="shared" si="66"/>
        <v>1027.7777777777778</v>
      </c>
      <c r="AH98" s="123"/>
      <c r="AI98" s="147">
        <f>IF(R98&lt;&gt;"n.a.",MATCH($U98,'Tarieven W&amp;O'!$B:$B,0),"nvt")</f>
        <v>126</v>
      </c>
      <c r="AJ98" s="148">
        <f>IF(AI98&lt;&gt;"nvt",INDEX('Tarieven W&amp;O'!$H:$H,$AI98),0)</f>
        <v>0</v>
      </c>
      <c r="AK98" s="148">
        <f>IF(AI98&lt;&gt;"nvt",INDEX('Tarieven W&amp;O'!$I:$I,$AI98),0)</f>
        <v>5</v>
      </c>
      <c r="AL98" s="277">
        <f>IF(AI98&lt;&gt;"nvt",-INDEX(Parameters!$B:$B,MATCH(AL$3&amp;$M98,Parameters!$A:$A,0))*(AJ98+AK98),0)</f>
        <v>0</v>
      </c>
      <c r="AM98" s="442"/>
      <c r="AN98" s="262">
        <f t="shared" ref="AN98:AN107" si="76">SUM(AJ98:AM98)</f>
        <v>5</v>
      </c>
      <c r="AO98" s="262">
        <f>AN98/INDEX(Parameters!$B:$B,MATCH("AfschrijftermijnVVE"&amp;12*$C98,Parameters!$A:$A,0))</f>
        <v>0.1388888888888889</v>
      </c>
      <c r="AP98" s="179">
        <f t="shared" ref="AP98:AP107" si="77">AI98</f>
        <v>126</v>
      </c>
      <c r="AQ98" s="202">
        <f>IF(AP98&lt;&gt;"nvt",INDEX('Tarieven W&amp;O'!$G:$G,$AP98),0)</f>
        <v>7.43</v>
      </c>
      <c r="AR98" s="277">
        <f>-INDEX(Parameters!$B:$B,MATCH(AR$3&amp;$M98&amp;O98,Parameters!$A:$A,0))*(AQ98)</f>
        <v>0</v>
      </c>
      <c r="AS98" s="262">
        <f>Parameters!$D$54</f>
        <v>2</v>
      </c>
      <c r="AT98" s="442">
        <f>IF(M98="WBA CM Ethernet",0,'EDC Minus'!$H$27)</f>
        <v>0</v>
      </c>
      <c r="AU98" s="150">
        <f t="shared" si="67"/>
        <v>9.43</v>
      </c>
      <c r="AV98" s="150">
        <f t="shared" si="68"/>
        <v>9.568888888888889</v>
      </c>
      <c r="AW98" s="150"/>
      <c r="AX98" s="150">
        <f>Parameters!$B$6*AV98</f>
        <v>9.5688888888888893E-2</v>
      </c>
      <c r="AY98" s="202">
        <v>0</v>
      </c>
      <c r="AZ98" s="202"/>
      <c r="BA98" s="150">
        <f t="shared" si="69"/>
        <v>9.5688888888888893E-2</v>
      </c>
      <c r="BB98" s="150"/>
      <c r="BC98" s="151">
        <f t="shared" si="70"/>
        <v>9.6645777777777777</v>
      </c>
      <c r="BD98" s="209"/>
      <c r="BE98" s="140">
        <f t="shared" si="63"/>
        <v>1018.1132</v>
      </c>
      <c r="BF98" s="141">
        <f t="shared" si="64"/>
        <v>0.990596627027027</v>
      </c>
      <c r="BG98" s="142" t="b">
        <f t="shared" ref="BG98:BG107" si="78">BF98&lt;0</f>
        <v>0</v>
      </c>
      <c r="BH98" s="148"/>
      <c r="BI98" s="188" t="s">
        <v>538</v>
      </c>
      <c r="BJ98" s="189"/>
      <c r="BK98">
        <f>VLOOKUP(J98,'Tarieven ZM'!$B$7:$I$146,8,0)</f>
        <v>0</v>
      </c>
      <c r="BL98" s="179" t="str">
        <f>INDEX(Mapping!$M:$M,MATCH($J98,Mapping!$B:$B,0))</f>
        <v>nvt</v>
      </c>
      <c r="BM98" s="282">
        <v>0</v>
      </c>
      <c r="BN98" s="262">
        <f>BM98/INDEX(Parameters!$B:$B,MATCH("AfschrijftermijnVVE"&amp;12*$C98,Parameters!$A:$A,0))</f>
        <v>0</v>
      </c>
      <c r="BO98" s="262">
        <f>Parameters!$D$59+INDEX('inkoop ULL tbv Epacity'!I:I,MATCH($BL98,'inkoop ULL tbv Epacity'!H:H,0))</f>
        <v>1</v>
      </c>
      <c r="BP98" s="263">
        <f t="shared" si="43"/>
        <v>1</v>
      </c>
      <c r="BQ98" s="203"/>
      <c r="BR98" s="262">
        <f>Parameters!$B$12*AG98</f>
        <v>102.77777777777779</v>
      </c>
      <c r="BS98" s="262">
        <f>SUM(Distributievergoedingen!$F$12,Distributievergoedingen!$I$12,Distributievergoedingen!$L$12,Distributievergoedingen!$O$12)*AF98+SUM(Distributievergoedingen!$O$12*AA98+Distributievergoedingen!$R$12+Distributievergoedingen!$U$12+Distributievergoedingen!$X$12)/(MAX(36,12*L98))</f>
        <v>112.77777777777777</v>
      </c>
      <c r="BT98" s="202"/>
      <c r="BU98" s="202">
        <f t="shared" si="52"/>
        <v>215.55555555555554</v>
      </c>
      <c r="BW98" s="151">
        <f t="shared" si="53"/>
        <v>216.55555555555554</v>
      </c>
      <c r="BY98" s="140">
        <f t="shared" si="54"/>
        <v>811.22222222222229</v>
      </c>
      <c r="BZ98" s="141">
        <f t="shared" si="55"/>
        <v>0.78929729729729736</v>
      </c>
      <c r="CA98" s="142" t="b">
        <f t="shared" si="56"/>
        <v>0</v>
      </c>
    </row>
    <row r="99" spans="1:79">
      <c r="A99" s="160" t="str">
        <f t="shared" si="72"/>
        <v>2SA IPVPNEntrynationaal100000/100000</v>
      </c>
      <c r="B99" s="142" t="str">
        <f t="shared" si="65"/>
        <v>2SA IPVPN100000/100000Entry</v>
      </c>
      <c r="C99" s="198">
        <v>2</v>
      </c>
      <c r="D99" s="198" t="s">
        <v>93</v>
      </c>
      <c r="E99" s="198" t="s">
        <v>78</v>
      </c>
      <c r="F99" s="198" t="s">
        <v>115</v>
      </c>
      <c r="G99" s="199" t="s">
        <v>113</v>
      </c>
      <c r="H99" s="198" t="s">
        <v>101</v>
      </c>
      <c r="J99" s="142" t="str">
        <f t="shared" si="73"/>
        <v>SA IPVPN100000/100000Entry</v>
      </c>
      <c r="L99" s="160">
        <f>INDEX(Mapping!$J:$J,MATCH(C$3&amp;C99,Mapping!$B:$B,0))</f>
        <v>1</v>
      </c>
      <c r="M99" s="148" t="str">
        <f>INDEX(Mapping!$H:$H,MATCH($E99,Mapping!$B:$B,0))</f>
        <v>WBA CM Ethernet</v>
      </c>
      <c r="N99" s="148" t="str">
        <f>INDEX(Mapping!$I:$I,MATCH($E99&amp;$G99,Mapping!$B:$B,0))</f>
        <v>entry</v>
      </c>
      <c r="O99" s="148" t="str">
        <f>INDEX(Mapping!$I:$I,MATCH($D99,Mapping!$B:$B,0))</f>
        <v>FttH</v>
      </c>
      <c r="P99" s="148" t="str">
        <f>INDEX(Mapping!$H:$H,MATCH($F99,Mapping!$B:$B,0))</f>
        <v>nvt</v>
      </c>
      <c r="Q99" s="148" t="str">
        <f>INDEX(Mapping!$J:$J,MATCH($E99&amp;$G99,Mapping!$B:$B,0))</f>
        <v>national</v>
      </c>
      <c r="R99" s="148" t="str">
        <f>INDEX(Mapping!$I:$I,MATCH($J99,Mapping!$B:$B,0))</f>
        <v>≤100/100 Mbps</v>
      </c>
      <c r="T99" s="148" t="str">
        <f>INDEX(Mapping!$K:$K,MATCH($E99&amp;$G99,Mapping!$B:$B,0))</f>
        <v>nvt</v>
      </c>
      <c r="U99" s="142" t="str">
        <f t="shared" si="71"/>
        <v>WBA CM Ethernet≤100/100 Mbpsentrynational</v>
      </c>
      <c r="W99" s="160">
        <f>MATCH($J99,'Tarieven ZM'!$B:$B,0)</f>
        <v>51</v>
      </c>
      <c r="X99" s="148">
        <f>INDEX('Tarieven ZM'!$H:$H,$W99)</f>
        <v>1000</v>
      </c>
      <c r="Y99" s="161">
        <f>-INDEX(Parameters!$B:$B,MATCH(Y$3,Parameters!$A:$A,0))*$X99</f>
        <v>0</v>
      </c>
      <c r="Z99" s="149">
        <f>-INDEX(Parameters!$B:$B,MATCH(Z$3,Parameters!$A:$A,0))*$X99</f>
        <v>0</v>
      </c>
      <c r="AA99" s="148">
        <f t="shared" si="74"/>
        <v>1000</v>
      </c>
      <c r="AB99" s="148">
        <f>AA99/INDEX(Parameters!$B:$B,MATCH("AfschrijftermijnVVE"&amp;12*$C99,Parameters!$A:$A,0))</f>
        <v>27.777777777777779</v>
      </c>
      <c r="AC99" s="148">
        <f>INDEX('Tarieven ZM'!$G:$G,$W99)</f>
        <v>1000</v>
      </c>
      <c r="AD99" s="161">
        <f>-INDEX(Parameters!$B:$B,MATCH(AD$3,Parameters!$A:$A,0))*$AC99</f>
        <v>0</v>
      </c>
      <c r="AE99" s="161">
        <f>-INDEX(Parameters!$B:$B,MATCH(AE$3,Parameters!$A:$A,0))*$AC99</f>
        <v>0</v>
      </c>
      <c r="AF99" s="148">
        <f t="shared" si="75"/>
        <v>1000</v>
      </c>
      <c r="AG99" s="151">
        <f t="shared" si="66"/>
        <v>1027.7777777777778</v>
      </c>
      <c r="AH99" s="123"/>
      <c r="AI99" s="147">
        <f>IF(R99&lt;&gt;"n.a.",MATCH($U99,'Tarieven W&amp;O'!$B:$B,0),"nvt")</f>
        <v>127</v>
      </c>
      <c r="AJ99" s="148">
        <f>IF(AI99&lt;&gt;"nvt",INDEX('Tarieven W&amp;O'!$H:$H,$AI99),0)</f>
        <v>0</v>
      </c>
      <c r="AK99" s="148">
        <f>IF(AI99&lt;&gt;"nvt",INDEX('Tarieven W&amp;O'!$I:$I,$AI99),0)</f>
        <v>5</v>
      </c>
      <c r="AL99" s="277">
        <f>IF(AI99&lt;&gt;"nvt",-INDEX(Parameters!$B:$B,MATCH(AL$3&amp;$M99,Parameters!$A:$A,0))*(AJ99+AK99),0)</f>
        <v>0</v>
      </c>
      <c r="AM99" s="442"/>
      <c r="AN99" s="262">
        <f t="shared" si="76"/>
        <v>5</v>
      </c>
      <c r="AO99" s="262">
        <f>AN99/INDEX(Parameters!$B:$B,MATCH("AfschrijftermijnVVE"&amp;12*$C99,Parameters!$A:$A,0))</f>
        <v>0.1388888888888889</v>
      </c>
      <c r="AP99" s="179">
        <f t="shared" si="77"/>
        <v>127</v>
      </c>
      <c r="AQ99" s="202">
        <f>IF(AP99&lt;&gt;"nvt",INDEX('Tarieven W&amp;O'!$G:$G,$AP99),0)</f>
        <v>11.08</v>
      </c>
      <c r="AR99" s="277">
        <f>-INDEX(Parameters!$B:$B,MATCH(AR$3&amp;$M99&amp;O99,Parameters!$A:$A,0))*(AQ99)</f>
        <v>0</v>
      </c>
      <c r="AS99" s="262">
        <f>Parameters!$D$54</f>
        <v>2</v>
      </c>
      <c r="AT99" s="442">
        <f>IF(M99="WBA CM Ethernet",0,'EDC Minus'!$H$27)</f>
        <v>0</v>
      </c>
      <c r="AU99" s="150">
        <f t="shared" si="67"/>
        <v>13.08</v>
      </c>
      <c r="AV99" s="150">
        <f t="shared" si="68"/>
        <v>13.218888888888889</v>
      </c>
      <c r="AW99" s="150"/>
      <c r="AX99" s="150">
        <f>Parameters!$B$6*AV99</f>
        <v>0.13218888888888888</v>
      </c>
      <c r="AY99" s="202">
        <v>0</v>
      </c>
      <c r="AZ99" s="202"/>
      <c r="BA99" s="150">
        <f t="shared" si="69"/>
        <v>0.13218888888888888</v>
      </c>
      <c r="BB99" s="150"/>
      <c r="BC99" s="151">
        <f t="shared" si="70"/>
        <v>13.351077777777778</v>
      </c>
      <c r="BD99" s="209"/>
      <c r="BE99" s="140">
        <f t="shared" si="63"/>
        <v>1014.4267000000001</v>
      </c>
      <c r="BF99" s="141">
        <f t="shared" si="64"/>
        <v>0.98700976216216219</v>
      </c>
      <c r="BG99" s="142" t="b">
        <f t="shared" si="78"/>
        <v>0</v>
      </c>
      <c r="BH99" s="148"/>
      <c r="BI99" s="188" t="s">
        <v>538</v>
      </c>
      <c r="BJ99" s="189"/>
      <c r="BK99">
        <f>VLOOKUP(J99,'Tarieven ZM'!$B$7:$I$146,8,0)</f>
        <v>0</v>
      </c>
      <c r="BL99" s="179" t="str">
        <f>INDEX(Mapping!$M:$M,MATCH($J99,Mapping!$B:$B,0))</f>
        <v>nvt</v>
      </c>
      <c r="BM99" s="282">
        <v>0</v>
      </c>
      <c r="BN99" s="262">
        <f>BM99/INDEX(Parameters!$B:$B,MATCH("AfschrijftermijnVVE"&amp;12*$C99,Parameters!$A:$A,0))</f>
        <v>0</v>
      </c>
      <c r="BO99" s="262">
        <f>Parameters!$D$59+INDEX('inkoop ULL tbv Epacity'!I:I,MATCH($BL99,'inkoop ULL tbv Epacity'!H:H,0))</f>
        <v>1</v>
      </c>
      <c r="BP99" s="263">
        <f t="shared" si="43"/>
        <v>1</v>
      </c>
      <c r="BQ99" s="203"/>
      <c r="BR99" s="262">
        <f>Parameters!$B$12*AG99</f>
        <v>102.77777777777779</v>
      </c>
      <c r="BS99" s="262">
        <f>SUM(Distributievergoedingen!$F$12,Distributievergoedingen!$I$12,Distributievergoedingen!$L$12,Distributievergoedingen!$O$12)*AF99+SUM(Distributievergoedingen!$O$12*AA99+Distributievergoedingen!$R$12+Distributievergoedingen!$U$12+Distributievergoedingen!$X$12)/(MAX(36,12*L99))</f>
        <v>112.77777777777777</v>
      </c>
      <c r="BT99" s="202"/>
      <c r="BU99" s="202">
        <f t="shared" si="52"/>
        <v>215.55555555555554</v>
      </c>
      <c r="BW99" s="151">
        <f t="shared" si="53"/>
        <v>216.55555555555554</v>
      </c>
      <c r="BY99" s="140">
        <f t="shared" si="54"/>
        <v>811.22222222222229</v>
      </c>
      <c r="BZ99" s="141">
        <f t="shared" si="55"/>
        <v>0.78929729729729736</v>
      </c>
      <c r="CA99" s="142" t="b">
        <f t="shared" si="56"/>
        <v>0</v>
      </c>
    </row>
    <row r="100" spans="1:79">
      <c r="A100" s="160" t="str">
        <f t="shared" si="72"/>
        <v>2SA IPVPNPremiumnationaal1024/1024</v>
      </c>
      <c r="B100" s="142" t="str">
        <f t="shared" si="65"/>
        <v>2SA IPVPN1024/1024Premium</v>
      </c>
      <c r="C100" s="198">
        <v>2</v>
      </c>
      <c r="D100" s="198" t="s">
        <v>93</v>
      </c>
      <c r="E100" s="198" t="s">
        <v>70</v>
      </c>
      <c r="F100" s="198" t="s">
        <v>115</v>
      </c>
      <c r="G100" s="199" t="s">
        <v>113</v>
      </c>
      <c r="H100" s="198" t="s">
        <v>66</v>
      </c>
      <c r="J100" s="142" t="str">
        <f t="shared" si="73"/>
        <v>SA IPVPN1024/1024Premium</v>
      </c>
      <c r="L100" s="160">
        <f>INDEX(Mapping!$J:$J,MATCH(C$3&amp;C100,Mapping!$B:$B,0))</f>
        <v>1</v>
      </c>
      <c r="M100" s="148" t="str">
        <f>INDEX(Mapping!$H:$H,MATCH($E100,Mapping!$B:$B,0))</f>
        <v>WBA ZM Ethernet</v>
      </c>
      <c r="N100" s="148" t="str">
        <f>INDEX(Mapping!$I:$I,MATCH($E100&amp;$G100,Mapping!$B:$B,0))</f>
        <v>premium</v>
      </c>
      <c r="O100" s="148" t="str">
        <f>INDEX(Mapping!$I:$I,MATCH($D100,Mapping!$B:$B,0))</f>
        <v>FttH</v>
      </c>
      <c r="P100" s="148" t="str">
        <f>INDEX(Mapping!$H:$H,MATCH($F100,Mapping!$B:$B,0))</f>
        <v>nvt</v>
      </c>
      <c r="Q100" s="148" t="str">
        <f>INDEX(Mapping!$J:$J,MATCH($E100&amp;$G100,Mapping!$B:$B,0))</f>
        <v>metro</v>
      </c>
      <c r="R100" s="148" t="str">
        <f>INDEX(Mapping!$I:$I,MATCH($J100,Mapping!$B:$B,0))</f>
        <v>1 Mbps/1 Mbps</v>
      </c>
      <c r="T100" s="148" t="str">
        <f>INDEX(Mapping!$K:$K,MATCH($E100&amp;$G100,Mapping!$B:$B,0))</f>
        <v>metro-nationaal</v>
      </c>
      <c r="U100" s="142" t="str">
        <f t="shared" si="71"/>
        <v>WBA ZM Ethernet1 Mbps/1 Mbpspremiummetro</v>
      </c>
      <c r="W100" s="160">
        <f>MATCH($J100,'Tarieven ZM'!$B:$B,0)</f>
        <v>52</v>
      </c>
      <c r="X100" s="148">
        <f>INDEX('Tarieven ZM'!$H:$H,$W100)</f>
        <v>1000</v>
      </c>
      <c r="Y100" s="161">
        <f>-INDEX(Parameters!$B:$B,MATCH(Y$3,Parameters!$A:$A,0))*$X100</f>
        <v>0</v>
      </c>
      <c r="Z100" s="149">
        <f>-INDEX(Parameters!$B:$B,MATCH(Z$3,Parameters!$A:$A,0))*$X100</f>
        <v>0</v>
      </c>
      <c r="AA100" s="148">
        <f t="shared" si="74"/>
        <v>1000</v>
      </c>
      <c r="AB100" s="148">
        <f>AA100/INDEX(Parameters!$B:$B,MATCH("AfschrijftermijnVVE"&amp;12*$C100,Parameters!$A:$A,0))</f>
        <v>27.777777777777779</v>
      </c>
      <c r="AC100" s="148">
        <f>INDEX('Tarieven ZM'!$G:$G,$W100)</f>
        <v>1000</v>
      </c>
      <c r="AD100" s="161">
        <f>-INDEX(Parameters!$B:$B,MATCH(AD$3,Parameters!$A:$A,0))*$AC100</f>
        <v>0</v>
      </c>
      <c r="AE100" s="161">
        <f>-INDEX(Parameters!$B:$B,MATCH(AE$3,Parameters!$A:$A,0))*$AC100</f>
        <v>0</v>
      </c>
      <c r="AF100" s="148">
        <f t="shared" si="75"/>
        <v>1000</v>
      </c>
      <c r="AG100" s="151">
        <f t="shared" si="66"/>
        <v>1027.7777777777778</v>
      </c>
      <c r="AH100" s="123"/>
      <c r="AI100" s="147">
        <f>IF(R100&lt;&gt;"n.a.",MATCH($U100,'Tarieven W&amp;O'!$B:$B,0),"nvt")</f>
        <v>138</v>
      </c>
      <c r="AJ100" s="148">
        <f>IF(AI100&lt;&gt;"nvt",INDEX('Tarieven W&amp;O'!$H:$H,$AI100),0)</f>
        <v>0</v>
      </c>
      <c r="AK100" s="148">
        <f>IF(AI100&lt;&gt;"nvt",INDEX('Tarieven W&amp;O'!$I:$I,$AI100),0)</f>
        <v>5</v>
      </c>
      <c r="AL100" s="277">
        <f>IF(AI100&lt;&gt;"nvt",-INDEX(Parameters!$B:$B,MATCH(AL$3&amp;$M100,Parameters!$A:$A,0))*(AJ100+AK100),0)</f>
        <v>0</v>
      </c>
      <c r="AM100" s="442"/>
      <c r="AN100" s="262">
        <f t="shared" si="76"/>
        <v>5</v>
      </c>
      <c r="AO100" s="262">
        <f>AN100/INDEX(Parameters!$B:$B,MATCH("AfschrijftermijnVVE"&amp;12*$C100,Parameters!$A:$A,0))</f>
        <v>0.1388888888888889</v>
      </c>
      <c r="AP100" s="179">
        <f t="shared" si="77"/>
        <v>138</v>
      </c>
      <c r="AQ100" s="202">
        <f>IF(AP100&lt;&gt;"nvt",INDEX('Tarieven W&amp;O'!$G:$G,$AP100),0)</f>
        <v>7.41</v>
      </c>
      <c r="AR100" s="277">
        <f>-INDEX(Parameters!$B:$B,MATCH(AR$3&amp;$M100&amp;O100,Parameters!$A:$A,0))*(AQ100)</f>
        <v>0</v>
      </c>
      <c r="AS100" s="262">
        <f>Parameters!$D$54</f>
        <v>2</v>
      </c>
      <c r="AT100" s="442">
        <f>IF(M100="WBA CM Ethernet",0,'EDC Minus'!$H$27)</f>
        <v>1</v>
      </c>
      <c r="AU100" s="150">
        <f t="shared" si="67"/>
        <v>10.41</v>
      </c>
      <c r="AV100" s="150">
        <f t="shared" si="68"/>
        <v>10.548888888888889</v>
      </c>
      <c r="AW100" s="150"/>
      <c r="AX100" s="150">
        <f>Parameters!$B$6*AV100</f>
        <v>0.1054888888888889</v>
      </c>
      <c r="AY100" s="202">
        <v>0</v>
      </c>
      <c r="AZ100" s="202"/>
      <c r="BA100" s="150">
        <f t="shared" si="69"/>
        <v>0.1054888888888889</v>
      </c>
      <c r="BB100" s="150"/>
      <c r="BC100" s="151">
        <f t="shared" si="70"/>
        <v>10.654377777777778</v>
      </c>
      <c r="BD100" s="209"/>
      <c r="BE100" s="140">
        <f t="shared" si="63"/>
        <v>1017.1234000000001</v>
      </c>
      <c r="BF100" s="141">
        <f t="shared" si="64"/>
        <v>0.9896335783783784</v>
      </c>
      <c r="BG100" s="142" t="b">
        <f t="shared" si="78"/>
        <v>0</v>
      </c>
      <c r="BH100" s="148"/>
      <c r="BI100" s="188" t="s">
        <v>538</v>
      </c>
      <c r="BJ100" s="189"/>
      <c r="BK100">
        <f>VLOOKUP(J100,'Tarieven ZM'!$B$7:$I$146,8,0)</f>
        <v>0</v>
      </c>
      <c r="BL100" s="179" t="str">
        <f>INDEX(Mapping!$M:$M,MATCH($J100,Mapping!$B:$B,0))</f>
        <v>nvt</v>
      </c>
      <c r="BM100" s="282">
        <v>0</v>
      </c>
      <c r="BN100" s="262">
        <f>BM100/INDEX(Parameters!$B:$B,MATCH("AfschrijftermijnVVE"&amp;12*$C100,Parameters!$A:$A,0))</f>
        <v>0</v>
      </c>
      <c r="BO100" s="262">
        <f>Parameters!$D$59+INDEX('inkoop ULL tbv Epacity'!I:I,MATCH($BL100,'inkoop ULL tbv Epacity'!H:H,0))</f>
        <v>1</v>
      </c>
      <c r="BP100" s="263">
        <f t="shared" si="43"/>
        <v>1</v>
      </c>
      <c r="BQ100" s="203"/>
      <c r="BR100" s="262">
        <f>Parameters!$B$12*AG100</f>
        <v>102.77777777777779</v>
      </c>
      <c r="BS100" s="262">
        <f>SUM(Distributievergoedingen!$F$12,Distributievergoedingen!$I$12,Distributievergoedingen!$L$12,Distributievergoedingen!$O$12)*AF100+SUM(Distributievergoedingen!$O$12*AA100+Distributievergoedingen!$R$12+Distributievergoedingen!$U$12+Distributievergoedingen!$X$12)/(MAX(36,12*L100))</f>
        <v>112.77777777777777</v>
      </c>
      <c r="BT100" s="202"/>
      <c r="BU100" s="202">
        <f t="shared" si="52"/>
        <v>215.55555555555554</v>
      </c>
      <c r="BW100" s="151">
        <f t="shared" si="53"/>
        <v>216.55555555555554</v>
      </c>
      <c r="BY100" s="140">
        <f t="shared" si="54"/>
        <v>811.22222222222229</v>
      </c>
      <c r="BZ100" s="141">
        <f t="shared" si="55"/>
        <v>0.78929729729729736</v>
      </c>
      <c r="CA100" s="142" t="b">
        <f t="shared" si="56"/>
        <v>0</v>
      </c>
    </row>
    <row r="101" spans="1:79">
      <c r="A101" s="160" t="str">
        <f t="shared" si="72"/>
        <v>2SA IPVPNPremiumnationaal2048/2048</v>
      </c>
      <c r="B101" s="142" t="str">
        <f t="shared" si="65"/>
        <v>2SA IPVPN2048/2048Premium</v>
      </c>
      <c r="C101" s="198">
        <v>2</v>
      </c>
      <c r="D101" s="198" t="s">
        <v>93</v>
      </c>
      <c r="E101" s="198" t="s">
        <v>70</v>
      </c>
      <c r="F101" s="198" t="s">
        <v>115</v>
      </c>
      <c r="G101" s="199" t="s">
        <v>113</v>
      </c>
      <c r="H101" s="198" t="s">
        <v>68</v>
      </c>
      <c r="J101" s="142" t="str">
        <f t="shared" si="73"/>
        <v>SA IPVPN2048/2048Premium</v>
      </c>
      <c r="L101" s="160">
        <f>INDEX(Mapping!$J:$J,MATCH(C$3&amp;C101,Mapping!$B:$B,0))</f>
        <v>1</v>
      </c>
      <c r="M101" s="148" t="str">
        <f>INDEX(Mapping!$H:$H,MATCH($E101,Mapping!$B:$B,0))</f>
        <v>WBA ZM Ethernet</v>
      </c>
      <c r="N101" s="148" t="str">
        <f>INDEX(Mapping!$I:$I,MATCH($E101&amp;$G101,Mapping!$B:$B,0))</f>
        <v>premium</v>
      </c>
      <c r="O101" s="148" t="str">
        <f>INDEX(Mapping!$I:$I,MATCH($D101,Mapping!$B:$B,0))</f>
        <v>FttH</v>
      </c>
      <c r="P101" s="148" t="str">
        <f>INDEX(Mapping!$H:$H,MATCH($F101,Mapping!$B:$B,0))</f>
        <v>nvt</v>
      </c>
      <c r="Q101" s="148" t="str">
        <f>INDEX(Mapping!$J:$J,MATCH($E101&amp;$G101,Mapping!$B:$B,0))</f>
        <v>metro</v>
      </c>
      <c r="R101" s="148" t="str">
        <f>INDEX(Mapping!$I:$I,MATCH($J101,Mapping!$B:$B,0))</f>
        <v>2 Mbps/2 Mbps</v>
      </c>
      <c r="T101" s="148" t="str">
        <f>INDEX(Mapping!$K:$K,MATCH($E101&amp;$G101,Mapping!$B:$B,0))</f>
        <v>metro-nationaal</v>
      </c>
      <c r="U101" s="142" t="str">
        <f t="shared" si="71"/>
        <v>WBA ZM Ethernet2 Mbps/2 Mbpspremiummetro</v>
      </c>
      <c r="W101" s="160">
        <f>MATCH($J101,'Tarieven ZM'!$B:$B,0)</f>
        <v>53</v>
      </c>
      <c r="X101" s="148">
        <f>INDEX('Tarieven ZM'!$H:$H,$W101)</f>
        <v>1000</v>
      </c>
      <c r="Y101" s="161">
        <f>-INDEX(Parameters!$B:$B,MATCH(Y$3,Parameters!$A:$A,0))*$X101</f>
        <v>0</v>
      </c>
      <c r="Z101" s="149">
        <f>-INDEX(Parameters!$B:$B,MATCH(Z$3,Parameters!$A:$A,0))*$X101</f>
        <v>0</v>
      </c>
      <c r="AA101" s="148">
        <f t="shared" si="74"/>
        <v>1000</v>
      </c>
      <c r="AB101" s="148">
        <f>AA101/INDEX(Parameters!$B:$B,MATCH("AfschrijftermijnVVE"&amp;12*$C101,Parameters!$A:$A,0))</f>
        <v>27.777777777777779</v>
      </c>
      <c r="AC101" s="148">
        <f>INDEX('Tarieven ZM'!$G:$G,$W101)</f>
        <v>1000</v>
      </c>
      <c r="AD101" s="161">
        <f>-INDEX(Parameters!$B:$B,MATCH(AD$3,Parameters!$A:$A,0))*$AC101</f>
        <v>0</v>
      </c>
      <c r="AE101" s="161">
        <f>-INDEX(Parameters!$B:$B,MATCH(AE$3,Parameters!$A:$A,0))*$AC101</f>
        <v>0</v>
      </c>
      <c r="AF101" s="148">
        <f t="shared" si="75"/>
        <v>1000</v>
      </c>
      <c r="AG101" s="151">
        <f t="shared" si="66"/>
        <v>1027.7777777777778</v>
      </c>
      <c r="AH101" s="123"/>
      <c r="AI101" s="147">
        <f>IF(R101&lt;&gt;"n.a.",MATCH($U101,'Tarieven W&amp;O'!$B:$B,0),"nvt")</f>
        <v>139</v>
      </c>
      <c r="AJ101" s="148">
        <f>IF(AI101&lt;&gt;"nvt",INDEX('Tarieven W&amp;O'!$H:$H,$AI101),0)</f>
        <v>0</v>
      </c>
      <c r="AK101" s="148">
        <f>IF(AI101&lt;&gt;"nvt",INDEX('Tarieven W&amp;O'!$I:$I,$AI101),0)</f>
        <v>5</v>
      </c>
      <c r="AL101" s="277">
        <f>IF(AI101&lt;&gt;"nvt",-INDEX(Parameters!$B:$B,MATCH(AL$3&amp;$M101,Parameters!$A:$A,0))*(AJ101+AK101),0)</f>
        <v>0</v>
      </c>
      <c r="AM101" s="442"/>
      <c r="AN101" s="262">
        <f t="shared" si="76"/>
        <v>5</v>
      </c>
      <c r="AO101" s="262">
        <f>AN101/INDEX(Parameters!$B:$B,MATCH("AfschrijftermijnVVE"&amp;12*$C101,Parameters!$A:$A,0))</f>
        <v>0.1388888888888889</v>
      </c>
      <c r="AP101" s="179">
        <f t="shared" si="77"/>
        <v>139</v>
      </c>
      <c r="AQ101" s="202">
        <f>IF(AP101&lt;&gt;"nvt",INDEX('Tarieven W&amp;O'!$G:$G,$AP101),0)</f>
        <v>14.82</v>
      </c>
      <c r="AR101" s="277">
        <f>-INDEX(Parameters!$B:$B,MATCH(AR$3&amp;$M101&amp;O101,Parameters!$A:$A,0))*(AQ101)</f>
        <v>0</v>
      </c>
      <c r="AS101" s="262">
        <f>Parameters!$D$54</f>
        <v>2</v>
      </c>
      <c r="AT101" s="442">
        <f>IF(M101="WBA CM Ethernet",0,'EDC Minus'!$H$27)</f>
        <v>1</v>
      </c>
      <c r="AU101" s="150">
        <f t="shared" si="67"/>
        <v>17.82</v>
      </c>
      <c r="AV101" s="150">
        <f t="shared" si="68"/>
        <v>17.95888888888889</v>
      </c>
      <c r="AW101" s="150"/>
      <c r="AX101" s="150">
        <f>Parameters!$B$6*AV101</f>
        <v>0.17958888888888891</v>
      </c>
      <c r="AY101" s="202">
        <v>0</v>
      </c>
      <c r="AZ101" s="202"/>
      <c r="BA101" s="150">
        <f t="shared" si="69"/>
        <v>0.17958888888888891</v>
      </c>
      <c r="BB101" s="150"/>
      <c r="BC101" s="151">
        <f t="shared" si="70"/>
        <v>18.13847777777778</v>
      </c>
      <c r="BD101" s="209"/>
      <c r="BE101" s="140">
        <f t="shared" si="63"/>
        <v>1009.6393</v>
      </c>
      <c r="BF101" s="141">
        <f t="shared" si="64"/>
        <v>0.98235175135135133</v>
      </c>
      <c r="BG101" s="142" t="b">
        <f t="shared" si="78"/>
        <v>0</v>
      </c>
      <c r="BH101" s="148"/>
      <c r="BI101" s="188" t="s">
        <v>538</v>
      </c>
      <c r="BJ101" s="189"/>
      <c r="BK101">
        <f>VLOOKUP(J101,'Tarieven ZM'!$B$7:$I$146,8,0)</f>
        <v>0</v>
      </c>
      <c r="BL101" s="179" t="str">
        <f>INDEX(Mapping!$M:$M,MATCH($J101,Mapping!$B:$B,0))</f>
        <v>nvt</v>
      </c>
      <c r="BM101" s="282">
        <v>0</v>
      </c>
      <c r="BN101" s="262">
        <f>BM101/INDEX(Parameters!$B:$B,MATCH("AfschrijftermijnVVE"&amp;12*$C101,Parameters!$A:$A,0))</f>
        <v>0</v>
      </c>
      <c r="BO101" s="262">
        <f>Parameters!$D$59+INDEX('inkoop ULL tbv Epacity'!I:I,MATCH($BL101,'inkoop ULL tbv Epacity'!H:H,0))</f>
        <v>1</v>
      </c>
      <c r="BP101" s="263">
        <f t="shared" si="43"/>
        <v>1</v>
      </c>
      <c r="BQ101" s="203"/>
      <c r="BR101" s="262">
        <f>Parameters!$B$12*AG101</f>
        <v>102.77777777777779</v>
      </c>
      <c r="BS101" s="262">
        <f>SUM(Distributievergoedingen!$F$12,Distributievergoedingen!$I$12,Distributievergoedingen!$L$12,Distributievergoedingen!$O$12)*AF101+SUM(Distributievergoedingen!$O$12*AA101+Distributievergoedingen!$R$12+Distributievergoedingen!$U$12+Distributievergoedingen!$X$12)/(MAX(36,12*L101))</f>
        <v>112.77777777777777</v>
      </c>
      <c r="BT101" s="202"/>
      <c r="BU101" s="202">
        <f t="shared" si="52"/>
        <v>215.55555555555554</v>
      </c>
      <c r="BW101" s="151">
        <f t="shared" si="53"/>
        <v>216.55555555555554</v>
      </c>
      <c r="BY101" s="140">
        <f t="shared" si="54"/>
        <v>811.22222222222229</v>
      </c>
      <c r="BZ101" s="141">
        <f t="shared" si="55"/>
        <v>0.78929729729729736</v>
      </c>
      <c r="CA101" s="142" t="b">
        <f t="shared" si="56"/>
        <v>0</v>
      </c>
    </row>
    <row r="102" spans="1:79">
      <c r="A102" s="160" t="str">
        <f t="shared" si="72"/>
        <v>2SA IPVPNPremiumnationaal3072/3072</v>
      </c>
      <c r="B102" s="142" t="str">
        <f t="shared" si="65"/>
        <v>2SA IPVPN3072/3072Premium</v>
      </c>
      <c r="C102" s="198">
        <v>2</v>
      </c>
      <c r="D102" s="198" t="s">
        <v>93</v>
      </c>
      <c r="E102" s="198" t="s">
        <v>70</v>
      </c>
      <c r="F102" s="198" t="s">
        <v>115</v>
      </c>
      <c r="G102" s="199" t="s">
        <v>113</v>
      </c>
      <c r="H102" s="198" t="s">
        <v>82</v>
      </c>
      <c r="J102" s="142" t="str">
        <f t="shared" si="73"/>
        <v>SA IPVPN3072/3072Premium</v>
      </c>
      <c r="L102" s="160">
        <f>INDEX(Mapping!$J:$J,MATCH(C$3&amp;C102,Mapping!$B:$B,0))</f>
        <v>1</v>
      </c>
      <c r="M102" s="148" t="str">
        <f>INDEX(Mapping!$H:$H,MATCH($E102,Mapping!$B:$B,0))</f>
        <v>WBA ZM Ethernet</v>
      </c>
      <c r="N102" s="148" t="str">
        <f>INDEX(Mapping!$I:$I,MATCH($E102&amp;$G102,Mapping!$B:$B,0))</f>
        <v>premium</v>
      </c>
      <c r="O102" s="148" t="str">
        <f>INDEX(Mapping!$I:$I,MATCH($D102,Mapping!$B:$B,0))</f>
        <v>FttH</v>
      </c>
      <c r="P102" s="148" t="str">
        <f>INDEX(Mapping!$H:$H,MATCH($F102,Mapping!$B:$B,0))</f>
        <v>nvt</v>
      </c>
      <c r="Q102" s="148" t="str">
        <f>INDEX(Mapping!$J:$J,MATCH($E102&amp;$G102,Mapping!$B:$B,0))</f>
        <v>metro</v>
      </c>
      <c r="R102" s="148" t="str">
        <f>INDEX(Mapping!$I:$I,MATCH($J102,Mapping!$B:$B,0))</f>
        <v>5 Mbps/5 Mbps</v>
      </c>
      <c r="T102" s="148" t="str">
        <f>INDEX(Mapping!$K:$K,MATCH($E102&amp;$G102,Mapping!$B:$B,0))</f>
        <v>metro-nationaal</v>
      </c>
      <c r="U102" s="142" t="str">
        <f t="shared" si="71"/>
        <v>WBA ZM Ethernet5 Mbps/5 Mbpspremiummetro</v>
      </c>
      <c r="W102" s="160">
        <f>MATCH($J102,'Tarieven ZM'!$B:$B,0)</f>
        <v>54</v>
      </c>
      <c r="X102" s="148">
        <f>INDEX('Tarieven ZM'!$H:$H,$W102)</f>
        <v>1000</v>
      </c>
      <c r="Y102" s="161">
        <f>-INDEX(Parameters!$B:$B,MATCH(Y$3,Parameters!$A:$A,0))*$X102</f>
        <v>0</v>
      </c>
      <c r="Z102" s="149">
        <f>-INDEX(Parameters!$B:$B,MATCH(Z$3,Parameters!$A:$A,0))*$X102</f>
        <v>0</v>
      </c>
      <c r="AA102" s="148">
        <f t="shared" si="74"/>
        <v>1000</v>
      </c>
      <c r="AB102" s="148">
        <f>AA102/INDEX(Parameters!$B:$B,MATCH("AfschrijftermijnVVE"&amp;12*$C102,Parameters!$A:$A,0))</f>
        <v>27.777777777777779</v>
      </c>
      <c r="AC102" s="148">
        <f>INDEX('Tarieven ZM'!$G:$G,$W102)</f>
        <v>1000</v>
      </c>
      <c r="AD102" s="161">
        <f>-INDEX(Parameters!$B:$B,MATCH(AD$3,Parameters!$A:$A,0))*$AC102</f>
        <v>0</v>
      </c>
      <c r="AE102" s="161">
        <f>-INDEX(Parameters!$B:$B,MATCH(AE$3,Parameters!$A:$A,0))*$AC102</f>
        <v>0</v>
      </c>
      <c r="AF102" s="148">
        <f t="shared" si="75"/>
        <v>1000</v>
      </c>
      <c r="AG102" s="151">
        <f t="shared" si="66"/>
        <v>1027.7777777777778</v>
      </c>
      <c r="AH102" s="123"/>
      <c r="AI102" s="147">
        <f>IF(R102&lt;&gt;"n.a.",MATCH($U102,'Tarieven W&amp;O'!$B:$B,0),"nvt")</f>
        <v>140</v>
      </c>
      <c r="AJ102" s="148">
        <f>IF(AI102&lt;&gt;"nvt",INDEX('Tarieven W&amp;O'!$H:$H,$AI102),0)</f>
        <v>0</v>
      </c>
      <c r="AK102" s="148">
        <f>IF(AI102&lt;&gt;"nvt",INDEX('Tarieven W&amp;O'!$I:$I,$AI102),0)</f>
        <v>5</v>
      </c>
      <c r="AL102" s="277">
        <f>IF(AI102&lt;&gt;"nvt",-INDEX(Parameters!$B:$B,MATCH(AL$3&amp;$M102,Parameters!$A:$A,0))*(AJ102+AK102),0)</f>
        <v>0</v>
      </c>
      <c r="AM102" s="442"/>
      <c r="AN102" s="262">
        <f t="shared" si="76"/>
        <v>5</v>
      </c>
      <c r="AO102" s="262">
        <f>AN102/INDEX(Parameters!$B:$B,MATCH("AfschrijftermijnVVE"&amp;12*$C102,Parameters!$A:$A,0))</f>
        <v>0.1388888888888889</v>
      </c>
      <c r="AP102" s="179">
        <f t="shared" si="77"/>
        <v>140</v>
      </c>
      <c r="AQ102" s="202">
        <f>IF(AP102&lt;&gt;"nvt",INDEX('Tarieven W&amp;O'!$G:$G,$AP102),0)</f>
        <v>18.53</v>
      </c>
      <c r="AR102" s="277">
        <f>-INDEX(Parameters!$B:$B,MATCH(AR$3&amp;$M102&amp;O102,Parameters!$A:$A,0))*(AQ102)</f>
        <v>0</v>
      </c>
      <c r="AS102" s="262">
        <f>Parameters!$D$54</f>
        <v>2</v>
      </c>
      <c r="AT102" s="442">
        <f>IF(M102="WBA CM Ethernet",0,'EDC Minus'!$H$27)</f>
        <v>1</v>
      </c>
      <c r="AU102" s="150">
        <f t="shared" si="67"/>
        <v>21.53</v>
      </c>
      <c r="AV102" s="150">
        <f t="shared" si="68"/>
        <v>21.66888888888889</v>
      </c>
      <c r="AW102" s="150"/>
      <c r="AX102" s="150">
        <f>Parameters!$B$6*AV102</f>
        <v>0.2166888888888889</v>
      </c>
      <c r="AY102" s="202">
        <v>0</v>
      </c>
      <c r="AZ102" s="202"/>
      <c r="BA102" s="150">
        <f t="shared" si="69"/>
        <v>0.2166888888888889</v>
      </c>
      <c r="BB102" s="150"/>
      <c r="BC102" s="151">
        <f t="shared" si="70"/>
        <v>21.88557777777778</v>
      </c>
      <c r="BD102" s="209"/>
      <c r="BE102" s="140">
        <f t="shared" si="63"/>
        <v>1005.8922</v>
      </c>
      <c r="BF102" s="141">
        <f t="shared" si="64"/>
        <v>0.97870592432432424</v>
      </c>
      <c r="BG102" s="142" t="b">
        <f t="shared" si="78"/>
        <v>0</v>
      </c>
      <c r="BH102" s="148"/>
      <c r="BI102" s="188" t="s">
        <v>538</v>
      </c>
      <c r="BJ102" s="189"/>
      <c r="BK102">
        <f>VLOOKUP(J102,'Tarieven ZM'!$B$7:$I$146,8,0)</f>
        <v>0</v>
      </c>
      <c r="BL102" s="179" t="str">
        <f>INDEX(Mapping!$M:$M,MATCH($J102,Mapping!$B:$B,0))</f>
        <v>nvt</v>
      </c>
      <c r="BM102" s="282">
        <v>0</v>
      </c>
      <c r="BN102" s="262">
        <f>BM102/INDEX(Parameters!$B:$B,MATCH("AfschrijftermijnVVE"&amp;12*$C102,Parameters!$A:$A,0))</f>
        <v>0</v>
      </c>
      <c r="BO102" s="262">
        <f>Parameters!$D$59+INDEX('inkoop ULL tbv Epacity'!I:I,MATCH($BL102,'inkoop ULL tbv Epacity'!H:H,0))</f>
        <v>1</v>
      </c>
      <c r="BP102" s="263">
        <f t="shared" si="43"/>
        <v>1</v>
      </c>
      <c r="BQ102" s="203"/>
      <c r="BR102" s="262">
        <f>Parameters!$B$12*AG102</f>
        <v>102.77777777777779</v>
      </c>
      <c r="BS102" s="262">
        <f>SUM(Distributievergoedingen!$F$12,Distributievergoedingen!$I$12,Distributievergoedingen!$L$12,Distributievergoedingen!$O$12)*AF102+SUM(Distributievergoedingen!$O$12*AA102+Distributievergoedingen!$R$12+Distributievergoedingen!$U$12+Distributievergoedingen!$X$12)/(MAX(36,12*L102))</f>
        <v>112.77777777777777</v>
      </c>
      <c r="BT102" s="202"/>
      <c r="BU102" s="202">
        <f t="shared" si="52"/>
        <v>215.55555555555554</v>
      </c>
      <c r="BW102" s="151">
        <f t="shared" si="53"/>
        <v>216.55555555555554</v>
      </c>
      <c r="BY102" s="140">
        <f t="shared" si="54"/>
        <v>811.22222222222229</v>
      </c>
      <c r="BZ102" s="141">
        <f t="shared" si="55"/>
        <v>0.78929729729729736</v>
      </c>
      <c r="CA102" s="142" t="b">
        <f t="shared" si="56"/>
        <v>0</v>
      </c>
    </row>
    <row r="103" spans="1:79">
      <c r="A103" s="160" t="str">
        <f t="shared" si="72"/>
        <v>2SA IPVPNPremiumnationaal4096/1024</v>
      </c>
      <c r="B103" s="142" t="str">
        <f t="shared" si="65"/>
        <v>2SA IPVPN4096/1024Premium</v>
      </c>
      <c r="C103" s="198">
        <v>2</v>
      </c>
      <c r="D103" s="198" t="s">
        <v>93</v>
      </c>
      <c r="E103" s="198" t="s">
        <v>70</v>
      </c>
      <c r="F103" s="198" t="s">
        <v>115</v>
      </c>
      <c r="G103" s="199" t="s">
        <v>113</v>
      </c>
      <c r="H103" s="198" t="s">
        <v>57</v>
      </c>
      <c r="J103" s="142" t="str">
        <f t="shared" si="73"/>
        <v>SA IPVPN4096/1024Premium</v>
      </c>
      <c r="L103" s="160">
        <f>INDEX(Mapping!$J:$J,MATCH(C$3&amp;C103,Mapping!$B:$B,0))</f>
        <v>1</v>
      </c>
      <c r="M103" s="148" t="str">
        <f>INDEX(Mapping!$H:$H,MATCH($E103,Mapping!$B:$B,0))</f>
        <v>WBA ZM Ethernet</v>
      </c>
      <c r="N103" s="148" t="str">
        <f>INDEX(Mapping!$I:$I,MATCH($E103&amp;$G103,Mapping!$B:$B,0))</f>
        <v>premium</v>
      </c>
      <c r="O103" s="148" t="str">
        <f>INDEX(Mapping!$I:$I,MATCH($D103,Mapping!$B:$B,0))</f>
        <v>FttH</v>
      </c>
      <c r="P103" s="148" t="str">
        <f>INDEX(Mapping!$H:$H,MATCH($F103,Mapping!$B:$B,0))</f>
        <v>nvt</v>
      </c>
      <c r="Q103" s="148" t="str">
        <f>INDEX(Mapping!$J:$J,MATCH($E103&amp;$G103,Mapping!$B:$B,0))</f>
        <v>metro</v>
      </c>
      <c r="R103" s="148" t="str">
        <f>INDEX(Mapping!$I:$I,MATCH($J103,Mapping!$B:$B,0))</f>
        <v>5 Mbps/1 Mbps</v>
      </c>
      <c r="T103" s="148" t="str">
        <f>INDEX(Mapping!$K:$K,MATCH($E103&amp;$G103,Mapping!$B:$B,0))</f>
        <v>metro-nationaal</v>
      </c>
      <c r="U103" s="142" t="str">
        <f t="shared" si="71"/>
        <v>WBA ZM Ethernet5 Mbps/1 Mbpspremiummetro</v>
      </c>
      <c r="W103" s="160">
        <f>MATCH($J103,'Tarieven ZM'!$B:$B,0)</f>
        <v>55</v>
      </c>
      <c r="X103" s="148">
        <f>INDEX('Tarieven ZM'!$H:$H,$W103)</f>
        <v>1000</v>
      </c>
      <c r="Y103" s="161">
        <f>-INDEX(Parameters!$B:$B,MATCH(Y$3,Parameters!$A:$A,0))*$X103</f>
        <v>0</v>
      </c>
      <c r="Z103" s="149">
        <f>-INDEX(Parameters!$B:$B,MATCH(Z$3,Parameters!$A:$A,0))*$X103</f>
        <v>0</v>
      </c>
      <c r="AA103" s="148">
        <f t="shared" si="74"/>
        <v>1000</v>
      </c>
      <c r="AB103" s="148">
        <f>AA103/INDEX(Parameters!$B:$B,MATCH("AfschrijftermijnVVE"&amp;12*$C103,Parameters!$A:$A,0))</f>
        <v>27.777777777777779</v>
      </c>
      <c r="AC103" s="148">
        <f>INDEX('Tarieven ZM'!$G:$G,$W103)</f>
        <v>1000</v>
      </c>
      <c r="AD103" s="161">
        <f>-INDEX(Parameters!$B:$B,MATCH(AD$3,Parameters!$A:$A,0))*$AC103</f>
        <v>0</v>
      </c>
      <c r="AE103" s="161">
        <f>-INDEX(Parameters!$B:$B,MATCH(AE$3,Parameters!$A:$A,0))*$AC103</f>
        <v>0</v>
      </c>
      <c r="AF103" s="148">
        <f t="shared" si="75"/>
        <v>1000</v>
      </c>
      <c r="AG103" s="151">
        <f t="shared" si="66"/>
        <v>1027.7777777777778</v>
      </c>
      <c r="AH103" s="123"/>
      <c r="AI103" s="147">
        <f>IF(R103&lt;&gt;"n.a.",MATCH($U103,'Tarieven W&amp;O'!$B:$B,0),"nvt")</f>
        <v>144</v>
      </c>
      <c r="AJ103" s="148">
        <f>IF(AI103&lt;&gt;"nvt",INDEX('Tarieven W&amp;O'!$H:$H,$AI103),0)</f>
        <v>0</v>
      </c>
      <c r="AK103" s="148">
        <f>IF(AI103&lt;&gt;"nvt",INDEX('Tarieven W&amp;O'!$I:$I,$AI103),0)</f>
        <v>5</v>
      </c>
      <c r="AL103" s="277">
        <f>IF(AI103&lt;&gt;"nvt",-INDEX(Parameters!$B:$B,MATCH(AL$3&amp;$M103,Parameters!$A:$A,0))*(AJ103+AK103),0)</f>
        <v>0</v>
      </c>
      <c r="AM103" s="442"/>
      <c r="AN103" s="262">
        <f t="shared" si="76"/>
        <v>5</v>
      </c>
      <c r="AO103" s="262">
        <f>AN103/INDEX(Parameters!$B:$B,MATCH("AfschrijftermijnVVE"&amp;12*$C103,Parameters!$A:$A,0))</f>
        <v>0.1388888888888889</v>
      </c>
      <c r="AP103" s="179">
        <f t="shared" si="77"/>
        <v>144</v>
      </c>
      <c r="AQ103" s="202">
        <f>IF(AP103&lt;&gt;"nvt",INDEX('Tarieven W&amp;O'!$G:$G,$AP103),0)</f>
        <v>17.29</v>
      </c>
      <c r="AR103" s="277">
        <f>-INDEX(Parameters!$B:$B,MATCH(AR$3&amp;$M103&amp;O103,Parameters!$A:$A,0))*(AQ103)</f>
        <v>0</v>
      </c>
      <c r="AS103" s="262">
        <f>Parameters!$D$54</f>
        <v>2</v>
      </c>
      <c r="AT103" s="442">
        <f>IF(M103="WBA CM Ethernet",0,'EDC Minus'!$H$27)</f>
        <v>1</v>
      </c>
      <c r="AU103" s="150">
        <f t="shared" si="67"/>
        <v>20.29</v>
      </c>
      <c r="AV103" s="150">
        <f t="shared" si="68"/>
        <v>20.428888888888888</v>
      </c>
      <c r="AW103" s="150"/>
      <c r="AX103" s="150">
        <f>Parameters!$B$6*AV103</f>
        <v>0.20428888888888888</v>
      </c>
      <c r="AY103" s="202">
        <v>0</v>
      </c>
      <c r="AZ103" s="202"/>
      <c r="BA103" s="150">
        <f t="shared" si="69"/>
        <v>0.20428888888888888</v>
      </c>
      <c r="BB103" s="150"/>
      <c r="BC103" s="151">
        <f t="shared" si="70"/>
        <v>20.633177777777778</v>
      </c>
      <c r="BD103" s="209"/>
      <c r="BE103" s="140">
        <f t="shared" si="63"/>
        <v>1007.1446000000001</v>
      </c>
      <c r="BF103" s="141">
        <f t="shared" si="64"/>
        <v>0.97992447567567575</v>
      </c>
      <c r="BG103" s="142" t="b">
        <f t="shared" si="78"/>
        <v>0</v>
      </c>
      <c r="BH103" s="148"/>
      <c r="BI103" s="188" t="s">
        <v>538</v>
      </c>
      <c r="BJ103" s="189"/>
      <c r="BK103">
        <f>VLOOKUP(J103,'Tarieven ZM'!$B$7:$I$146,8,0)</f>
        <v>0</v>
      </c>
      <c r="BL103" s="179" t="str">
        <f>INDEX(Mapping!$M:$M,MATCH($J103,Mapping!$B:$B,0))</f>
        <v>nvt</v>
      </c>
      <c r="BM103" s="282">
        <v>0</v>
      </c>
      <c r="BN103" s="262">
        <f>BM103/INDEX(Parameters!$B:$B,MATCH("AfschrijftermijnVVE"&amp;12*$C103,Parameters!$A:$A,0))</f>
        <v>0</v>
      </c>
      <c r="BO103" s="262">
        <f>Parameters!$D$59+INDEX('inkoop ULL tbv Epacity'!I:I,MATCH($BL103,'inkoop ULL tbv Epacity'!H:H,0))</f>
        <v>1</v>
      </c>
      <c r="BP103" s="263">
        <f t="shared" si="43"/>
        <v>1</v>
      </c>
      <c r="BQ103" s="203"/>
      <c r="BR103" s="262">
        <f>Parameters!$B$12*AG103</f>
        <v>102.77777777777779</v>
      </c>
      <c r="BS103" s="262">
        <f>SUM(Distributievergoedingen!$F$12,Distributievergoedingen!$I$12,Distributievergoedingen!$L$12,Distributievergoedingen!$O$12)*AF103+SUM(Distributievergoedingen!$O$12*AA103+Distributievergoedingen!$R$12+Distributievergoedingen!$U$12+Distributievergoedingen!$X$12)/(MAX(36,12*L103))</f>
        <v>112.77777777777777</v>
      </c>
      <c r="BT103" s="202"/>
      <c r="BU103" s="202">
        <f t="shared" si="52"/>
        <v>215.55555555555554</v>
      </c>
      <c r="BW103" s="151">
        <f t="shared" si="53"/>
        <v>216.55555555555554</v>
      </c>
      <c r="BY103" s="140">
        <f t="shared" si="54"/>
        <v>811.22222222222229</v>
      </c>
      <c r="BZ103" s="141">
        <f t="shared" si="55"/>
        <v>0.78929729729729736</v>
      </c>
      <c r="CA103" s="142" t="b">
        <f t="shared" si="56"/>
        <v>0</v>
      </c>
    </row>
    <row r="104" spans="1:79">
      <c r="A104" s="160" t="str">
        <f t="shared" si="72"/>
        <v>2SA IPVPNPremiumnationaal4096/4096</v>
      </c>
      <c r="B104" s="142" t="str">
        <f t="shared" si="65"/>
        <v>2SA IPVPN4096/4096Premium</v>
      </c>
      <c r="C104" s="198">
        <v>2</v>
      </c>
      <c r="D104" s="198" t="s">
        <v>93</v>
      </c>
      <c r="E104" s="198" t="s">
        <v>70</v>
      </c>
      <c r="F104" s="198" t="s">
        <v>115</v>
      </c>
      <c r="G104" s="199" t="s">
        <v>113</v>
      </c>
      <c r="H104" s="198" t="s">
        <v>83</v>
      </c>
      <c r="J104" s="142" t="str">
        <f t="shared" si="73"/>
        <v>SA IPVPN4096/4096Premium</v>
      </c>
      <c r="L104" s="160">
        <f>INDEX(Mapping!$J:$J,MATCH(C$3&amp;C104,Mapping!$B:$B,0))</f>
        <v>1</v>
      </c>
      <c r="M104" s="148" t="str">
        <f>INDEX(Mapping!$H:$H,MATCH($E104,Mapping!$B:$B,0))</f>
        <v>WBA ZM Ethernet</v>
      </c>
      <c r="N104" s="148" t="str">
        <f>INDEX(Mapping!$I:$I,MATCH($E104&amp;$G104,Mapping!$B:$B,0))</f>
        <v>premium</v>
      </c>
      <c r="O104" s="148" t="str">
        <f>INDEX(Mapping!$I:$I,MATCH($D104,Mapping!$B:$B,0))</f>
        <v>FttH</v>
      </c>
      <c r="P104" s="148" t="str">
        <f>INDEX(Mapping!$H:$H,MATCH($F104,Mapping!$B:$B,0))</f>
        <v>nvt</v>
      </c>
      <c r="Q104" s="148" t="str">
        <f>INDEX(Mapping!$J:$J,MATCH($E104&amp;$G104,Mapping!$B:$B,0))</f>
        <v>metro</v>
      </c>
      <c r="R104" s="148" t="str">
        <f>INDEX(Mapping!$I:$I,MATCH($J104,Mapping!$B:$B,0))</f>
        <v>5 Mbps/5 Mbps</v>
      </c>
      <c r="T104" s="148" t="str">
        <f>INDEX(Mapping!$K:$K,MATCH($E104&amp;$G104,Mapping!$B:$B,0))</f>
        <v>metro-nationaal</v>
      </c>
      <c r="U104" s="142" t="str">
        <f t="shared" si="71"/>
        <v>WBA ZM Ethernet5 Mbps/5 Mbpspremiummetro</v>
      </c>
      <c r="W104" s="160">
        <f>MATCH($J104,'Tarieven ZM'!$B:$B,0)</f>
        <v>56</v>
      </c>
      <c r="X104" s="148">
        <f>INDEX('Tarieven ZM'!$H:$H,$W104)</f>
        <v>1000</v>
      </c>
      <c r="Y104" s="161">
        <f>-INDEX(Parameters!$B:$B,MATCH(Y$3,Parameters!$A:$A,0))*$X104</f>
        <v>0</v>
      </c>
      <c r="Z104" s="149">
        <f>-INDEX(Parameters!$B:$B,MATCH(Z$3,Parameters!$A:$A,0))*$X104</f>
        <v>0</v>
      </c>
      <c r="AA104" s="148">
        <f t="shared" si="74"/>
        <v>1000</v>
      </c>
      <c r="AB104" s="148">
        <f>AA104/INDEX(Parameters!$B:$B,MATCH("AfschrijftermijnVVE"&amp;12*$C104,Parameters!$A:$A,0))</f>
        <v>27.777777777777779</v>
      </c>
      <c r="AC104" s="148">
        <f>INDEX('Tarieven ZM'!$G:$G,$W104)</f>
        <v>1000</v>
      </c>
      <c r="AD104" s="161">
        <f>-INDEX(Parameters!$B:$B,MATCH(AD$3,Parameters!$A:$A,0))*$AC104</f>
        <v>0</v>
      </c>
      <c r="AE104" s="161">
        <f>-INDEX(Parameters!$B:$B,MATCH(AE$3,Parameters!$A:$A,0))*$AC104</f>
        <v>0</v>
      </c>
      <c r="AF104" s="148">
        <f t="shared" si="75"/>
        <v>1000</v>
      </c>
      <c r="AG104" s="151">
        <f t="shared" si="66"/>
        <v>1027.7777777777778</v>
      </c>
      <c r="AH104" s="123"/>
      <c r="AI104" s="147">
        <f>IF(R104&lt;&gt;"n.a.",MATCH($U104,'Tarieven W&amp;O'!$B:$B,0),"nvt")</f>
        <v>140</v>
      </c>
      <c r="AJ104" s="148">
        <f>IF(AI104&lt;&gt;"nvt",INDEX('Tarieven W&amp;O'!$H:$H,$AI104),0)</f>
        <v>0</v>
      </c>
      <c r="AK104" s="148">
        <f>IF(AI104&lt;&gt;"nvt",INDEX('Tarieven W&amp;O'!$I:$I,$AI104),0)</f>
        <v>5</v>
      </c>
      <c r="AL104" s="277">
        <f>IF(AI104&lt;&gt;"nvt",-INDEX(Parameters!$B:$B,MATCH(AL$3&amp;$M104,Parameters!$A:$A,0))*(AJ104+AK104),0)</f>
        <v>0</v>
      </c>
      <c r="AM104" s="442"/>
      <c r="AN104" s="262">
        <f t="shared" si="76"/>
        <v>5</v>
      </c>
      <c r="AO104" s="262">
        <f>AN104/INDEX(Parameters!$B:$B,MATCH("AfschrijftermijnVVE"&amp;12*$C104,Parameters!$A:$A,0))</f>
        <v>0.1388888888888889</v>
      </c>
      <c r="AP104" s="179">
        <f t="shared" si="77"/>
        <v>140</v>
      </c>
      <c r="AQ104" s="202">
        <f>IF(AP104&lt;&gt;"nvt",INDEX('Tarieven W&amp;O'!$G:$G,$AP104),0)</f>
        <v>18.53</v>
      </c>
      <c r="AR104" s="277">
        <f>-INDEX(Parameters!$B:$B,MATCH(AR$3&amp;$M104&amp;O104,Parameters!$A:$A,0))*(AQ104)</f>
        <v>0</v>
      </c>
      <c r="AS104" s="262">
        <f>Parameters!$D$54</f>
        <v>2</v>
      </c>
      <c r="AT104" s="442">
        <f>IF(M104="WBA CM Ethernet",0,'EDC Minus'!$H$27)</f>
        <v>1</v>
      </c>
      <c r="AU104" s="150">
        <f t="shared" si="67"/>
        <v>21.53</v>
      </c>
      <c r="AV104" s="150">
        <f t="shared" si="68"/>
        <v>21.66888888888889</v>
      </c>
      <c r="AW104" s="150"/>
      <c r="AX104" s="150">
        <f>Parameters!$B$6*AV104</f>
        <v>0.2166888888888889</v>
      </c>
      <c r="AY104" s="202">
        <v>0</v>
      </c>
      <c r="AZ104" s="202"/>
      <c r="BA104" s="150">
        <f t="shared" si="69"/>
        <v>0.2166888888888889</v>
      </c>
      <c r="BB104" s="150"/>
      <c r="BC104" s="151">
        <f t="shared" si="70"/>
        <v>21.88557777777778</v>
      </c>
      <c r="BD104" s="209"/>
      <c r="BE104" s="140">
        <f t="shared" ref="BE104:BE135" si="79">AG104-BC104</f>
        <v>1005.8922</v>
      </c>
      <c r="BF104" s="141">
        <f t="shared" ref="BF104:BF135" si="80">IF(AG104=0,-999%,BE104/AG104)</f>
        <v>0.97870592432432424</v>
      </c>
      <c r="BG104" s="142" t="b">
        <f t="shared" si="78"/>
        <v>0</v>
      </c>
      <c r="BH104" s="148"/>
      <c r="BI104" s="188" t="s">
        <v>538</v>
      </c>
      <c r="BJ104" s="189"/>
      <c r="BK104">
        <f>VLOOKUP(J104,'Tarieven ZM'!$B$7:$I$146,8,0)</f>
        <v>0</v>
      </c>
      <c r="BL104" s="179" t="str">
        <f>INDEX(Mapping!$M:$M,MATCH($J104,Mapping!$B:$B,0))</f>
        <v>nvt</v>
      </c>
      <c r="BM104" s="282">
        <v>0</v>
      </c>
      <c r="BN104" s="262">
        <f>BM104/INDEX(Parameters!$B:$B,MATCH("AfschrijftermijnVVE"&amp;12*$C104,Parameters!$A:$A,0))</f>
        <v>0</v>
      </c>
      <c r="BO104" s="262">
        <f>Parameters!$D$59+INDEX('inkoop ULL tbv Epacity'!I:I,MATCH($BL104,'inkoop ULL tbv Epacity'!H:H,0))</f>
        <v>1</v>
      </c>
      <c r="BP104" s="263">
        <f t="shared" si="43"/>
        <v>1</v>
      </c>
      <c r="BQ104" s="203"/>
      <c r="BR104" s="262">
        <f>Parameters!$B$12*AG104</f>
        <v>102.77777777777779</v>
      </c>
      <c r="BS104" s="262">
        <f>SUM(Distributievergoedingen!$F$12,Distributievergoedingen!$I$12,Distributievergoedingen!$L$12,Distributievergoedingen!$O$12)*AF104+SUM(Distributievergoedingen!$O$12*AA104+Distributievergoedingen!$R$12+Distributievergoedingen!$U$12+Distributievergoedingen!$X$12)/(MAX(36,12*L104))</f>
        <v>112.77777777777777</v>
      </c>
      <c r="BT104" s="202"/>
      <c r="BU104" s="202">
        <f t="shared" si="52"/>
        <v>215.55555555555554</v>
      </c>
      <c r="BW104" s="151">
        <f t="shared" si="53"/>
        <v>216.55555555555554</v>
      </c>
      <c r="BY104" s="140">
        <f t="shared" si="54"/>
        <v>811.22222222222229</v>
      </c>
      <c r="BZ104" s="141">
        <f t="shared" si="55"/>
        <v>0.78929729729729736</v>
      </c>
      <c r="CA104" s="142" t="b">
        <f t="shared" si="56"/>
        <v>0</v>
      </c>
    </row>
    <row r="105" spans="1:79">
      <c r="A105" s="160" t="str">
        <f t="shared" si="72"/>
        <v>2SA IPVPNPremiumnationaal8192/1024</v>
      </c>
      <c r="B105" s="142" t="str">
        <f t="shared" ref="B105:B136" si="81">C105&amp;D105&amp;H105&amp;E105</f>
        <v>2SA IPVPN8192/1024Premium</v>
      </c>
      <c r="C105" s="198">
        <v>2</v>
      </c>
      <c r="D105" s="198" t="s">
        <v>93</v>
      </c>
      <c r="E105" s="198" t="s">
        <v>70</v>
      </c>
      <c r="F105" s="198" t="s">
        <v>115</v>
      </c>
      <c r="G105" s="199" t="s">
        <v>113</v>
      </c>
      <c r="H105" s="198" t="s">
        <v>84</v>
      </c>
      <c r="J105" s="142" t="str">
        <f t="shared" si="73"/>
        <v>SA IPVPN8192/1024Premium</v>
      </c>
      <c r="L105" s="160">
        <f>INDEX(Mapping!$J:$J,MATCH(C$3&amp;C105,Mapping!$B:$B,0))</f>
        <v>1</v>
      </c>
      <c r="M105" s="148" t="str">
        <f>INDEX(Mapping!$H:$H,MATCH($E105,Mapping!$B:$B,0))</f>
        <v>WBA ZM Ethernet</v>
      </c>
      <c r="N105" s="148" t="str">
        <f>INDEX(Mapping!$I:$I,MATCH($E105&amp;$G105,Mapping!$B:$B,0))</f>
        <v>premium</v>
      </c>
      <c r="O105" s="148" t="str">
        <f>INDEX(Mapping!$I:$I,MATCH($D105,Mapping!$B:$B,0))</f>
        <v>FttH</v>
      </c>
      <c r="P105" s="148" t="str">
        <f>INDEX(Mapping!$H:$H,MATCH($F105,Mapping!$B:$B,0))</f>
        <v>nvt</v>
      </c>
      <c r="Q105" s="148" t="str">
        <f>INDEX(Mapping!$J:$J,MATCH($E105&amp;$G105,Mapping!$B:$B,0))</f>
        <v>metro</v>
      </c>
      <c r="R105" s="148" t="str">
        <f>INDEX(Mapping!$I:$I,MATCH($J105,Mapping!$B:$B,0))</f>
        <v>10 Mbps/5 Mbps</v>
      </c>
      <c r="T105" s="148" t="str">
        <f>INDEX(Mapping!$K:$K,MATCH($E105&amp;$G105,Mapping!$B:$B,0))</f>
        <v>metro-nationaal</v>
      </c>
      <c r="U105" s="142" t="str">
        <f t="shared" si="71"/>
        <v>WBA ZM Ethernet10 Mbps/5 Mbpspremiummetro</v>
      </c>
      <c r="W105" s="160">
        <f>MATCH($J105,'Tarieven ZM'!$B:$B,0)</f>
        <v>57</v>
      </c>
      <c r="X105" s="148">
        <f>INDEX('Tarieven ZM'!$H:$H,$W105)</f>
        <v>1000</v>
      </c>
      <c r="Y105" s="161">
        <f>-INDEX(Parameters!$B:$B,MATCH(Y$3,Parameters!$A:$A,0))*$X105</f>
        <v>0</v>
      </c>
      <c r="Z105" s="149">
        <f>-INDEX(Parameters!$B:$B,MATCH(Z$3,Parameters!$A:$A,0))*$X105</f>
        <v>0</v>
      </c>
      <c r="AA105" s="148">
        <f t="shared" si="74"/>
        <v>1000</v>
      </c>
      <c r="AB105" s="148">
        <f>AA105/INDEX(Parameters!$B:$B,MATCH("AfschrijftermijnVVE"&amp;12*$C105,Parameters!$A:$A,0))</f>
        <v>27.777777777777779</v>
      </c>
      <c r="AC105" s="148">
        <f>INDEX('Tarieven ZM'!$G:$G,$W105)</f>
        <v>1000</v>
      </c>
      <c r="AD105" s="161">
        <f>-INDEX(Parameters!$B:$B,MATCH(AD$3,Parameters!$A:$A,0))*$AC105</f>
        <v>0</v>
      </c>
      <c r="AE105" s="161">
        <f>-INDEX(Parameters!$B:$B,MATCH(AE$3,Parameters!$A:$A,0))*$AC105</f>
        <v>0</v>
      </c>
      <c r="AF105" s="148">
        <f t="shared" si="75"/>
        <v>1000</v>
      </c>
      <c r="AG105" s="151">
        <f t="shared" ref="AG105:AG136" si="82">SUM(AB105,AF105)</f>
        <v>1027.7777777777778</v>
      </c>
      <c r="AH105" s="123"/>
      <c r="AI105" s="147">
        <f>IF(R105&lt;&gt;"n.a.",MATCH($U105,'Tarieven W&amp;O'!$B:$B,0),"nvt")</f>
        <v>145</v>
      </c>
      <c r="AJ105" s="148">
        <f>IF(AI105&lt;&gt;"nvt",INDEX('Tarieven W&amp;O'!$H:$H,$AI105),0)</f>
        <v>0</v>
      </c>
      <c r="AK105" s="148">
        <f>IF(AI105&lt;&gt;"nvt",INDEX('Tarieven W&amp;O'!$I:$I,$AI105),0)</f>
        <v>5</v>
      </c>
      <c r="AL105" s="277">
        <f>IF(AI105&lt;&gt;"nvt",-INDEX(Parameters!$B:$B,MATCH(AL$3&amp;$M105,Parameters!$A:$A,0))*(AJ105+AK105),0)</f>
        <v>0</v>
      </c>
      <c r="AM105" s="442"/>
      <c r="AN105" s="262">
        <f t="shared" si="76"/>
        <v>5</v>
      </c>
      <c r="AO105" s="262">
        <f>AN105/INDEX(Parameters!$B:$B,MATCH("AfschrijftermijnVVE"&amp;12*$C105,Parameters!$A:$A,0))</f>
        <v>0.1388888888888889</v>
      </c>
      <c r="AP105" s="179">
        <f t="shared" si="77"/>
        <v>145</v>
      </c>
      <c r="AQ105" s="202">
        <f>IF(AP105&lt;&gt;"nvt",INDEX('Tarieven W&amp;O'!$G:$G,$AP105),0)</f>
        <v>22.24</v>
      </c>
      <c r="AR105" s="277">
        <f>-INDEX(Parameters!$B:$B,MATCH(AR$3&amp;$M105&amp;O105,Parameters!$A:$A,0))*(AQ105)</f>
        <v>0</v>
      </c>
      <c r="AS105" s="262">
        <f>Parameters!$D$54</f>
        <v>2</v>
      </c>
      <c r="AT105" s="442">
        <f>IF(M105="WBA CM Ethernet",0,'EDC Minus'!$H$27)</f>
        <v>1</v>
      </c>
      <c r="AU105" s="150">
        <f t="shared" ref="AU105:AU136" si="83">SUM(AQ105:AT105)</f>
        <v>25.24</v>
      </c>
      <c r="AV105" s="150">
        <f t="shared" ref="AV105:AV136" si="84">SUM(AO105,AU105)</f>
        <v>25.378888888888888</v>
      </c>
      <c r="AW105" s="150"/>
      <c r="AX105" s="150">
        <f>Parameters!$B$6*AV105</f>
        <v>0.2537888888888889</v>
      </c>
      <c r="AY105" s="202">
        <v>0</v>
      </c>
      <c r="AZ105" s="202"/>
      <c r="BA105" s="150">
        <f t="shared" ref="BA105:BA136" si="85">SUM(AX105:AZ105)</f>
        <v>0.2537888888888889</v>
      </c>
      <c r="BB105" s="150"/>
      <c r="BC105" s="151">
        <f t="shared" ref="BC105:BC136" si="86">SUM(AV105,BA105)</f>
        <v>25.632677777777776</v>
      </c>
      <c r="BD105" s="209"/>
      <c r="BE105" s="140">
        <f t="shared" si="79"/>
        <v>1002.1451000000001</v>
      </c>
      <c r="BF105" s="141">
        <f t="shared" si="80"/>
        <v>0.97506009729729737</v>
      </c>
      <c r="BG105" s="142" t="b">
        <f t="shared" si="78"/>
        <v>0</v>
      </c>
      <c r="BH105" s="148"/>
      <c r="BI105" s="188" t="s">
        <v>538</v>
      </c>
      <c r="BJ105" s="189"/>
      <c r="BK105">
        <f>VLOOKUP(J105,'Tarieven ZM'!$B$7:$I$146,8,0)</f>
        <v>0</v>
      </c>
      <c r="BL105" s="179" t="str">
        <f>INDEX(Mapping!$M:$M,MATCH($J105,Mapping!$B:$B,0))</f>
        <v>nvt</v>
      </c>
      <c r="BM105" s="282">
        <v>0</v>
      </c>
      <c r="BN105" s="262">
        <f>BM105/INDEX(Parameters!$B:$B,MATCH("AfschrijftermijnVVE"&amp;12*$C105,Parameters!$A:$A,0))</f>
        <v>0</v>
      </c>
      <c r="BO105" s="262">
        <f>Parameters!$D$59+INDEX('inkoop ULL tbv Epacity'!I:I,MATCH($BL105,'inkoop ULL tbv Epacity'!H:H,0))</f>
        <v>1</v>
      </c>
      <c r="BP105" s="263">
        <f t="shared" si="43"/>
        <v>1</v>
      </c>
      <c r="BQ105" s="203"/>
      <c r="BR105" s="262">
        <f>Parameters!$B$12*AG105</f>
        <v>102.77777777777779</v>
      </c>
      <c r="BS105" s="262">
        <f>SUM(Distributievergoedingen!$F$12,Distributievergoedingen!$I$12,Distributievergoedingen!$L$12,Distributievergoedingen!$O$12)*AF105+SUM(Distributievergoedingen!$O$12*AA105+Distributievergoedingen!$R$12+Distributievergoedingen!$U$12+Distributievergoedingen!$X$12)/(MAX(36,12*L105))</f>
        <v>112.77777777777777</v>
      </c>
      <c r="BT105" s="202"/>
      <c r="BU105" s="202">
        <f t="shared" si="52"/>
        <v>215.55555555555554</v>
      </c>
      <c r="BW105" s="151">
        <f t="shared" si="53"/>
        <v>216.55555555555554</v>
      </c>
      <c r="BY105" s="140">
        <f t="shared" si="54"/>
        <v>811.22222222222229</v>
      </c>
      <c r="BZ105" s="141">
        <f t="shared" si="55"/>
        <v>0.78929729729729736</v>
      </c>
      <c r="CA105" s="142" t="b">
        <f t="shared" si="56"/>
        <v>0</v>
      </c>
    </row>
    <row r="106" spans="1:79">
      <c r="A106" s="160" t="str">
        <f t="shared" si="72"/>
        <v>2SA IPVPNPremiumnationaal8192/8192</v>
      </c>
      <c r="B106" s="142" t="str">
        <f t="shared" si="81"/>
        <v>2SA IPVPN8192/8192Premium</v>
      </c>
      <c r="C106" s="198">
        <v>2</v>
      </c>
      <c r="D106" s="198" t="s">
        <v>93</v>
      </c>
      <c r="E106" s="198" t="s">
        <v>70</v>
      </c>
      <c r="F106" s="198" t="s">
        <v>115</v>
      </c>
      <c r="G106" s="199" t="s">
        <v>113</v>
      </c>
      <c r="H106" s="198" t="s">
        <v>94</v>
      </c>
      <c r="J106" s="142" t="str">
        <f t="shared" si="73"/>
        <v>SA IPVPN8192/8192Premium</v>
      </c>
      <c r="L106" s="160">
        <f>INDEX(Mapping!$J:$J,MATCH(C$3&amp;C106,Mapping!$B:$B,0))</f>
        <v>1</v>
      </c>
      <c r="M106" s="148" t="str">
        <f>INDEX(Mapping!$H:$H,MATCH($E106,Mapping!$B:$B,0))</f>
        <v>WBA ZM Ethernet</v>
      </c>
      <c r="N106" s="148" t="str">
        <f>INDEX(Mapping!$I:$I,MATCH($E106&amp;$G106,Mapping!$B:$B,0))</f>
        <v>premium</v>
      </c>
      <c r="O106" s="148" t="str">
        <f>INDEX(Mapping!$I:$I,MATCH($D106,Mapping!$B:$B,0))</f>
        <v>FttH</v>
      </c>
      <c r="P106" s="148" t="str">
        <f>INDEX(Mapping!$H:$H,MATCH($F106,Mapping!$B:$B,0))</f>
        <v>nvt</v>
      </c>
      <c r="Q106" s="148" t="str">
        <f>INDEX(Mapping!$J:$J,MATCH($E106&amp;$G106,Mapping!$B:$B,0))</f>
        <v>metro</v>
      </c>
      <c r="R106" s="148" t="str">
        <f>INDEX(Mapping!$I:$I,MATCH($J106,Mapping!$B:$B,0))</f>
        <v>10 Mbps/10 Mbps</v>
      </c>
      <c r="T106" s="148" t="str">
        <f>INDEX(Mapping!$K:$K,MATCH($E106&amp;$G106,Mapping!$B:$B,0))</f>
        <v>metro-nationaal</v>
      </c>
      <c r="U106" s="142" t="str">
        <f t="shared" si="71"/>
        <v>WBA ZM Ethernet10 Mbps/10 Mbpspremiummetro</v>
      </c>
      <c r="W106" s="160">
        <f>MATCH($J106,'Tarieven ZM'!$B:$B,0)</f>
        <v>58</v>
      </c>
      <c r="X106" s="148">
        <f>INDEX('Tarieven ZM'!$H:$H,$W106)</f>
        <v>1000</v>
      </c>
      <c r="Y106" s="161">
        <f>-INDEX(Parameters!$B:$B,MATCH(Y$3,Parameters!$A:$A,0))*$X106</f>
        <v>0</v>
      </c>
      <c r="Z106" s="149">
        <f>-INDEX(Parameters!$B:$B,MATCH(Z$3,Parameters!$A:$A,0))*$X106</f>
        <v>0</v>
      </c>
      <c r="AA106" s="148">
        <f t="shared" si="74"/>
        <v>1000</v>
      </c>
      <c r="AB106" s="148">
        <f>AA106/INDEX(Parameters!$B:$B,MATCH("AfschrijftermijnVVE"&amp;12*$C106,Parameters!$A:$A,0))</f>
        <v>27.777777777777779</v>
      </c>
      <c r="AC106" s="148">
        <f>INDEX('Tarieven ZM'!$G:$G,$W106)</f>
        <v>1000</v>
      </c>
      <c r="AD106" s="161">
        <f>-INDEX(Parameters!$B:$B,MATCH(AD$3,Parameters!$A:$A,0))*$AC106</f>
        <v>0</v>
      </c>
      <c r="AE106" s="161">
        <f>-INDEX(Parameters!$B:$B,MATCH(AE$3,Parameters!$A:$A,0))*$AC106</f>
        <v>0</v>
      </c>
      <c r="AF106" s="148">
        <f t="shared" si="75"/>
        <v>1000</v>
      </c>
      <c r="AG106" s="151">
        <f t="shared" si="82"/>
        <v>1027.7777777777778</v>
      </c>
      <c r="AH106" s="123"/>
      <c r="AI106" s="147">
        <f>IF(R106&lt;&gt;"n.a.",MATCH($U106,'Tarieven W&amp;O'!$B:$B,0),"nvt")</f>
        <v>141</v>
      </c>
      <c r="AJ106" s="148">
        <f>IF(AI106&lt;&gt;"nvt",INDEX('Tarieven W&amp;O'!$H:$H,$AI106),0)</f>
        <v>0</v>
      </c>
      <c r="AK106" s="148">
        <f>IF(AI106&lt;&gt;"nvt",INDEX('Tarieven W&amp;O'!$I:$I,$AI106),0)</f>
        <v>5</v>
      </c>
      <c r="AL106" s="277">
        <f>IF(AI106&lt;&gt;"nvt",-INDEX(Parameters!$B:$B,MATCH(AL$3&amp;$M106,Parameters!$A:$A,0))*(AJ106+AK106),0)</f>
        <v>0</v>
      </c>
      <c r="AM106" s="442"/>
      <c r="AN106" s="262">
        <f t="shared" si="76"/>
        <v>5</v>
      </c>
      <c r="AO106" s="262">
        <f>AN106/INDEX(Parameters!$B:$B,MATCH("AfschrijftermijnVVE"&amp;12*$C106,Parameters!$A:$A,0))</f>
        <v>0.1388888888888889</v>
      </c>
      <c r="AP106" s="179">
        <f t="shared" si="77"/>
        <v>141</v>
      </c>
      <c r="AQ106" s="202">
        <f>IF(AP106&lt;&gt;"nvt",INDEX('Tarieven W&amp;O'!$G:$G,$AP106),0)</f>
        <v>26.28</v>
      </c>
      <c r="AR106" s="277">
        <f>-INDEX(Parameters!$B:$B,MATCH(AR$3&amp;$M106&amp;O106,Parameters!$A:$A,0))*(AQ106)</f>
        <v>0</v>
      </c>
      <c r="AS106" s="262">
        <f>Parameters!$D$54</f>
        <v>2</v>
      </c>
      <c r="AT106" s="442">
        <f>IF(M106="WBA CM Ethernet",0,'EDC Minus'!$H$27)</f>
        <v>1</v>
      </c>
      <c r="AU106" s="150">
        <f t="shared" si="83"/>
        <v>29.28</v>
      </c>
      <c r="AV106" s="150">
        <f t="shared" si="84"/>
        <v>29.41888888888889</v>
      </c>
      <c r="AW106" s="150"/>
      <c r="AX106" s="150">
        <f>Parameters!$B$6*AV106</f>
        <v>0.29418888888888889</v>
      </c>
      <c r="AY106" s="202">
        <v>0</v>
      </c>
      <c r="AZ106" s="202"/>
      <c r="BA106" s="150">
        <f t="shared" si="85"/>
        <v>0.29418888888888889</v>
      </c>
      <c r="BB106" s="150"/>
      <c r="BC106" s="151">
        <f t="shared" si="86"/>
        <v>29.71307777777778</v>
      </c>
      <c r="BD106" s="209"/>
      <c r="BE106" s="140">
        <f t="shared" si="79"/>
        <v>998.06470000000002</v>
      </c>
      <c r="BF106" s="141">
        <f t="shared" si="80"/>
        <v>0.97108997837837829</v>
      </c>
      <c r="BG106" s="142" t="b">
        <f t="shared" si="78"/>
        <v>0</v>
      </c>
      <c r="BH106" s="148"/>
      <c r="BI106" s="188" t="s">
        <v>538</v>
      </c>
      <c r="BJ106" s="189"/>
      <c r="BK106">
        <f>VLOOKUP(J106,'Tarieven ZM'!$B$7:$I$146,8,0)</f>
        <v>0</v>
      </c>
      <c r="BL106" s="179" t="str">
        <f>INDEX(Mapping!$M:$M,MATCH($J106,Mapping!$B:$B,0))</f>
        <v>nvt</v>
      </c>
      <c r="BM106" s="282">
        <v>0</v>
      </c>
      <c r="BN106" s="262">
        <f>BM106/INDEX(Parameters!$B:$B,MATCH("AfschrijftermijnVVE"&amp;12*$C106,Parameters!$A:$A,0))</f>
        <v>0</v>
      </c>
      <c r="BO106" s="262">
        <f>Parameters!$D$59+INDEX('inkoop ULL tbv Epacity'!I:I,MATCH($BL106,'inkoop ULL tbv Epacity'!H:H,0))</f>
        <v>1</v>
      </c>
      <c r="BP106" s="263">
        <f t="shared" si="43"/>
        <v>1</v>
      </c>
      <c r="BQ106" s="203"/>
      <c r="BR106" s="262">
        <f>Parameters!$B$12*AG106</f>
        <v>102.77777777777779</v>
      </c>
      <c r="BS106" s="262">
        <f>SUM(Distributievergoedingen!$F$12,Distributievergoedingen!$I$12,Distributievergoedingen!$L$12,Distributievergoedingen!$O$12)*AF106+SUM(Distributievergoedingen!$O$12*AA106+Distributievergoedingen!$R$12+Distributievergoedingen!$U$12+Distributievergoedingen!$X$12)/(MAX(36,12*L106))</f>
        <v>112.77777777777777</v>
      </c>
      <c r="BT106" s="202"/>
      <c r="BU106" s="202">
        <f t="shared" si="52"/>
        <v>215.55555555555554</v>
      </c>
      <c r="BW106" s="151">
        <f t="shared" si="53"/>
        <v>216.55555555555554</v>
      </c>
      <c r="BY106" s="140">
        <f t="shared" si="54"/>
        <v>811.22222222222229</v>
      </c>
      <c r="BZ106" s="141">
        <f t="shared" si="55"/>
        <v>0.78929729729729736</v>
      </c>
      <c r="CA106" s="142" t="b">
        <f t="shared" si="56"/>
        <v>0</v>
      </c>
    </row>
    <row r="107" spans="1:79">
      <c r="A107" s="160" t="str">
        <f t="shared" si="72"/>
        <v>2SA IPVPNPremiumnationaal10240/10240</v>
      </c>
      <c r="B107" s="142" t="str">
        <f t="shared" si="81"/>
        <v>2SA IPVPN10240/10240Premium</v>
      </c>
      <c r="C107" s="198">
        <v>2</v>
      </c>
      <c r="D107" s="198" t="s">
        <v>93</v>
      </c>
      <c r="E107" s="198" t="s">
        <v>70</v>
      </c>
      <c r="F107" s="198" t="s">
        <v>115</v>
      </c>
      <c r="G107" s="199" t="s">
        <v>113</v>
      </c>
      <c r="H107" s="198" t="s">
        <v>95</v>
      </c>
      <c r="J107" s="142" t="str">
        <f t="shared" si="73"/>
        <v>SA IPVPN10240/10240Premium</v>
      </c>
      <c r="L107" s="160">
        <f>INDEX(Mapping!$J:$J,MATCH(C$3&amp;C107,Mapping!$B:$B,0))</f>
        <v>1</v>
      </c>
      <c r="M107" s="148" t="str">
        <f>INDEX(Mapping!$H:$H,MATCH($E107,Mapping!$B:$B,0))</f>
        <v>WBA ZM Ethernet</v>
      </c>
      <c r="N107" s="148" t="str">
        <f>INDEX(Mapping!$I:$I,MATCH($E107&amp;$G107,Mapping!$B:$B,0))</f>
        <v>premium</v>
      </c>
      <c r="O107" s="148" t="str">
        <f>INDEX(Mapping!$I:$I,MATCH($D107,Mapping!$B:$B,0))</f>
        <v>FttH</v>
      </c>
      <c r="P107" s="148" t="str">
        <f>INDEX(Mapping!$H:$H,MATCH($F107,Mapping!$B:$B,0))</f>
        <v>nvt</v>
      </c>
      <c r="Q107" s="148" t="str">
        <f>INDEX(Mapping!$J:$J,MATCH($E107&amp;$G107,Mapping!$B:$B,0))</f>
        <v>metro</v>
      </c>
      <c r="R107" s="148" t="str">
        <f>INDEX(Mapping!$I:$I,MATCH($J107,Mapping!$B:$B,0))</f>
        <v>10 Mbps/10 Mbps</v>
      </c>
      <c r="T107" s="148" t="str">
        <f>INDEX(Mapping!$K:$K,MATCH($E107&amp;$G107,Mapping!$B:$B,0))</f>
        <v>metro-nationaal</v>
      </c>
      <c r="U107" s="142" t="str">
        <f t="shared" si="71"/>
        <v>WBA ZM Ethernet10 Mbps/10 Mbpspremiummetro</v>
      </c>
      <c r="W107" s="160">
        <f>MATCH($J107,'Tarieven ZM'!$B:$B,0)</f>
        <v>59</v>
      </c>
      <c r="X107" s="148">
        <f>INDEX('Tarieven ZM'!$H:$H,$W107)</f>
        <v>1000</v>
      </c>
      <c r="Y107" s="161">
        <f>-INDEX(Parameters!$B:$B,MATCH(Y$3,Parameters!$A:$A,0))*$X107</f>
        <v>0</v>
      </c>
      <c r="Z107" s="149">
        <f>-INDEX(Parameters!$B:$B,MATCH(Z$3,Parameters!$A:$A,0))*$X107</f>
        <v>0</v>
      </c>
      <c r="AA107" s="148">
        <f t="shared" si="74"/>
        <v>1000</v>
      </c>
      <c r="AB107" s="148">
        <f>AA107/INDEX(Parameters!$B:$B,MATCH("AfschrijftermijnVVE"&amp;12*$C107,Parameters!$A:$A,0))</f>
        <v>27.777777777777779</v>
      </c>
      <c r="AC107" s="148">
        <f>INDEX('Tarieven ZM'!$G:$G,$W107)</f>
        <v>1000</v>
      </c>
      <c r="AD107" s="161">
        <f>-INDEX(Parameters!$B:$B,MATCH(AD$3,Parameters!$A:$A,0))*$AC107</f>
        <v>0</v>
      </c>
      <c r="AE107" s="161">
        <f>-INDEX(Parameters!$B:$B,MATCH(AE$3,Parameters!$A:$A,0))*$AC107</f>
        <v>0</v>
      </c>
      <c r="AF107" s="148">
        <f t="shared" si="75"/>
        <v>1000</v>
      </c>
      <c r="AG107" s="151">
        <f t="shared" si="82"/>
        <v>1027.7777777777778</v>
      </c>
      <c r="AH107" s="123"/>
      <c r="AI107" s="147">
        <f>IF(R107&lt;&gt;"n.a.",MATCH($U107,'Tarieven W&amp;O'!$B:$B,0),"nvt")</f>
        <v>141</v>
      </c>
      <c r="AJ107" s="148">
        <f>IF(AI107&lt;&gt;"nvt",INDEX('Tarieven W&amp;O'!$H:$H,$AI107),0)</f>
        <v>0</v>
      </c>
      <c r="AK107" s="148">
        <f>IF(AI107&lt;&gt;"nvt",INDEX('Tarieven W&amp;O'!$I:$I,$AI107),0)</f>
        <v>5</v>
      </c>
      <c r="AL107" s="277">
        <f>IF(AI107&lt;&gt;"nvt",-INDEX(Parameters!$B:$B,MATCH(AL$3&amp;$M107,Parameters!$A:$A,0))*(AJ107+AK107),0)</f>
        <v>0</v>
      </c>
      <c r="AM107" s="442"/>
      <c r="AN107" s="262">
        <f t="shared" si="76"/>
        <v>5</v>
      </c>
      <c r="AO107" s="262">
        <f>AN107/INDEX(Parameters!$B:$B,MATCH("AfschrijftermijnVVE"&amp;12*$C107,Parameters!$A:$A,0))</f>
        <v>0.1388888888888889</v>
      </c>
      <c r="AP107" s="179">
        <f t="shared" si="77"/>
        <v>141</v>
      </c>
      <c r="AQ107" s="202">
        <f>IF(AP107&lt;&gt;"nvt",INDEX('Tarieven W&amp;O'!$G:$G,$AP107),0)</f>
        <v>26.28</v>
      </c>
      <c r="AR107" s="277">
        <f>-INDEX(Parameters!$B:$B,MATCH(AR$3&amp;$M107&amp;O107,Parameters!$A:$A,0))*(AQ107)</f>
        <v>0</v>
      </c>
      <c r="AS107" s="262">
        <f>Parameters!$D$54</f>
        <v>2</v>
      </c>
      <c r="AT107" s="442">
        <f>IF(M107="WBA CM Ethernet",0,'EDC Minus'!$H$27)</f>
        <v>1</v>
      </c>
      <c r="AU107" s="150">
        <f t="shared" si="83"/>
        <v>29.28</v>
      </c>
      <c r="AV107" s="150">
        <f t="shared" si="84"/>
        <v>29.41888888888889</v>
      </c>
      <c r="AW107" s="150"/>
      <c r="AX107" s="150">
        <f>Parameters!$B$6*AV107</f>
        <v>0.29418888888888889</v>
      </c>
      <c r="AY107" s="202">
        <v>0</v>
      </c>
      <c r="AZ107" s="202"/>
      <c r="BA107" s="150">
        <f t="shared" si="85"/>
        <v>0.29418888888888889</v>
      </c>
      <c r="BB107" s="150"/>
      <c r="BC107" s="151">
        <f t="shared" si="86"/>
        <v>29.71307777777778</v>
      </c>
      <c r="BD107" s="209"/>
      <c r="BE107" s="140">
        <f t="shared" si="79"/>
        <v>998.06470000000002</v>
      </c>
      <c r="BF107" s="141">
        <f t="shared" si="80"/>
        <v>0.97108997837837829</v>
      </c>
      <c r="BG107" s="142" t="b">
        <f t="shared" si="78"/>
        <v>0</v>
      </c>
      <c r="BH107" s="148"/>
      <c r="BI107" s="188" t="s">
        <v>538</v>
      </c>
      <c r="BJ107" s="189"/>
      <c r="BK107">
        <f>VLOOKUP(J107,'Tarieven ZM'!$B$7:$I$146,8,0)</f>
        <v>0</v>
      </c>
      <c r="BL107" s="179" t="str">
        <f>INDEX(Mapping!$M:$M,MATCH($J107,Mapping!$B:$B,0))</f>
        <v>nvt</v>
      </c>
      <c r="BM107" s="282">
        <v>0</v>
      </c>
      <c r="BN107" s="262">
        <f>BM107/INDEX(Parameters!$B:$B,MATCH("AfschrijftermijnVVE"&amp;12*$C107,Parameters!$A:$A,0))</f>
        <v>0</v>
      </c>
      <c r="BO107" s="262">
        <f>Parameters!$D$59+INDEX('inkoop ULL tbv Epacity'!I:I,MATCH($BL107,'inkoop ULL tbv Epacity'!H:H,0))</f>
        <v>1</v>
      </c>
      <c r="BP107" s="263">
        <f t="shared" si="43"/>
        <v>1</v>
      </c>
      <c r="BQ107" s="203"/>
      <c r="BR107" s="262">
        <f>Parameters!$B$12*AG107</f>
        <v>102.77777777777779</v>
      </c>
      <c r="BS107" s="262">
        <f>SUM(Distributievergoedingen!$F$12,Distributievergoedingen!$I$12,Distributievergoedingen!$L$12,Distributievergoedingen!$O$12)*AF107+SUM(Distributievergoedingen!$O$12*AA107+Distributievergoedingen!$R$12+Distributievergoedingen!$U$12+Distributievergoedingen!$X$12)/(MAX(36,12*L107))</f>
        <v>112.77777777777777</v>
      </c>
      <c r="BT107" s="202"/>
      <c r="BU107" s="202">
        <f t="shared" si="52"/>
        <v>215.55555555555554</v>
      </c>
      <c r="BW107" s="151">
        <f t="shared" si="53"/>
        <v>216.55555555555554</v>
      </c>
      <c r="BY107" s="140">
        <f t="shared" si="54"/>
        <v>811.22222222222229</v>
      </c>
      <c r="BZ107" s="141">
        <f t="shared" si="55"/>
        <v>0.78929729729729736</v>
      </c>
      <c r="CA107" s="142" t="b">
        <f t="shared" si="56"/>
        <v>0</v>
      </c>
    </row>
    <row r="108" spans="1:79">
      <c r="A108" s="160" t="str">
        <f t="shared" ref="A108:A148" si="87">C108&amp;D108&amp;E108&amp;G108&amp;H108</f>
        <v>3ADSLBasicnationaal384/128</v>
      </c>
      <c r="B108" s="142" t="str">
        <f t="shared" si="81"/>
        <v>3ADSL384/128Basic</v>
      </c>
      <c r="C108" s="198">
        <v>3</v>
      </c>
      <c r="D108" s="198" t="s">
        <v>42</v>
      </c>
      <c r="E108" s="198" t="s">
        <v>44</v>
      </c>
      <c r="F108" s="198" t="s">
        <v>115</v>
      </c>
      <c r="G108" s="199" t="s">
        <v>113</v>
      </c>
      <c r="H108" s="198" t="s">
        <v>47</v>
      </c>
      <c r="J108" s="142" t="str">
        <f t="shared" ref="J108:J148" si="88">D108&amp;H108&amp;E108</f>
        <v>ADSL384/128Basic</v>
      </c>
      <c r="L108" s="160">
        <f>INDEX(Mapping!$J:$J,MATCH(C$3&amp;C108,Mapping!$B:$B,0))</f>
        <v>1</v>
      </c>
      <c r="M108" s="148" t="str">
        <f>INDEX(Mapping!$H:$H,MATCH($E108,Mapping!$B:$B,0))</f>
        <v>WBA CM Ethernet</v>
      </c>
      <c r="N108" s="148" t="str">
        <f>INDEX(Mapping!$I:$I,MATCH($E108&amp;$G108,Mapping!$B:$B,0))</f>
        <v>entry</v>
      </c>
      <c r="O108" s="148" t="str">
        <f>INDEX(Mapping!$I:$I,MATCH($D108,Mapping!$B:$B,0))</f>
        <v>ADSL</v>
      </c>
      <c r="P108" s="148" t="str">
        <f>INDEX(Mapping!$H:$H,MATCH($F108,Mapping!$B:$B,0))</f>
        <v>nvt</v>
      </c>
      <c r="Q108" s="148" t="str">
        <f>INDEX(Mapping!$J:$J,MATCH($E108&amp;$G108,Mapping!$B:$B,0))</f>
        <v>national</v>
      </c>
      <c r="R108" s="148" t="str">
        <f>INDEX(Mapping!$I:$I,MATCH($J108,Mapping!$B:$B,0))</f>
        <v>&lt;= 512 kbps/&lt;= 256 kbps</v>
      </c>
      <c r="T108" s="148" t="str">
        <f>INDEX(Mapping!$K:$K,MATCH($E108&amp;$G108,Mapping!$B:$B,0))</f>
        <v>nvt</v>
      </c>
      <c r="U108" s="142" t="str">
        <f t="shared" ref="U108:U147" si="89">M108&amp;R108&amp;N108&amp;Q108</f>
        <v>WBA CM Ethernet&lt;= 512 kbps/&lt;= 256 kbpsentrynational</v>
      </c>
      <c r="W108" s="160">
        <f>MATCH($J108,'Tarieven ZM'!$B:$B,0)</f>
        <v>8</v>
      </c>
      <c r="X108" s="148">
        <f>INDEX('Tarieven ZM'!$H:$H,$W108)</f>
        <v>1000</v>
      </c>
      <c r="Y108" s="161">
        <f>-INDEX(Parameters!$B:$B,MATCH(Y$3,Parameters!$A:$A,0))*$X108</f>
        <v>0</v>
      </c>
      <c r="Z108" s="149">
        <f>-INDEX(Parameters!$B:$B,MATCH(Z$3,Parameters!$A:$A,0))*$X108</f>
        <v>0</v>
      </c>
      <c r="AA108" s="148">
        <f t="shared" ref="AA108:AA148" si="90">SUM(X108:Z108)</f>
        <v>1000</v>
      </c>
      <c r="AB108" s="148">
        <f>AA108/INDEX(Parameters!$B:$B,MATCH("AfschrijftermijnVVE"&amp;12*$C108,Parameters!$A:$A,0))</f>
        <v>27.777777777777779</v>
      </c>
      <c r="AC108" s="148">
        <f>INDEX('Tarieven ZM'!$G:$G,$W108)</f>
        <v>1000</v>
      </c>
      <c r="AD108" s="161">
        <f>-INDEX(Parameters!$B:$B,MATCH(AD$3,Parameters!$A:$A,0))*$AC108</f>
        <v>0</v>
      </c>
      <c r="AE108" s="161">
        <f>-INDEX(Parameters!$B:$B,MATCH(AE$3,Parameters!$A:$A,0))*$AC108</f>
        <v>0</v>
      </c>
      <c r="AF108" s="148">
        <f t="shared" ref="AF108:AF148" si="91">SUM(AC108:AE108)</f>
        <v>1000</v>
      </c>
      <c r="AG108" s="151">
        <f t="shared" si="82"/>
        <v>1027.7777777777778</v>
      </c>
      <c r="AH108" s="123"/>
      <c r="AI108" s="147">
        <f>IF(R108&lt;&gt;"n.a.",MATCH($U108,'Tarieven W&amp;O'!$B:$B,0),"nvt")</f>
        <v>115</v>
      </c>
      <c r="AJ108" s="148">
        <f>IF(AI108&lt;&gt;"nvt",INDEX('Tarieven W&amp;O'!$H:$H,$AI108),0)</f>
        <v>0</v>
      </c>
      <c r="AK108" s="148">
        <f>IF(AI108&lt;&gt;"nvt",INDEX('Tarieven W&amp;O'!$I:$I,$AI108),0)</f>
        <v>5</v>
      </c>
      <c r="AL108" s="277">
        <f>IF(AI108&lt;&gt;"nvt",-INDEX(Parameters!$B:$B,MATCH(AL$3&amp;$M108,Parameters!$A:$A,0))*(AJ108+AK108),0)</f>
        <v>0</v>
      </c>
      <c r="AM108" s="442"/>
      <c r="AN108" s="262">
        <f t="shared" ref="AN108:AN148" si="92">SUM(AJ108:AM108)</f>
        <v>5</v>
      </c>
      <c r="AO108" s="262">
        <f>AN108/INDEX(Parameters!$B:$B,MATCH("AfschrijftermijnVVE"&amp;12*$C108,Parameters!$A:$A,0))</f>
        <v>0.1388888888888889</v>
      </c>
      <c r="AP108" s="179">
        <f t="shared" ref="AP108:AP148" si="93">AI108</f>
        <v>115</v>
      </c>
      <c r="AQ108" s="202">
        <f>IF(AP108&lt;&gt;"nvt",INDEX('Tarieven W&amp;O'!$G:$G,$AP108),0)</f>
        <v>3.02</v>
      </c>
      <c r="AR108" s="277">
        <f>-INDEX(Parameters!$B:$B,MATCH(AR$3&amp;$M108&amp;O108,Parameters!$A:$A,0))*(AQ108)</f>
        <v>-0.30200000000000005</v>
      </c>
      <c r="AS108" s="262">
        <f>Parameters!$D$54</f>
        <v>2</v>
      </c>
      <c r="AT108" s="442">
        <f>IF(M108="WBA CM Ethernet",0,'EDC Minus'!$H$27)</f>
        <v>0</v>
      </c>
      <c r="AU108" s="150">
        <f t="shared" si="83"/>
        <v>4.718</v>
      </c>
      <c r="AV108" s="150">
        <f t="shared" si="84"/>
        <v>4.8568888888888893</v>
      </c>
      <c r="AW108" s="150"/>
      <c r="AX108" s="150">
        <f>Parameters!$B$6*AV108</f>
        <v>4.8568888888888891E-2</v>
      </c>
      <c r="AY108" s="202">
        <v>0</v>
      </c>
      <c r="AZ108" s="202"/>
      <c r="BA108" s="150">
        <f t="shared" si="85"/>
        <v>4.8568888888888891E-2</v>
      </c>
      <c r="BB108" s="150"/>
      <c r="BC108" s="151">
        <f t="shared" si="86"/>
        <v>4.9054577777777784</v>
      </c>
      <c r="BD108" s="209"/>
      <c r="BE108" s="140">
        <f t="shared" si="79"/>
        <v>1022.8723200000001</v>
      </c>
      <c r="BF108" s="141">
        <f t="shared" si="80"/>
        <v>0.99522712216216214</v>
      </c>
      <c r="BG108" s="142" t="b">
        <f t="shared" ref="BG108:BG148" si="94">BF108&lt;0</f>
        <v>0</v>
      </c>
      <c r="BH108" s="179"/>
      <c r="BI108" s="188" t="s">
        <v>538</v>
      </c>
      <c r="BJ108" s="189"/>
      <c r="BK108">
        <f>VLOOKUP(J108,'Tarieven ZM'!$B$7:$I$146,8,0)</f>
        <v>0</v>
      </c>
      <c r="BL108" s="179" t="str">
        <f>INDEX(Mapping!$M:$M,MATCH($J108,Mapping!$B:$B,0))</f>
        <v>nvt</v>
      </c>
      <c r="BM108" s="282">
        <v>0</v>
      </c>
      <c r="BN108" s="262">
        <f>BM108/INDEX(Parameters!$B:$B,MATCH("AfschrijftermijnVVE"&amp;12*$C108,Parameters!$A:$A,0))</f>
        <v>0</v>
      </c>
      <c r="BO108" s="262">
        <f>Parameters!$D$59+INDEX('inkoop ULL tbv Epacity'!I:I,MATCH($BL108,'inkoop ULL tbv Epacity'!H:H,0))</f>
        <v>1</v>
      </c>
      <c r="BP108" s="263">
        <f t="shared" ref="BP108:BP159" si="95">BN108+BO108</f>
        <v>1</v>
      </c>
      <c r="BQ108" s="203"/>
      <c r="BR108" s="262">
        <f>Parameters!$B$12*AG108</f>
        <v>102.77777777777779</v>
      </c>
      <c r="BS108" s="262">
        <f>SUM(Distributievergoedingen!$F$12,Distributievergoedingen!$I$12,Distributievergoedingen!$L$12,Distributievergoedingen!$O$12)*AF108+SUM(Distributievergoedingen!$O$12*AA108+Distributievergoedingen!$R$12+Distributievergoedingen!$U$12+Distributievergoedingen!$X$12)/(MAX(36,12*L108))</f>
        <v>112.77777777777777</v>
      </c>
      <c r="BT108" s="202"/>
      <c r="BU108" s="202">
        <f t="shared" si="52"/>
        <v>215.55555555555554</v>
      </c>
      <c r="BW108" s="151">
        <f t="shared" si="53"/>
        <v>216.55555555555554</v>
      </c>
      <c r="BY108" s="140">
        <f t="shared" si="54"/>
        <v>811.22222222222229</v>
      </c>
      <c r="BZ108" s="141">
        <f t="shared" si="55"/>
        <v>0.78929729729729736</v>
      </c>
      <c r="CA108" s="142" t="b">
        <f t="shared" si="56"/>
        <v>0</v>
      </c>
    </row>
    <row r="109" spans="1:79">
      <c r="A109" s="160" t="str">
        <f t="shared" si="87"/>
        <v>3ADSLBasicnationaal512/256</v>
      </c>
      <c r="B109" s="142" t="str">
        <f t="shared" si="81"/>
        <v>3ADSL512/256Basic</v>
      </c>
      <c r="C109" s="198">
        <v>3</v>
      </c>
      <c r="D109" s="198" t="s">
        <v>42</v>
      </c>
      <c r="E109" s="198" t="s">
        <v>44</v>
      </c>
      <c r="F109" s="198" t="s">
        <v>115</v>
      </c>
      <c r="G109" s="199" t="s">
        <v>113</v>
      </c>
      <c r="H109" s="198" t="s">
        <v>49</v>
      </c>
      <c r="J109" s="142" t="str">
        <f t="shared" si="88"/>
        <v>ADSL512/256Basic</v>
      </c>
      <c r="L109" s="160">
        <f>INDEX(Mapping!$J:$J,MATCH(C$3&amp;C109,Mapping!$B:$B,0))</f>
        <v>1</v>
      </c>
      <c r="M109" s="148" t="str">
        <f>INDEX(Mapping!$H:$H,MATCH($E109,Mapping!$B:$B,0))</f>
        <v>WBA CM Ethernet</v>
      </c>
      <c r="N109" s="148" t="str">
        <f>INDEX(Mapping!$I:$I,MATCH($E109&amp;$G109,Mapping!$B:$B,0))</f>
        <v>entry</v>
      </c>
      <c r="O109" s="148" t="str">
        <f>INDEX(Mapping!$I:$I,MATCH($D109,Mapping!$B:$B,0))</f>
        <v>ADSL</v>
      </c>
      <c r="P109" s="148" t="str">
        <f>INDEX(Mapping!$H:$H,MATCH($F109,Mapping!$B:$B,0))</f>
        <v>nvt</v>
      </c>
      <c r="Q109" s="148" t="str">
        <f>INDEX(Mapping!$J:$J,MATCH($E109&amp;$G109,Mapping!$B:$B,0))</f>
        <v>national</v>
      </c>
      <c r="R109" s="148" t="str">
        <f>INDEX(Mapping!$I:$I,MATCH($J109,Mapping!$B:$B,0))</f>
        <v>&lt;= 512 kbps/&lt;= 256 kbps</v>
      </c>
      <c r="T109" s="148" t="str">
        <f>INDEX(Mapping!$K:$K,MATCH($E109&amp;$G109,Mapping!$B:$B,0))</f>
        <v>nvt</v>
      </c>
      <c r="U109" s="142" t="str">
        <f t="shared" si="89"/>
        <v>WBA CM Ethernet&lt;= 512 kbps/&lt;= 256 kbpsentrynational</v>
      </c>
      <c r="W109" s="160">
        <f>MATCH($J109,'Tarieven ZM'!$B:$B,0)</f>
        <v>9</v>
      </c>
      <c r="X109" s="148">
        <f>INDEX('Tarieven ZM'!$H:$H,$W109)</f>
        <v>1000</v>
      </c>
      <c r="Y109" s="161">
        <f>-INDEX(Parameters!$B:$B,MATCH(Y$3,Parameters!$A:$A,0))*$X109</f>
        <v>0</v>
      </c>
      <c r="Z109" s="149">
        <f>-INDEX(Parameters!$B:$B,MATCH(Z$3,Parameters!$A:$A,0))*$X109</f>
        <v>0</v>
      </c>
      <c r="AA109" s="148">
        <f t="shared" si="90"/>
        <v>1000</v>
      </c>
      <c r="AB109" s="148">
        <f>AA109/INDEX(Parameters!$B:$B,MATCH("AfschrijftermijnVVE"&amp;12*$C109,Parameters!$A:$A,0))</f>
        <v>27.777777777777779</v>
      </c>
      <c r="AC109" s="148">
        <f>INDEX('Tarieven ZM'!$G:$G,$W109)</f>
        <v>1000</v>
      </c>
      <c r="AD109" s="161">
        <f>-INDEX(Parameters!$B:$B,MATCH(AD$3,Parameters!$A:$A,0))*$AC109</f>
        <v>0</v>
      </c>
      <c r="AE109" s="161">
        <f>-INDEX(Parameters!$B:$B,MATCH(AE$3,Parameters!$A:$A,0))*$AC109</f>
        <v>0</v>
      </c>
      <c r="AF109" s="148">
        <f t="shared" si="91"/>
        <v>1000</v>
      </c>
      <c r="AG109" s="151">
        <f t="shared" si="82"/>
        <v>1027.7777777777778</v>
      </c>
      <c r="AH109" s="123"/>
      <c r="AI109" s="147">
        <f>IF(R109&lt;&gt;"n.a.",MATCH($U109,'Tarieven W&amp;O'!$B:$B,0),"nvt")</f>
        <v>115</v>
      </c>
      <c r="AJ109" s="148">
        <f>IF(AI109&lt;&gt;"nvt",INDEX('Tarieven W&amp;O'!$H:$H,$AI109),0)</f>
        <v>0</v>
      </c>
      <c r="AK109" s="148">
        <f>IF(AI109&lt;&gt;"nvt",INDEX('Tarieven W&amp;O'!$I:$I,$AI109),0)</f>
        <v>5</v>
      </c>
      <c r="AL109" s="277">
        <f>IF(AI109&lt;&gt;"nvt",-INDEX(Parameters!$B:$B,MATCH(AL$3&amp;$M109,Parameters!$A:$A,0))*(AJ109+AK109),0)</f>
        <v>0</v>
      </c>
      <c r="AM109" s="442"/>
      <c r="AN109" s="262">
        <f t="shared" si="92"/>
        <v>5</v>
      </c>
      <c r="AO109" s="262">
        <f>AN109/INDEX(Parameters!$B:$B,MATCH("AfschrijftermijnVVE"&amp;12*$C109,Parameters!$A:$A,0))</f>
        <v>0.1388888888888889</v>
      </c>
      <c r="AP109" s="179">
        <f t="shared" si="93"/>
        <v>115</v>
      </c>
      <c r="AQ109" s="202">
        <f>IF(AP109&lt;&gt;"nvt",INDEX('Tarieven W&amp;O'!$G:$G,$AP109),0)</f>
        <v>3.02</v>
      </c>
      <c r="AR109" s="277">
        <f>-INDEX(Parameters!$B:$B,MATCH(AR$3&amp;$M109&amp;O109,Parameters!$A:$A,0))*(AQ109)</f>
        <v>-0.30200000000000005</v>
      </c>
      <c r="AS109" s="262">
        <f>Parameters!$D$54</f>
        <v>2</v>
      </c>
      <c r="AT109" s="442">
        <f>IF(M109="WBA CM Ethernet",0,'EDC Minus'!$H$27)</f>
        <v>0</v>
      </c>
      <c r="AU109" s="150">
        <f t="shared" si="83"/>
        <v>4.718</v>
      </c>
      <c r="AV109" s="150">
        <f t="shared" si="84"/>
        <v>4.8568888888888893</v>
      </c>
      <c r="AW109" s="150"/>
      <c r="AX109" s="150">
        <f>Parameters!$B$6*AV109</f>
        <v>4.8568888888888891E-2</v>
      </c>
      <c r="AY109" s="202">
        <v>0</v>
      </c>
      <c r="AZ109" s="202"/>
      <c r="BA109" s="150">
        <f t="shared" si="85"/>
        <v>4.8568888888888891E-2</v>
      </c>
      <c r="BB109" s="150"/>
      <c r="BC109" s="151">
        <f t="shared" si="86"/>
        <v>4.9054577777777784</v>
      </c>
      <c r="BD109" s="209"/>
      <c r="BE109" s="140">
        <f t="shared" si="79"/>
        <v>1022.8723200000001</v>
      </c>
      <c r="BF109" s="141">
        <f t="shared" si="80"/>
        <v>0.99522712216216214</v>
      </c>
      <c r="BG109" s="142" t="b">
        <f t="shared" si="94"/>
        <v>0</v>
      </c>
      <c r="BH109" s="148"/>
      <c r="BI109" s="188" t="s">
        <v>538</v>
      </c>
      <c r="BJ109" s="189"/>
      <c r="BK109">
        <f>VLOOKUP(J109,'Tarieven ZM'!$B$7:$I$146,8,0)</f>
        <v>0</v>
      </c>
      <c r="BL109" s="179" t="str">
        <f>INDEX(Mapping!$M:$M,MATCH($J109,Mapping!$B:$B,0))</f>
        <v>nvt</v>
      </c>
      <c r="BM109" s="282">
        <v>0</v>
      </c>
      <c r="BN109" s="262">
        <f>BM109/INDEX(Parameters!$B:$B,MATCH("AfschrijftermijnVVE"&amp;12*$C109,Parameters!$A:$A,0))</f>
        <v>0</v>
      </c>
      <c r="BO109" s="262">
        <f>Parameters!$D$59+INDEX('inkoop ULL tbv Epacity'!I:I,MATCH($BL109,'inkoop ULL tbv Epacity'!H:H,0))</f>
        <v>1</v>
      </c>
      <c r="BP109" s="263">
        <f t="shared" si="95"/>
        <v>1</v>
      </c>
      <c r="BQ109" s="203"/>
      <c r="BR109" s="262">
        <f>Parameters!$B$12*AG109</f>
        <v>102.77777777777779</v>
      </c>
      <c r="BS109" s="262">
        <f>SUM(Distributievergoedingen!$F$12,Distributievergoedingen!$I$12,Distributievergoedingen!$L$12,Distributievergoedingen!$O$12)*AF109+SUM(Distributievergoedingen!$O$12*AA109+Distributievergoedingen!$R$12+Distributievergoedingen!$U$12+Distributievergoedingen!$X$12)/(MAX(36,12*L109))</f>
        <v>112.77777777777777</v>
      </c>
      <c r="BT109" s="202"/>
      <c r="BU109" s="202">
        <f t="shared" si="52"/>
        <v>215.55555555555554</v>
      </c>
      <c r="BW109" s="151">
        <f t="shared" si="53"/>
        <v>216.55555555555554</v>
      </c>
      <c r="BY109" s="140">
        <f t="shared" si="54"/>
        <v>811.22222222222229</v>
      </c>
      <c r="BZ109" s="141">
        <f t="shared" si="55"/>
        <v>0.78929729729729736</v>
      </c>
      <c r="CA109" s="142" t="b">
        <f t="shared" si="56"/>
        <v>0</v>
      </c>
    </row>
    <row r="110" spans="1:79">
      <c r="A110" s="160" t="str">
        <f t="shared" si="87"/>
        <v>3ADSLBasicnationaal1024/512</v>
      </c>
      <c r="B110" s="142" t="str">
        <f t="shared" si="81"/>
        <v>3ADSL1024/512Basic</v>
      </c>
      <c r="C110" s="198">
        <v>3</v>
      </c>
      <c r="D110" s="198" t="s">
        <v>42</v>
      </c>
      <c r="E110" s="198" t="s">
        <v>44</v>
      </c>
      <c r="F110" s="198" t="s">
        <v>115</v>
      </c>
      <c r="G110" s="199" t="s">
        <v>113</v>
      </c>
      <c r="H110" s="198" t="s">
        <v>53</v>
      </c>
      <c r="J110" s="142" t="str">
        <f t="shared" si="88"/>
        <v>ADSL1024/512Basic</v>
      </c>
      <c r="L110" s="160">
        <f>INDEX(Mapping!$J:$J,MATCH(C$3&amp;C110,Mapping!$B:$B,0))</f>
        <v>1</v>
      </c>
      <c r="M110" s="148" t="str">
        <f>INDEX(Mapping!$H:$H,MATCH($E110,Mapping!$B:$B,0))</f>
        <v>WBA CM Ethernet</v>
      </c>
      <c r="N110" s="148" t="str">
        <f>INDEX(Mapping!$I:$I,MATCH($E110&amp;$G110,Mapping!$B:$B,0))</f>
        <v>entry</v>
      </c>
      <c r="O110" s="148" t="str">
        <f>INDEX(Mapping!$I:$I,MATCH($D110,Mapping!$B:$B,0))</f>
        <v>ADSL</v>
      </c>
      <c r="P110" s="148" t="str">
        <f>INDEX(Mapping!$H:$H,MATCH($F110,Mapping!$B:$B,0))</f>
        <v>nvt</v>
      </c>
      <c r="Q110" s="148" t="str">
        <f>INDEX(Mapping!$J:$J,MATCH($E110&amp;$G110,Mapping!$B:$B,0))</f>
        <v>national</v>
      </c>
      <c r="R110" s="148" t="str">
        <f>INDEX(Mapping!$I:$I,MATCH($J110,Mapping!$B:$B,0))</f>
        <v>&lt;= 2 Mbps/&lt;= 512 kbps</v>
      </c>
      <c r="T110" s="148" t="str">
        <f>INDEX(Mapping!$K:$K,MATCH($E110&amp;$G110,Mapping!$B:$B,0))</f>
        <v>nvt</v>
      </c>
      <c r="U110" s="142" t="str">
        <f t="shared" si="89"/>
        <v>WBA CM Ethernet&lt;= 2 Mbps/&lt;= 512 kbpsentrynational</v>
      </c>
      <c r="W110" s="160">
        <f>MATCH($J110,'Tarieven ZM'!$B:$B,0)</f>
        <v>10</v>
      </c>
      <c r="X110" s="148">
        <f>INDEX('Tarieven ZM'!$H:$H,$W110)</f>
        <v>1000</v>
      </c>
      <c r="Y110" s="161">
        <f>-INDEX(Parameters!$B:$B,MATCH(Y$3,Parameters!$A:$A,0))*$X110</f>
        <v>0</v>
      </c>
      <c r="Z110" s="149">
        <f>-INDEX(Parameters!$B:$B,MATCH(Z$3,Parameters!$A:$A,0))*$X110</f>
        <v>0</v>
      </c>
      <c r="AA110" s="148">
        <f t="shared" si="90"/>
        <v>1000</v>
      </c>
      <c r="AB110" s="148">
        <f>AA110/INDEX(Parameters!$B:$B,MATCH("AfschrijftermijnVVE"&amp;12*$C110,Parameters!$A:$A,0))</f>
        <v>27.777777777777779</v>
      </c>
      <c r="AC110" s="148">
        <f>INDEX('Tarieven ZM'!$G:$G,$W110)</f>
        <v>1000</v>
      </c>
      <c r="AD110" s="161">
        <f>-INDEX(Parameters!$B:$B,MATCH(AD$3,Parameters!$A:$A,0))*$AC110</f>
        <v>0</v>
      </c>
      <c r="AE110" s="161">
        <f>-INDEX(Parameters!$B:$B,MATCH(AE$3,Parameters!$A:$A,0))*$AC110</f>
        <v>0</v>
      </c>
      <c r="AF110" s="148">
        <f t="shared" si="91"/>
        <v>1000</v>
      </c>
      <c r="AG110" s="151">
        <f t="shared" si="82"/>
        <v>1027.7777777777778</v>
      </c>
      <c r="AH110" s="123"/>
      <c r="AI110" s="147">
        <f>IF(R110&lt;&gt;"n.a.",MATCH($U110,'Tarieven W&amp;O'!$B:$B,0),"nvt")</f>
        <v>116</v>
      </c>
      <c r="AJ110" s="148">
        <f>IF(AI110&lt;&gt;"nvt",INDEX('Tarieven W&amp;O'!$H:$H,$AI110),0)</f>
        <v>0</v>
      </c>
      <c r="AK110" s="148">
        <f>IF(AI110&lt;&gt;"nvt",INDEX('Tarieven W&amp;O'!$I:$I,$AI110),0)</f>
        <v>5</v>
      </c>
      <c r="AL110" s="277">
        <f>IF(AI110&lt;&gt;"nvt",-INDEX(Parameters!$B:$B,MATCH(AL$3&amp;$M110,Parameters!$A:$A,0))*(AJ110+AK110),0)</f>
        <v>0</v>
      </c>
      <c r="AM110" s="442"/>
      <c r="AN110" s="262">
        <f t="shared" si="92"/>
        <v>5</v>
      </c>
      <c r="AO110" s="262">
        <f>AN110/INDEX(Parameters!$B:$B,MATCH("AfschrijftermijnVVE"&amp;12*$C110,Parameters!$A:$A,0))</f>
        <v>0.1388888888888889</v>
      </c>
      <c r="AP110" s="179">
        <f t="shared" si="93"/>
        <v>116</v>
      </c>
      <c r="AQ110" s="202">
        <f>IF(AP110&lt;&gt;"nvt",INDEX('Tarieven W&amp;O'!$G:$G,$AP110),0)</f>
        <v>3.02</v>
      </c>
      <c r="AR110" s="277">
        <f>-INDEX(Parameters!$B:$B,MATCH(AR$3&amp;$M110&amp;O110,Parameters!$A:$A,0))*(AQ110)</f>
        <v>-0.30200000000000005</v>
      </c>
      <c r="AS110" s="262">
        <f>Parameters!$D$54</f>
        <v>2</v>
      </c>
      <c r="AT110" s="442">
        <f>IF(M110="WBA CM Ethernet",0,'EDC Minus'!$H$27)</f>
        <v>0</v>
      </c>
      <c r="AU110" s="150">
        <f t="shared" si="83"/>
        <v>4.718</v>
      </c>
      <c r="AV110" s="150">
        <f t="shared" si="84"/>
        <v>4.8568888888888893</v>
      </c>
      <c r="AW110" s="150"/>
      <c r="AX110" s="150">
        <f>Parameters!$B$6*AV110</f>
        <v>4.8568888888888891E-2</v>
      </c>
      <c r="AY110" s="202">
        <v>0</v>
      </c>
      <c r="AZ110" s="202"/>
      <c r="BA110" s="150">
        <f t="shared" si="85"/>
        <v>4.8568888888888891E-2</v>
      </c>
      <c r="BB110" s="150"/>
      <c r="BC110" s="151">
        <f t="shared" si="86"/>
        <v>4.9054577777777784</v>
      </c>
      <c r="BD110" s="209"/>
      <c r="BE110" s="140">
        <f t="shared" si="79"/>
        <v>1022.8723200000001</v>
      </c>
      <c r="BF110" s="141">
        <f t="shared" si="80"/>
        <v>0.99522712216216214</v>
      </c>
      <c r="BG110" s="142" t="b">
        <f t="shared" si="94"/>
        <v>0</v>
      </c>
      <c r="BH110" s="148"/>
      <c r="BI110" s="188" t="s">
        <v>538</v>
      </c>
      <c r="BJ110" s="189"/>
      <c r="BK110">
        <f>VLOOKUP(J110,'Tarieven ZM'!$B$7:$I$146,8,0)</f>
        <v>0</v>
      </c>
      <c r="BL110" s="179" t="str">
        <f>INDEX(Mapping!$M:$M,MATCH($J110,Mapping!$B:$B,0))</f>
        <v>nvt</v>
      </c>
      <c r="BM110" s="282">
        <v>0</v>
      </c>
      <c r="BN110" s="262">
        <f>BM110/INDEX(Parameters!$B:$B,MATCH("AfschrijftermijnVVE"&amp;12*$C110,Parameters!$A:$A,0))</f>
        <v>0</v>
      </c>
      <c r="BO110" s="262">
        <f>Parameters!$D$59+INDEX('inkoop ULL tbv Epacity'!I:I,MATCH($BL110,'inkoop ULL tbv Epacity'!H:H,0))</f>
        <v>1</v>
      </c>
      <c r="BP110" s="263">
        <f t="shared" si="95"/>
        <v>1</v>
      </c>
      <c r="BQ110" s="203"/>
      <c r="BR110" s="262">
        <f>Parameters!$B$12*AG110</f>
        <v>102.77777777777779</v>
      </c>
      <c r="BS110" s="262">
        <f>SUM(Distributievergoedingen!$F$12,Distributievergoedingen!$I$12,Distributievergoedingen!$L$12,Distributievergoedingen!$O$12)*AF110+SUM(Distributievergoedingen!$O$12*AA110+Distributievergoedingen!$R$12+Distributievergoedingen!$U$12+Distributievergoedingen!$X$12)/(MAX(36,12*L110))</f>
        <v>112.77777777777777</v>
      </c>
      <c r="BT110" s="202"/>
      <c r="BU110" s="202">
        <f t="shared" si="52"/>
        <v>215.55555555555554</v>
      </c>
      <c r="BW110" s="151">
        <f t="shared" si="53"/>
        <v>216.55555555555554</v>
      </c>
      <c r="BY110" s="140">
        <f t="shared" si="54"/>
        <v>811.22222222222229</v>
      </c>
      <c r="BZ110" s="141">
        <f t="shared" si="55"/>
        <v>0.78929729729729736</v>
      </c>
      <c r="CA110" s="142" t="b">
        <f t="shared" si="56"/>
        <v>0</v>
      </c>
    </row>
    <row r="111" spans="1:79">
      <c r="A111" s="160" t="str">
        <f t="shared" si="87"/>
        <v>3ADSLBasicnationaal2048/512</v>
      </c>
      <c r="B111" s="142" t="str">
        <f t="shared" si="81"/>
        <v>3ADSL2048/512Basic</v>
      </c>
      <c r="C111" s="198">
        <v>3</v>
      </c>
      <c r="D111" s="198" t="s">
        <v>42</v>
      </c>
      <c r="E111" s="198" t="s">
        <v>44</v>
      </c>
      <c r="F111" s="198" t="s">
        <v>115</v>
      </c>
      <c r="G111" s="199" t="s">
        <v>113</v>
      </c>
      <c r="H111" s="198" t="s">
        <v>54</v>
      </c>
      <c r="J111" s="142" t="str">
        <f t="shared" si="88"/>
        <v>ADSL2048/512Basic</v>
      </c>
      <c r="L111" s="160">
        <f>INDEX(Mapping!$J:$J,MATCH(C$3&amp;C111,Mapping!$B:$B,0))</f>
        <v>1</v>
      </c>
      <c r="M111" s="148" t="str">
        <f>INDEX(Mapping!$H:$H,MATCH($E111,Mapping!$B:$B,0))</f>
        <v>WBA CM Ethernet</v>
      </c>
      <c r="N111" s="148" t="str">
        <f>INDEX(Mapping!$I:$I,MATCH($E111&amp;$G111,Mapping!$B:$B,0))</f>
        <v>entry</v>
      </c>
      <c r="O111" s="148" t="str">
        <f>INDEX(Mapping!$I:$I,MATCH($D111,Mapping!$B:$B,0))</f>
        <v>ADSL</v>
      </c>
      <c r="P111" s="148" t="str">
        <f>INDEX(Mapping!$H:$H,MATCH($F111,Mapping!$B:$B,0))</f>
        <v>nvt</v>
      </c>
      <c r="Q111" s="148" t="str">
        <f>INDEX(Mapping!$J:$J,MATCH($E111&amp;$G111,Mapping!$B:$B,0))</f>
        <v>national</v>
      </c>
      <c r="R111" s="148" t="str">
        <f>INDEX(Mapping!$I:$I,MATCH($J111,Mapping!$B:$B,0))</f>
        <v>&lt;= 2 Mbps/&lt;= 512 kbps</v>
      </c>
      <c r="T111" s="148" t="str">
        <f>INDEX(Mapping!$K:$K,MATCH($E111&amp;$G111,Mapping!$B:$B,0))</f>
        <v>nvt</v>
      </c>
      <c r="U111" s="142" t="str">
        <f t="shared" si="89"/>
        <v>WBA CM Ethernet&lt;= 2 Mbps/&lt;= 512 kbpsentrynational</v>
      </c>
      <c r="W111" s="160">
        <f>MATCH($J111,'Tarieven ZM'!$B:$B,0)</f>
        <v>11</v>
      </c>
      <c r="X111" s="148">
        <f>INDEX('Tarieven ZM'!$H:$H,$W111)</f>
        <v>1000</v>
      </c>
      <c r="Y111" s="161">
        <f>-INDEX(Parameters!$B:$B,MATCH(Y$3,Parameters!$A:$A,0))*$X111</f>
        <v>0</v>
      </c>
      <c r="Z111" s="149">
        <f>-INDEX(Parameters!$B:$B,MATCH(Z$3,Parameters!$A:$A,0))*$X111</f>
        <v>0</v>
      </c>
      <c r="AA111" s="148">
        <f t="shared" si="90"/>
        <v>1000</v>
      </c>
      <c r="AB111" s="148">
        <f>AA111/INDEX(Parameters!$B:$B,MATCH("AfschrijftermijnVVE"&amp;12*$C111,Parameters!$A:$A,0))</f>
        <v>27.777777777777779</v>
      </c>
      <c r="AC111" s="148">
        <f>INDEX('Tarieven ZM'!$G:$G,$W111)</f>
        <v>1000</v>
      </c>
      <c r="AD111" s="161">
        <f>-INDEX(Parameters!$B:$B,MATCH(AD$3,Parameters!$A:$A,0))*$AC111</f>
        <v>0</v>
      </c>
      <c r="AE111" s="161">
        <f>-INDEX(Parameters!$B:$B,MATCH(AE$3,Parameters!$A:$A,0))*$AC111</f>
        <v>0</v>
      </c>
      <c r="AF111" s="148">
        <f t="shared" si="91"/>
        <v>1000</v>
      </c>
      <c r="AG111" s="151">
        <f t="shared" si="82"/>
        <v>1027.7777777777778</v>
      </c>
      <c r="AH111" s="123"/>
      <c r="AI111" s="147">
        <f>IF(R111&lt;&gt;"n.a.",MATCH($U111,'Tarieven W&amp;O'!$B:$B,0),"nvt")</f>
        <v>116</v>
      </c>
      <c r="AJ111" s="148">
        <f>IF(AI111&lt;&gt;"nvt",INDEX('Tarieven W&amp;O'!$H:$H,$AI111),0)</f>
        <v>0</v>
      </c>
      <c r="AK111" s="148">
        <f>IF(AI111&lt;&gt;"nvt",INDEX('Tarieven W&amp;O'!$I:$I,$AI111),0)</f>
        <v>5</v>
      </c>
      <c r="AL111" s="277">
        <f>IF(AI111&lt;&gt;"nvt",-INDEX(Parameters!$B:$B,MATCH(AL$3&amp;$M111,Parameters!$A:$A,0))*(AJ111+AK111),0)</f>
        <v>0</v>
      </c>
      <c r="AM111" s="442"/>
      <c r="AN111" s="262">
        <f t="shared" si="92"/>
        <v>5</v>
      </c>
      <c r="AO111" s="262">
        <f>AN111/INDEX(Parameters!$B:$B,MATCH("AfschrijftermijnVVE"&amp;12*$C111,Parameters!$A:$A,0))</f>
        <v>0.1388888888888889</v>
      </c>
      <c r="AP111" s="179">
        <f t="shared" si="93"/>
        <v>116</v>
      </c>
      <c r="AQ111" s="202">
        <f>IF(AP111&lt;&gt;"nvt",INDEX('Tarieven W&amp;O'!$G:$G,$AP111),0)</f>
        <v>3.02</v>
      </c>
      <c r="AR111" s="277">
        <f>-INDEX(Parameters!$B:$B,MATCH(AR$3&amp;$M111&amp;O111,Parameters!$A:$A,0))*(AQ111)</f>
        <v>-0.30200000000000005</v>
      </c>
      <c r="AS111" s="262">
        <f>Parameters!$D$54</f>
        <v>2</v>
      </c>
      <c r="AT111" s="442">
        <f>IF(M111="WBA CM Ethernet",0,'EDC Minus'!$H$27)</f>
        <v>0</v>
      </c>
      <c r="AU111" s="150">
        <f t="shared" si="83"/>
        <v>4.718</v>
      </c>
      <c r="AV111" s="150">
        <f t="shared" si="84"/>
        <v>4.8568888888888893</v>
      </c>
      <c r="AW111" s="150"/>
      <c r="AX111" s="150">
        <f>Parameters!$B$6*AV111</f>
        <v>4.8568888888888891E-2</v>
      </c>
      <c r="AY111" s="202">
        <v>0</v>
      </c>
      <c r="AZ111" s="202"/>
      <c r="BA111" s="150">
        <f t="shared" si="85"/>
        <v>4.8568888888888891E-2</v>
      </c>
      <c r="BB111" s="150"/>
      <c r="BC111" s="151">
        <f t="shared" si="86"/>
        <v>4.9054577777777784</v>
      </c>
      <c r="BD111" s="209"/>
      <c r="BE111" s="140">
        <f t="shared" si="79"/>
        <v>1022.8723200000001</v>
      </c>
      <c r="BF111" s="141">
        <f t="shared" si="80"/>
        <v>0.99522712216216214</v>
      </c>
      <c r="BG111" s="142" t="b">
        <f t="shared" si="94"/>
        <v>0</v>
      </c>
      <c r="BH111" s="148"/>
      <c r="BI111" s="188" t="s">
        <v>538</v>
      </c>
      <c r="BJ111" s="189"/>
      <c r="BK111">
        <f>VLOOKUP(J111,'Tarieven ZM'!$B$7:$I$146,8,0)</f>
        <v>0</v>
      </c>
      <c r="BL111" s="179" t="str">
        <f>INDEX(Mapping!$M:$M,MATCH($J111,Mapping!$B:$B,0))</f>
        <v>nvt</v>
      </c>
      <c r="BM111" s="282">
        <v>0</v>
      </c>
      <c r="BN111" s="262">
        <f>BM111/INDEX(Parameters!$B:$B,MATCH("AfschrijftermijnVVE"&amp;12*$C111,Parameters!$A:$A,0))</f>
        <v>0</v>
      </c>
      <c r="BO111" s="262">
        <f>Parameters!$D$59+INDEX('inkoop ULL tbv Epacity'!I:I,MATCH($BL111,'inkoop ULL tbv Epacity'!H:H,0))</f>
        <v>1</v>
      </c>
      <c r="BP111" s="263">
        <f t="shared" si="95"/>
        <v>1</v>
      </c>
      <c r="BQ111" s="203"/>
      <c r="BR111" s="262">
        <f>Parameters!$B$12*AG111</f>
        <v>102.77777777777779</v>
      </c>
      <c r="BS111" s="262">
        <f>SUM(Distributievergoedingen!$F$12,Distributievergoedingen!$I$12,Distributievergoedingen!$L$12,Distributievergoedingen!$O$12)*AF111+SUM(Distributievergoedingen!$O$12*AA111+Distributievergoedingen!$R$12+Distributievergoedingen!$U$12+Distributievergoedingen!$X$12)/(MAX(36,12*L111))</f>
        <v>112.77777777777777</v>
      </c>
      <c r="BT111" s="202"/>
      <c r="BU111" s="202">
        <f t="shared" si="52"/>
        <v>215.55555555555554</v>
      </c>
      <c r="BW111" s="151">
        <f t="shared" si="53"/>
        <v>216.55555555555554</v>
      </c>
      <c r="BY111" s="140">
        <f t="shared" si="54"/>
        <v>811.22222222222229</v>
      </c>
      <c r="BZ111" s="141">
        <f t="shared" si="55"/>
        <v>0.78929729729729736</v>
      </c>
      <c r="CA111" s="142" t="b">
        <f t="shared" si="56"/>
        <v>0</v>
      </c>
    </row>
    <row r="112" spans="1:79">
      <c r="A112" s="160" t="str">
        <f t="shared" si="87"/>
        <v>3ADSLBasicnationaal3072/512</v>
      </c>
      <c r="B112" s="142" t="str">
        <f t="shared" si="81"/>
        <v>3ADSL3072/512Basic</v>
      </c>
      <c r="C112" s="198">
        <v>3</v>
      </c>
      <c r="D112" s="198" t="s">
        <v>42</v>
      </c>
      <c r="E112" s="198" t="s">
        <v>44</v>
      </c>
      <c r="F112" s="198" t="s">
        <v>115</v>
      </c>
      <c r="G112" s="199" t="s">
        <v>113</v>
      </c>
      <c r="H112" s="198" t="s">
        <v>55</v>
      </c>
      <c r="J112" s="142" t="str">
        <f t="shared" si="88"/>
        <v>ADSL3072/512Basic</v>
      </c>
      <c r="L112" s="160">
        <f>INDEX(Mapping!$J:$J,MATCH(C$3&amp;C112,Mapping!$B:$B,0))</f>
        <v>1</v>
      </c>
      <c r="M112" s="148" t="str">
        <f>INDEX(Mapping!$H:$H,MATCH($E112,Mapping!$B:$B,0))</f>
        <v>WBA CM Ethernet</v>
      </c>
      <c r="N112" s="148" t="str">
        <f>INDEX(Mapping!$I:$I,MATCH($E112&amp;$G112,Mapping!$B:$B,0))</f>
        <v>entry</v>
      </c>
      <c r="O112" s="148" t="str">
        <f>INDEX(Mapping!$I:$I,MATCH($D112,Mapping!$B:$B,0))</f>
        <v>ADSL</v>
      </c>
      <c r="P112" s="148" t="str">
        <f>INDEX(Mapping!$H:$H,MATCH($F112,Mapping!$B:$B,0))</f>
        <v>nvt</v>
      </c>
      <c r="Q112" s="148" t="str">
        <f>INDEX(Mapping!$J:$J,MATCH($E112&amp;$G112,Mapping!$B:$B,0))</f>
        <v>national</v>
      </c>
      <c r="R112" s="148" t="str">
        <f>INDEX(Mapping!$I:$I,MATCH($J112,Mapping!$B:$B,0))</f>
        <v>&lt;= 4 Mbps/&lt;= 1 Mbps</v>
      </c>
      <c r="T112" s="148" t="str">
        <f>INDEX(Mapping!$K:$K,MATCH($E112&amp;$G112,Mapping!$B:$B,0))</f>
        <v>nvt</v>
      </c>
      <c r="U112" s="142" t="str">
        <f t="shared" si="89"/>
        <v>WBA CM Ethernet&lt;= 4 Mbps/&lt;= 1 Mbpsentrynational</v>
      </c>
      <c r="W112" s="160">
        <f>MATCH($J112,'Tarieven ZM'!$B:$B,0)</f>
        <v>12</v>
      </c>
      <c r="X112" s="148">
        <f>INDEX('Tarieven ZM'!$H:$H,$W112)</f>
        <v>1000</v>
      </c>
      <c r="Y112" s="161">
        <f>-INDEX(Parameters!$B:$B,MATCH(Y$3,Parameters!$A:$A,0))*$X112</f>
        <v>0</v>
      </c>
      <c r="Z112" s="149">
        <f>-INDEX(Parameters!$B:$B,MATCH(Z$3,Parameters!$A:$A,0))*$X112</f>
        <v>0</v>
      </c>
      <c r="AA112" s="148">
        <f t="shared" si="90"/>
        <v>1000</v>
      </c>
      <c r="AB112" s="148">
        <f>AA112/INDEX(Parameters!$B:$B,MATCH("AfschrijftermijnVVE"&amp;12*$C112,Parameters!$A:$A,0))</f>
        <v>27.777777777777779</v>
      </c>
      <c r="AC112" s="148">
        <f>INDEX('Tarieven ZM'!$G:$G,$W112)</f>
        <v>1000</v>
      </c>
      <c r="AD112" s="161">
        <f>-INDEX(Parameters!$B:$B,MATCH(AD$3,Parameters!$A:$A,0))*$AC112</f>
        <v>0</v>
      </c>
      <c r="AE112" s="161">
        <f>-INDEX(Parameters!$B:$B,MATCH(AE$3,Parameters!$A:$A,0))*$AC112</f>
        <v>0</v>
      </c>
      <c r="AF112" s="148">
        <f t="shared" si="91"/>
        <v>1000</v>
      </c>
      <c r="AG112" s="151">
        <f t="shared" si="82"/>
        <v>1027.7777777777778</v>
      </c>
      <c r="AH112" s="123"/>
      <c r="AI112" s="147">
        <f>IF(R112&lt;&gt;"n.a.",MATCH($U112,'Tarieven W&amp;O'!$B:$B,0),"nvt")</f>
        <v>117</v>
      </c>
      <c r="AJ112" s="148">
        <f>IF(AI112&lt;&gt;"nvt",INDEX('Tarieven W&amp;O'!$H:$H,$AI112),0)</f>
        <v>0</v>
      </c>
      <c r="AK112" s="148">
        <f>IF(AI112&lt;&gt;"nvt",INDEX('Tarieven W&amp;O'!$I:$I,$AI112),0)</f>
        <v>5</v>
      </c>
      <c r="AL112" s="277">
        <f>IF(AI112&lt;&gt;"nvt",-INDEX(Parameters!$B:$B,MATCH(AL$3&amp;$M112,Parameters!$A:$A,0))*(AJ112+AK112),0)</f>
        <v>0</v>
      </c>
      <c r="AM112" s="442"/>
      <c r="AN112" s="262">
        <f t="shared" si="92"/>
        <v>5</v>
      </c>
      <c r="AO112" s="262">
        <f>AN112/INDEX(Parameters!$B:$B,MATCH("AfschrijftermijnVVE"&amp;12*$C112,Parameters!$A:$A,0))</f>
        <v>0.1388888888888889</v>
      </c>
      <c r="AP112" s="179">
        <f t="shared" si="93"/>
        <v>117</v>
      </c>
      <c r="AQ112" s="202">
        <f>IF(AP112&lt;&gt;"nvt",INDEX('Tarieven W&amp;O'!$G:$G,$AP112),0)</f>
        <v>3.02</v>
      </c>
      <c r="AR112" s="277">
        <f>-INDEX(Parameters!$B:$B,MATCH(AR$3&amp;$M112&amp;O112,Parameters!$A:$A,0))*(AQ112)</f>
        <v>-0.30200000000000005</v>
      </c>
      <c r="AS112" s="262">
        <f>Parameters!$D$54</f>
        <v>2</v>
      </c>
      <c r="AT112" s="442">
        <f>IF(M112="WBA CM Ethernet",0,'EDC Minus'!$H$27)</f>
        <v>0</v>
      </c>
      <c r="AU112" s="150">
        <f t="shared" si="83"/>
        <v>4.718</v>
      </c>
      <c r="AV112" s="150">
        <f t="shared" si="84"/>
        <v>4.8568888888888893</v>
      </c>
      <c r="AW112" s="150"/>
      <c r="AX112" s="150">
        <f>Parameters!$B$6*AV112</f>
        <v>4.8568888888888891E-2</v>
      </c>
      <c r="AY112" s="202">
        <v>0</v>
      </c>
      <c r="AZ112" s="202"/>
      <c r="BA112" s="150">
        <f t="shared" si="85"/>
        <v>4.8568888888888891E-2</v>
      </c>
      <c r="BB112" s="150"/>
      <c r="BC112" s="151">
        <f t="shared" si="86"/>
        <v>4.9054577777777784</v>
      </c>
      <c r="BD112" s="209"/>
      <c r="BE112" s="140">
        <f t="shared" si="79"/>
        <v>1022.8723200000001</v>
      </c>
      <c r="BF112" s="141">
        <f t="shared" si="80"/>
        <v>0.99522712216216214</v>
      </c>
      <c r="BG112" s="142" t="b">
        <f t="shared" si="94"/>
        <v>0</v>
      </c>
      <c r="BH112" s="148"/>
      <c r="BI112" s="188" t="s">
        <v>538</v>
      </c>
      <c r="BJ112" s="189"/>
      <c r="BK112">
        <f>VLOOKUP(J112,'Tarieven ZM'!$B$7:$I$146,8,0)</f>
        <v>0</v>
      </c>
      <c r="BL112" s="179" t="str">
        <f>INDEX(Mapping!$M:$M,MATCH($J112,Mapping!$B:$B,0))</f>
        <v>nvt</v>
      </c>
      <c r="BM112" s="282">
        <v>0</v>
      </c>
      <c r="BN112" s="262">
        <f>BM112/INDEX(Parameters!$B:$B,MATCH("AfschrijftermijnVVE"&amp;12*$C112,Parameters!$A:$A,0))</f>
        <v>0</v>
      </c>
      <c r="BO112" s="262">
        <f>Parameters!$D$59+INDEX('inkoop ULL tbv Epacity'!I:I,MATCH($BL112,'inkoop ULL tbv Epacity'!H:H,0))</f>
        <v>1</v>
      </c>
      <c r="BP112" s="263">
        <f t="shared" si="95"/>
        <v>1</v>
      </c>
      <c r="BQ112" s="203"/>
      <c r="BR112" s="262">
        <f>Parameters!$B$12*AG112</f>
        <v>102.77777777777779</v>
      </c>
      <c r="BS112" s="262">
        <f>SUM(Distributievergoedingen!$F$12,Distributievergoedingen!$I$12,Distributievergoedingen!$L$12,Distributievergoedingen!$O$12)*AF112+SUM(Distributievergoedingen!$O$12*AA112+Distributievergoedingen!$R$12+Distributievergoedingen!$U$12+Distributievergoedingen!$X$12)/(MAX(36,12*L112))</f>
        <v>112.77777777777777</v>
      </c>
      <c r="BT112" s="202"/>
      <c r="BU112" s="202">
        <f t="shared" si="52"/>
        <v>215.55555555555554</v>
      </c>
      <c r="BW112" s="151">
        <f t="shared" si="53"/>
        <v>216.55555555555554</v>
      </c>
      <c r="BY112" s="140">
        <f t="shared" si="54"/>
        <v>811.22222222222229</v>
      </c>
      <c r="BZ112" s="141">
        <f t="shared" si="55"/>
        <v>0.78929729729729736</v>
      </c>
      <c r="CA112" s="142" t="b">
        <f t="shared" si="56"/>
        <v>0</v>
      </c>
    </row>
    <row r="113" spans="1:79">
      <c r="A113" s="160" t="str">
        <f t="shared" si="87"/>
        <v>3ADSLBasicnationaal4096/1024</v>
      </c>
      <c r="B113" s="142" t="str">
        <f t="shared" si="81"/>
        <v>3ADSL4096/1024Basic</v>
      </c>
      <c r="C113" s="198">
        <v>3</v>
      </c>
      <c r="D113" s="198" t="s">
        <v>42</v>
      </c>
      <c r="E113" s="198" t="s">
        <v>44</v>
      </c>
      <c r="F113" s="198" t="s">
        <v>115</v>
      </c>
      <c r="G113" s="199" t="s">
        <v>113</v>
      </c>
      <c r="H113" s="198" t="s">
        <v>57</v>
      </c>
      <c r="J113" s="142" t="str">
        <f t="shared" si="88"/>
        <v>ADSL4096/1024Basic</v>
      </c>
      <c r="L113" s="160">
        <f>INDEX(Mapping!$J:$J,MATCH(C$3&amp;C113,Mapping!$B:$B,0))</f>
        <v>1</v>
      </c>
      <c r="M113" s="148" t="str">
        <f>INDEX(Mapping!$H:$H,MATCH($E113,Mapping!$B:$B,0))</f>
        <v>WBA CM Ethernet</v>
      </c>
      <c r="N113" s="148" t="str">
        <f>INDEX(Mapping!$I:$I,MATCH($E113&amp;$G113,Mapping!$B:$B,0))</f>
        <v>entry</v>
      </c>
      <c r="O113" s="148" t="str">
        <f>INDEX(Mapping!$I:$I,MATCH($D113,Mapping!$B:$B,0))</f>
        <v>ADSL</v>
      </c>
      <c r="P113" s="148" t="str">
        <f>INDEX(Mapping!$H:$H,MATCH($F113,Mapping!$B:$B,0))</f>
        <v>nvt</v>
      </c>
      <c r="Q113" s="148" t="str">
        <f>INDEX(Mapping!$J:$J,MATCH($E113&amp;$G113,Mapping!$B:$B,0))</f>
        <v>national</v>
      </c>
      <c r="R113" s="148" t="str">
        <f>INDEX(Mapping!$I:$I,MATCH($J113,Mapping!$B:$B,0))</f>
        <v>&lt;= 4 Mbps/&lt;= 1 Mbps</v>
      </c>
      <c r="T113" s="148" t="str">
        <f>INDEX(Mapping!$K:$K,MATCH($E113&amp;$G113,Mapping!$B:$B,0))</f>
        <v>nvt</v>
      </c>
      <c r="U113" s="142" t="str">
        <f t="shared" si="89"/>
        <v>WBA CM Ethernet&lt;= 4 Mbps/&lt;= 1 Mbpsentrynational</v>
      </c>
      <c r="W113" s="160">
        <f>MATCH($J113,'Tarieven ZM'!$B:$B,0)</f>
        <v>13</v>
      </c>
      <c r="X113" s="148">
        <f>INDEX('Tarieven ZM'!$H:$H,$W113)</f>
        <v>1000</v>
      </c>
      <c r="Y113" s="161">
        <f>-INDEX(Parameters!$B:$B,MATCH(Y$3,Parameters!$A:$A,0))*$X113</f>
        <v>0</v>
      </c>
      <c r="Z113" s="149">
        <f>-INDEX(Parameters!$B:$B,MATCH(Z$3,Parameters!$A:$A,0))*$X113</f>
        <v>0</v>
      </c>
      <c r="AA113" s="148">
        <f t="shared" si="90"/>
        <v>1000</v>
      </c>
      <c r="AB113" s="148">
        <f>AA113/INDEX(Parameters!$B:$B,MATCH("AfschrijftermijnVVE"&amp;12*$C113,Parameters!$A:$A,0))</f>
        <v>27.777777777777779</v>
      </c>
      <c r="AC113" s="148">
        <f>INDEX('Tarieven ZM'!$G:$G,$W113)</f>
        <v>1000</v>
      </c>
      <c r="AD113" s="161">
        <f>-INDEX(Parameters!$B:$B,MATCH(AD$3,Parameters!$A:$A,0))*$AC113</f>
        <v>0</v>
      </c>
      <c r="AE113" s="161">
        <f>-INDEX(Parameters!$B:$B,MATCH(AE$3,Parameters!$A:$A,0))*$AC113</f>
        <v>0</v>
      </c>
      <c r="AF113" s="148">
        <f t="shared" si="91"/>
        <v>1000</v>
      </c>
      <c r="AG113" s="151">
        <f t="shared" si="82"/>
        <v>1027.7777777777778</v>
      </c>
      <c r="AH113" s="123"/>
      <c r="AI113" s="147">
        <f>IF(R113&lt;&gt;"n.a.",MATCH($U113,'Tarieven W&amp;O'!$B:$B,0),"nvt")</f>
        <v>117</v>
      </c>
      <c r="AJ113" s="148">
        <f>IF(AI113&lt;&gt;"nvt",INDEX('Tarieven W&amp;O'!$H:$H,$AI113),0)</f>
        <v>0</v>
      </c>
      <c r="AK113" s="148">
        <f>IF(AI113&lt;&gt;"nvt",INDEX('Tarieven W&amp;O'!$I:$I,$AI113),0)</f>
        <v>5</v>
      </c>
      <c r="AL113" s="277">
        <f>IF(AI113&lt;&gt;"nvt",-INDEX(Parameters!$B:$B,MATCH(AL$3&amp;$M113,Parameters!$A:$A,0))*(AJ113+AK113),0)</f>
        <v>0</v>
      </c>
      <c r="AM113" s="442"/>
      <c r="AN113" s="262">
        <f t="shared" si="92"/>
        <v>5</v>
      </c>
      <c r="AO113" s="262">
        <f>AN113/INDEX(Parameters!$B:$B,MATCH("AfschrijftermijnVVE"&amp;12*$C113,Parameters!$A:$A,0))</f>
        <v>0.1388888888888889</v>
      </c>
      <c r="AP113" s="179">
        <f t="shared" si="93"/>
        <v>117</v>
      </c>
      <c r="AQ113" s="202">
        <f>IF(AP113&lt;&gt;"nvt",INDEX('Tarieven W&amp;O'!$G:$G,$AP113),0)</f>
        <v>3.02</v>
      </c>
      <c r="AR113" s="277">
        <f>-INDEX(Parameters!$B:$B,MATCH(AR$3&amp;$M113&amp;O113,Parameters!$A:$A,0))*(AQ113)</f>
        <v>-0.30200000000000005</v>
      </c>
      <c r="AS113" s="262">
        <f>Parameters!$D$54</f>
        <v>2</v>
      </c>
      <c r="AT113" s="442">
        <f>IF(M113="WBA CM Ethernet",0,'EDC Minus'!$H$27)</f>
        <v>0</v>
      </c>
      <c r="AU113" s="150">
        <f t="shared" si="83"/>
        <v>4.718</v>
      </c>
      <c r="AV113" s="150">
        <f t="shared" si="84"/>
        <v>4.8568888888888893</v>
      </c>
      <c r="AW113" s="150"/>
      <c r="AX113" s="150">
        <f>Parameters!$B$6*AV113</f>
        <v>4.8568888888888891E-2</v>
      </c>
      <c r="AY113" s="202">
        <v>0</v>
      </c>
      <c r="AZ113" s="202"/>
      <c r="BA113" s="150">
        <f t="shared" si="85"/>
        <v>4.8568888888888891E-2</v>
      </c>
      <c r="BB113" s="150"/>
      <c r="BC113" s="151">
        <f t="shared" si="86"/>
        <v>4.9054577777777784</v>
      </c>
      <c r="BD113" s="209"/>
      <c r="BE113" s="140">
        <f t="shared" si="79"/>
        <v>1022.8723200000001</v>
      </c>
      <c r="BF113" s="141">
        <f t="shared" si="80"/>
        <v>0.99522712216216214</v>
      </c>
      <c r="BG113" s="142" t="b">
        <f t="shared" si="94"/>
        <v>0</v>
      </c>
      <c r="BH113" s="148"/>
      <c r="BI113" s="188" t="s">
        <v>538</v>
      </c>
      <c r="BJ113" s="189"/>
      <c r="BK113">
        <f>VLOOKUP(J113,'Tarieven ZM'!$B$7:$I$146,8,0)</f>
        <v>0</v>
      </c>
      <c r="BL113" s="179" t="str">
        <f>INDEX(Mapping!$M:$M,MATCH($J113,Mapping!$B:$B,0))</f>
        <v>nvt</v>
      </c>
      <c r="BM113" s="282">
        <v>0</v>
      </c>
      <c r="BN113" s="262">
        <f>BM113/INDEX(Parameters!$B:$B,MATCH("AfschrijftermijnVVE"&amp;12*$C113,Parameters!$A:$A,0))</f>
        <v>0</v>
      </c>
      <c r="BO113" s="262">
        <f>Parameters!$D$59+INDEX('inkoop ULL tbv Epacity'!I:I,MATCH($BL113,'inkoop ULL tbv Epacity'!H:H,0))</f>
        <v>1</v>
      </c>
      <c r="BP113" s="263">
        <f t="shared" si="95"/>
        <v>1</v>
      </c>
      <c r="BQ113" s="203"/>
      <c r="BR113" s="262">
        <f>Parameters!$B$12*AG113</f>
        <v>102.77777777777779</v>
      </c>
      <c r="BS113" s="262">
        <f>SUM(Distributievergoedingen!$F$12,Distributievergoedingen!$I$12,Distributievergoedingen!$L$12,Distributievergoedingen!$O$12)*AF113+SUM(Distributievergoedingen!$O$12*AA113+Distributievergoedingen!$R$12+Distributievergoedingen!$U$12+Distributievergoedingen!$X$12)/(MAX(36,12*L113))</f>
        <v>112.77777777777777</v>
      </c>
      <c r="BT113" s="202"/>
      <c r="BU113" s="202">
        <f t="shared" si="52"/>
        <v>215.55555555555554</v>
      </c>
      <c r="BW113" s="151">
        <f t="shared" si="53"/>
        <v>216.55555555555554</v>
      </c>
      <c r="BY113" s="140">
        <f t="shared" si="54"/>
        <v>811.22222222222229</v>
      </c>
      <c r="BZ113" s="141">
        <f t="shared" si="55"/>
        <v>0.78929729729729736</v>
      </c>
      <c r="CA113" s="142" t="b">
        <f t="shared" si="56"/>
        <v>0</v>
      </c>
    </row>
    <row r="114" spans="1:79">
      <c r="A114" s="160" t="str">
        <f t="shared" si="87"/>
        <v>3ADSLBasicnationaal6144/1024</v>
      </c>
      <c r="B114" s="142" t="str">
        <f t="shared" si="81"/>
        <v>3ADSL6144/1024Basic</v>
      </c>
      <c r="C114" s="198">
        <v>3</v>
      </c>
      <c r="D114" s="198" t="s">
        <v>42</v>
      </c>
      <c r="E114" s="198" t="s">
        <v>44</v>
      </c>
      <c r="F114" s="198" t="s">
        <v>115</v>
      </c>
      <c r="G114" s="199" t="s">
        <v>113</v>
      </c>
      <c r="H114" s="198" t="s">
        <v>58</v>
      </c>
      <c r="J114" s="142" t="str">
        <f t="shared" si="88"/>
        <v>ADSL6144/1024Basic</v>
      </c>
      <c r="L114" s="160">
        <f>INDEX(Mapping!$J:$J,MATCH(C$3&amp;C114,Mapping!$B:$B,0))</f>
        <v>1</v>
      </c>
      <c r="M114" s="148" t="str">
        <f>INDEX(Mapping!$H:$H,MATCH($E114,Mapping!$B:$B,0))</f>
        <v>WBA CM Ethernet</v>
      </c>
      <c r="N114" s="148" t="str">
        <f>INDEX(Mapping!$I:$I,MATCH($E114&amp;$G114,Mapping!$B:$B,0))</f>
        <v>entry</v>
      </c>
      <c r="O114" s="148" t="str">
        <f>INDEX(Mapping!$I:$I,MATCH($D114,Mapping!$B:$B,0))</f>
        <v>ADSL</v>
      </c>
      <c r="P114" s="148" t="str">
        <f>INDEX(Mapping!$H:$H,MATCH($F114,Mapping!$B:$B,0))</f>
        <v>nvt</v>
      </c>
      <c r="Q114" s="148" t="str">
        <f>INDEX(Mapping!$J:$J,MATCH($E114&amp;$G114,Mapping!$B:$B,0))</f>
        <v>national</v>
      </c>
      <c r="R114" s="148" t="str">
        <f>INDEX(Mapping!$I:$I,MATCH($J114,Mapping!$B:$B,0))</f>
        <v>&lt;= 8 Mbps/&lt;= 1 Mbps</v>
      </c>
      <c r="T114" s="148" t="str">
        <f>INDEX(Mapping!$K:$K,MATCH($E114&amp;$G114,Mapping!$B:$B,0))</f>
        <v>nvt</v>
      </c>
      <c r="U114" s="142" t="str">
        <f t="shared" si="89"/>
        <v>WBA CM Ethernet&lt;= 8 Mbps/&lt;= 1 Mbpsentrynational</v>
      </c>
      <c r="W114" s="160">
        <f>MATCH($J114,'Tarieven ZM'!$B:$B,0)</f>
        <v>14</v>
      </c>
      <c r="X114" s="148">
        <f>INDEX('Tarieven ZM'!$H:$H,$W114)</f>
        <v>1000</v>
      </c>
      <c r="Y114" s="161">
        <f>-INDEX(Parameters!$B:$B,MATCH(Y$3,Parameters!$A:$A,0))*$X114</f>
        <v>0</v>
      </c>
      <c r="Z114" s="149">
        <f>-INDEX(Parameters!$B:$B,MATCH(Z$3,Parameters!$A:$A,0))*$X114</f>
        <v>0</v>
      </c>
      <c r="AA114" s="148">
        <f t="shared" si="90"/>
        <v>1000</v>
      </c>
      <c r="AB114" s="148">
        <f>AA114/INDEX(Parameters!$B:$B,MATCH("AfschrijftermijnVVE"&amp;12*$C114,Parameters!$A:$A,0))</f>
        <v>27.777777777777779</v>
      </c>
      <c r="AC114" s="148">
        <f>INDEX('Tarieven ZM'!$G:$G,$W114)</f>
        <v>1000</v>
      </c>
      <c r="AD114" s="161">
        <f>-INDEX(Parameters!$B:$B,MATCH(AD$3,Parameters!$A:$A,0))*$AC114</f>
        <v>0</v>
      </c>
      <c r="AE114" s="161">
        <f>-INDEX(Parameters!$B:$B,MATCH(AE$3,Parameters!$A:$A,0))*$AC114</f>
        <v>0</v>
      </c>
      <c r="AF114" s="148">
        <f t="shared" si="91"/>
        <v>1000</v>
      </c>
      <c r="AG114" s="151">
        <f t="shared" si="82"/>
        <v>1027.7777777777778</v>
      </c>
      <c r="AH114" s="123"/>
      <c r="AI114" s="147">
        <f>IF(R114&lt;&gt;"n.a.",MATCH($U114,'Tarieven W&amp;O'!$B:$B,0),"nvt")</f>
        <v>118</v>
      </c>
      <c r="AJ114" s="148">
        <f>IF(AI114&lt;&gt;"nvt",INDEX('Tarieven W&amp;O'!$H:$H,$AI114),0)</f>
        <v>0</v>
      </c>
      <c r="AK114" s="148">
        <f>IF(AI114&lt;&gt;"nvt",INDEX('Tarieven W&amp;O'!$I:$I,$AI114),0)</f>
        <v>5</v>
      </c>
      <c r="AL114" s="277">
        <f>IF(AI114&lt;&gt;"nvt",-INDEX(Parameters!$B:$B,MATCH(AL$3&amp;$M114,Parameters!$A:$A,0))*(AJ114+AK114),0)</f>
        <v>0</v>
      </c>
      <c r="AM114" s="442"/>
      <c r="AN114" s="262">
        <f t="shared" si="92"/>
        <v>5</v>
      </c>
      <c r="AO114" s="262">
        <f>AN114/INDEX(Parameters!$B:$B,MATCH("AfschrijftermijnVVE"&amp;12*$C114,Parameters!$A:$A,0))</f>
        <v>0.1388888888888889</v>
      </c>
      <c r="AP114" s="179">
        <f t="shared" si="93"/>
        <v>118</v>
      </c>
      <c r="AQ114" s="202">
        <f>IF(AP114&lt;&gt;"nvt",INDEX('Tarieven W&amp;O'!$G:$G,$AP114),0)</f>
        <v>3.02</v>
      </c>
      <c r="AR114" s="277">
        <f>-INDEX(Parameters!$B:$B,MATCH(AR$3&amp;$M114&amp;O114,Parameters!$A:$A,0))*(AQ114)</f>
        <v>-0.30200000000000005</v>
      </c>
      <c r="AS114" s="262">
        <f>Parameters!$D$54</f>
        <v>2</v>
      </c>
      <c r="AT114" s="442">
        <f>IF(M114="WBA CM Ethernet",0,'EDC Minus'!$H$27)</f>
        <v>0</v>
      </c>
      <c r="AU114" s="150">
        <f t="shared" si="83"/>
        <v>4.718</v>
      </c>
      <c r="AV114" s="150">
        <f t="shared" si="84"/>
        <v>4.8568888888888893</v>
      </c>
      <c r="AW114" s="150"/>
      <c r="AX114" s="150">
        <f>Parameters!$B$6*AV114</f>
        <v>4.8568888888888891E-2</v>
      </c>
      <c r="AY114" s="202">
        <v>0</v>
      </c>
      <c r="AZ114" s="202"/>
      <c r="BA114" s="150">
        <f t="shared" si="85"/>
        <v>4.8568888888888891E-2</v>
      </c>
      <c r="BB114" s="150"/>
      <c r="BC114" s="151">
        <f t="shared" si="86"/>
        <v>4.9054577777777784</v>
      </c>
      <c r="BD114" s="209"/>
      <c r="BE114" s="140">
        <f t="shared" si="79"/>
        <v>1022.8723200000001</v>
      </c>
      <c r="BF114" s="141">
        <f t="shared" si="80"/>
        <v>0.99522712216216214</v>
      </c>
      <c r="BG114" s="142" t="b">
        <f t="shared" si="94"/>
        <v>0</v>
      </c>
      <c r="BH114" s="148"/>
      <c r="BI114" s="188" t="s">
        <v>538</v>
      </c>
      <c r="BJ114" s="189"/>
      <c r="BK114">
        <f>VLOOKUP(J114,'Tarieven ZM'!$B$7:$I$146,8,0)</f>
        <v>0</v>
      </c>
      <c r="BL114" s="179" t="str">
        <f>INDEX(Mapping!$M:$M,MATCH($J114,Mapping!$B:$B,0))</f>
        <v>nvt</v>
      </c>
      <c r="BM114" s="282">
        <v>0</v>
      </c>
      <c r="BN114" s="262">
        <f>BM114/INDEX(Parameters!$B:$B,MATCH("AfschrijftermijnVVE"&amp;12*$C114,Parameters!$A:$A,0))</f>
        <v>0</v>
      </c>
      <c r="BO114" s="262">
        <f>Parameters!$D$59+INDEX('inkoop ULL tbv Epacity'!I:I,MATCH($BL114,'inkoop ULL tbv Epacity'!H:H,0))</f>
        <v>1</v>
      </c>
      <c r="BP114" s="263">
        <f t="shared" si="95"/>
        <v>1</v>
      </c>
      <c r="BQ114" s="203"/>
      <c r="BR114" s="262">
        <f>Parameters!$B$12*AG114</f>
        <v>102.77777777777779</v>
      </c>
      <c r="BS114" s="262">
        <f>SUM(Distributievergoedingen!$F$12,Distributievergoedingen!$I$12,Distributievergoedingen!$L$12,Distributievergoedingen!$O$12)*AF114+SUM(Distributievergoedingen!$O$12*AA114+Distributievergoedingen!$R$12+Distributievergoedingen!$U$12+Distributievergoedingen!$X$12)/(MAX(36,12*L114))</f>
        <v>112.77777777777777</v>
      </c>
      <c r="BT114" s="202"/>
      <c r="BU114" s="202">
        <f t="shared" si="52"/>
        <v>215.55555555555554</v>
      </c>
      <c r="BW114" s="151">
        <f t="shared" si="53"/>
        <v>216.55555555555554</v>
      </c>
      <c r="BY114" s="140">
        <f t="shared" si="54"/>
        <v>811.22222222222229</v>
      </c>
      <c r="BZ114" s="141">
        <f t="shared" si="55"/>
        <v>0.78929729729729736</v>
      </c>
      <c r="CA114" s="142" t="b">
        <f t="shared" si="56"/>
        <v>0</v>
      </c>
    </row>
    <row r="115" spans="1:79">
      <c r="A115" s="160" t="str">
        <f t="shared" si="87"/>
        <v>3ADSLBasicnationaal8000/1024</v>
      </c>
      <c r="B115" s="142" t="str">
        <f t="shared" si="81"/>
        <v>3ADSL8000/1024Basic</v>
      </c>
      <c r="C115" s="198">
        <v>3</v>
      </c>
      <c r="D115" s="198" t="s">
        <v>42</v>
      </c>
      <c r="E115" s="198" t="s">
        <v>44</v>
      </c>
      <c r="F115" s="198" t="s">
        <v>115</v>
      </c>
      <c r="G115" s="199" t="s">
        <v>113</v>
      </c>
      <c r="H115" s="198" t="s">
        <v>60</v>
      </c>
      <c r="J115" s="142" t="str">
        <f t="shared" si="88"/>
        <v>ADSL8000/1024Basic</v>
      </c>
      <c r="L115" s="160">
        <f>INDEX(Mapping!$J:$J,MATCH(C$3&amp;C115,Mapping!$B:$B,0))</f>
        <v>1</v>
      </c>
      <c r="M115" s="148" t="str">
        <f>INDEX(Mapping!$H:$H,MATCH($E115,Mapping!$B:$B,0))</f>
        <v>WBA CM Ethernet</v>
      </c>
      <c r="N115" s="148" t="str">
        <f>INDEX(Mapping!$I:$I,MATCH($E115&amp;$G115,Mapping!$B:$B,0))</f>
        <v>entry</v>
      </c>
      <c r="O115" s="148" t="str">
        <f>INDEX(Mapping!$I:$I,MATCH($D115,Mapping!$B:$B,0))</f>
        <v>ADSL</v>
      </c>
      <c r="P115" s="148" t="str">
        <f>INDEX(Mapping!$H:$H,MATCH($F115,Mapping!$B:$B,0))</f>
        <v>nvt</v>
      </c>
      <c r="Q115" s="148" t="str">
        <f>INDEX(Mapping!$J:$J,MATCH($E115&amp;$G115,Mapping!$B:$B,0))</f>
        <v>national</v>
      </c>
      <c r="R115" s="148" t="str">
        <f>INDEX(Mapping!$I:$I,MATCH($J115,Mapping!$B:$B,0))</f>
        <v>&lt;= 8 Mbps/&lt;= 1 Mbps</v>
      </c>
      <c r="T115" s="148" t="str">
        <f>INDEX(Mapping!$K:$K,MATCH($E115&amp;$G115,Mapping!$B:$B,0))</f>
        <v>nvt</v>
      </c>
      <c r="U115" s="142" t="str">
        <f t="shared" si="89"/>
        <v>WBA CM Ethernet&lt;= 8 Mbps/&lt;= 1 Mbpsentrynational</v>
      </c>
      <c r="W115" s="160">
        <f>MATCH($J115,'Tarieven ZM'!$B:$B,0)</f>
        <v>15</v>
      </c>
      <c r="X115" s="148">
        <f>INDEX('Tarieven ZM'!$H:$H,$W115)</f>
        <v>1000</v>
      </c>
      <c r="Y115" s="161">
        <f>-INDEX(Parameters!$B:$B,MATCH(Y$3,Parameters!$A:$A,0))*$X115</f>
        <v>0</v>
      </c>
      <c r="Z115" s="149">
        <f>-INDEX(Parameters!$B:$B,MATCH(Z$3,Parameters!$A:$A,0))*$X115</f>
        <v>0</v>
      </c>
      <c r="AA115" s="148">
        <f t="shared" si="90"/>
        <v>1000</v>
      </c>
      <c r="AB115" s="148">
        <f>AA115/INDEX(Parameters!$B:$B,MATCH("AfschrijftermijnVVE"&amp;12*$C115,Parameters!$A:$A,0))</f>
        <v>27.777777777777779</v>
      </c>
      <c r="AC115" s="148">
        <f>INDEX('Tarieven ZM'!$G:$G,$W115)</f>
        <v>1000</v>
      </c>
      <c r="AD115" s="161">
        <f>-INDEX(Parameters!$B:$B,MATCH(AD$3,Parameters!$A:$A,0))*$AC115</f>
        <v>0</v>
      </c>
      <c r="AE115" s="161">
        <f>-INDEX(Parameters!$B:$B,MATCH(AE$3,Parameters!$A:$A,0))*$AC115</f>
        <v>0</v>
      </c>
      <c r="AF115" s="148">
        <f t="shared" si="91"/>
        <v>1000</v>
      </c>
      <c r="AG115" s="151">
        <f t="shared" si="82"/>
        <v>1027.7777777777778</v>
      </c>
      <c r="AH115" s="123"/>
      <c r="AI115" s="147">
        <f>IF(R115&lt;&gt;"n.a.",MATCH($U115,'Tarieven W&amp;O'!$B:$B,0),"nvt")</f>
        <v>118</v>
      </c>
      <c r="AJ115" s="148">
        <f>IF(AI115&lt;&gt;"nvt",INDEX('Tarieven W&amp;O'!$H:$H,$AI115),0)</f>
        <v>0</v>
      </c>
      <c r="AK115" s="148">
        <f>IF(AI115&lt;&gt;"nvt",INDEX('Tarieven W&amp;O'!$I:$I,$AI115),0)</f>
        <v>5</v>
      </c>
      <c r="AL115" s="277">
        <f>IF(AI115&lt;&gt;"nvt",-INDEX(Parameters!$B:$B,MATCH(AL$3&amp;$M115,Parameters!$A:$A,0))*(AJ115+AK115),0)</f>
        <v>0</v>
      </c>
      <c r="AM115" s="442"/>
      <c r="AN115" s="262">
        <f t="shared" si="92"/>
        <v>5</v>
      </c>
      <c r="AO115" s="262">
        <f>AN115/INDEX(Parameters!$B:$B,MATCH("AfschrijftermijnVVE"&amp;12*$C115,Parameters!$A:$A,0))</f>
        <v>0.1388888888888889</v>
      </c>
      <c r="AP115" s="179">
        <f t="shared" si="93"/>
        <v>118</v>
      </c>
      <c r="AQ115" s="202">
        <f>IF(AP115&lt;&gt;"nvt",INDEX('Tarieven W&amp;O'!$G:$G,$AP115),0)</f>
        <v>3.02</v>
      </c>
      <c r="AR115" s="277">
        <f>-INDEX(Parameters!$B:$B,MATCH(AR$3&amp;$M115&amp;O115,Parameters!$A:$A,0))*(AQ115)</f>
        <v>-0.30200000000000005</v>
      </c>
      <c r="AS115" s="262">
        <f>Parameters!$D$54</f>
        <v>2</v>
      </c>
      <c r="AT115" s="442">
        <f>IF(M115="WBA CM Ethernet",0,'EDC Minus'!$H$27)</f>
        <v>0</v>
      </c>
      <c r="AU115" s="150">
        <f t="shared" si="83"/>
        <v>4.718</v>
      </c>
      <c r="AV115" s="150">
        <f t="shared" si="84"/>
        <v>4.8568888888888893</v>
      </c>
      <c r="AW115" s="150"/>
      <c r="AX115" s="150">
        <f>Parameters!$B$6*AV115</f>
        <v>4.8568888888888891E-2</v>
      </c>
      <c r="AY115" s="202">
        <v>0</v>
      </c>
      <c r="AZ115" s="202"/>
      <c r="BA115" s="150">
        <f t="shared" si="85"/>
        <v>4.8568888888888891E-2</v>
      </c>
      <c r="BB115" s="150"/>
      <c r="BC115" s="151">
        <f t="shared" si="86"/>
        <v>4.9054577777777784</v>
      </c>
      <c r="BD115" s="209"/>
      <c r="BE115" s="140">
        <f t="shared" si="79"/>
        <v>1022.8723200000001</v>
      </c>
      <c r="BF115" s="141">
        <f t="shared" si="80"/>
        <v>0.99522712216216214</v>
      </c>
      <c r="BG115" s="142" t="b">
        <f t="shared" si="94"/>
        <v>0</v>
      </c>
      <c r="BH115" s="148"/>
      <c r="BI115" s="188" t="s">
        <v>538</v>
      </c>
      <c r="BJ115" s="189"/>
      <c r="BK115">
        <f>VLOOKUP(J115,'Tarieven ZM'!$B$7:$I$146,8,0)</f>
        <v>0</v>
      </c>
      <c r="BL115" s="179" t="str">
        <f>INDEX(Mapping!$M:$M,MATCH($J115,Mapping!$B:$B,0))</f>
        <v>nvt</v>
      </c>
      <c r="BM115" s="282">
        <v>0</v>
      </c>
      <c r="BN115" s="262">
        <f>BM115/INDEX(Parameters!$B:$B,MATCH("AfschrijftermijnVVE"&amp;12*$C115,Parameters!$A:$A,0))</f>
        <v>0</v>
      </c>
      <c r="BO115" s="262">
        <f>Parameters!$D$59+INDEX('inkoop ULL tbv Epacity'!I:I,MATCH($BL115,'inkoop ULL tbv Epacity'!H:H,0))</f>
        <v>1</v>
      </c>
      <c r="BP115" s="263">
        <f t="shared" si="95"/>
        <v>1</v>
      </c>
      <c r="BQ115" s="203"/>
      <c r="BR115" s="262">
        <f>Parameters!$B$12*AG115</f>
        <v>102.77777777777779</v>
      </c>
      <c r="BS115" s="262">
        <f>SUM(Distributievergoedingen!$F$12,Distributievergoedingen!$I$12,Distributievergoedingen!$L$12,Distributievergoedingen!$O$12)*AF115+SUM(Distributievergoedingen!$O$12*AA115+Distributievergoedingen!$R$12+Distributievergoedingen!$U$12+Distributievergoedingen!$X$12)/(MAX(36,12*L115))</f>
        <v>112.77777777777777</v>
      </c>
      <c r="BT115" s="202"/>
      <c r="BU115" s="202">
        <f t="shared" si="52"/>
        <v>215.55555555555554</v>
      </c>
      <c r="BW115" s="151">
        <f t="shared" si="53"/>
        <v>216.55555555555554</v>
      </c>
      <c r="BY115" s="140">
        <f t="shared" si="54"/>
        <v>811.22222222222229</v>
      </c>
      <c r="BZ115" s="141">
        <f t="shared" si="55"/>
        <v>0.78929729729729736</v>
      </c>
      <c r="CA115" s="142" t="b">
        <f t="shared" si="56"/>
        <v>0</v>
      </c>
    </row>
    <row r="116" spans="1:79">
      <c r="A116" s="160" t="str">
        <f t="shared" si="87"/>
        <v>3ADSLBasicnationaal12000/1024</v>
      </c>
      <c r="B116" s="142" t="str">
        <f t="shared" si="81"/>
        <v>3ADSL12000/1024Basic</v>
      </c>
      <c r="C116" s="198">
        <v>3</v>
      </c>
      <c r="D116" s="198" t="s">
        <v>42</v>
      </c>
      <c r="E116" s="198" t="s">
        <v>44</v>
      </c>
      <c r="F116" s="198" t="s">
        <v>115</v>
      </c>
      <c r="G116" s="199" t="s">
        <v>113</v>
      </c>
      <c r="H116" s="198" t="s">
        <v>61</v>
      </c>
      <c r="J116" s="142" t="str">
        <f t="shared" si="88"/>
        <v>ADSL12000/1024Basic</v>
      </c>
      <c r="L116" s="160">
        <f>INDEX(Mapping!$J:$J,MATCH(C$3&amp;C116,Mapping!$B:$B,0))</f>
        <v>1</v>
      </c>
      <c r="M116" s="148" t="str">
        <f>INDEX(Mapping!$H:$H,MATCH($E116,Mapping!$B:$B,0))</f>
        <v>WBA CM Ethernet</v>
      </c>
      <c r="N116" s="148" t="str">
        <f>INDEX(Mapping!$I:$I,MATCH($E116&amp;$G116,Mapping!$B:$B,0))</f>
        <v>entry</v>
      </c>
      <c r="O116" s="148" t="str">
        <f>INDEX(Mapping!$I:$I,MATCH($D116,Mapping!$B:$B,0))</f>
        <v>ADSL</v>
      </c>
      <c r="P116" s="148" t="str">
        <f>INDEX(Mapping!$H:$H,MATCH($F116,Mapping!$B:$B,0))</f>
        <v>nvt</v>
      </c>
      <c r="Q116" s="148" t="str">
        <f>INDEX(Mapping!$J:$J,MATCH($E116&amp;$G116,Mapping!$B:$B,0))</f>
        <v>national</v>
      </c>
      <c r="R116" s="148" t="str">
        <f>INDEX(Mapping!$I:$I,MATCH($J116,Mapping!$B:$B,0))</f>
        <v>&lt;= 20 Mbps/&lt;= 1 Mbps</v>
      </c>
      <c r="T116" s="148" t="str">
        <f>INDEX(Mapping!$K:$K,MATCH($E116&amp;$G116,Mapping!$B:$B,0))</f>
        <v>nvt</v>
      </c>
      <c r="U116" s="142" t="str">
        <f t="shared" si="89"/>
        <v>WBA CM Ethernet&lt;= 20 Mbps/&lt;= 1 Mbpsentrynational</v>
      </c>
      <c r="W116" s="160">
        <f>MATCH($J116,'Tarieven ZM'!$B:$B,0)</f>
        <v>16</v>
      </c>
      <c r="X116" s="148">
        <f>INDEX('Tarieven ZM'!$H:$H,$W116)</f>
        <v>1000</v>
      </c>
      <c r="Y116" s="161">
        <f>-INDEX(Parameters!$B:$B,MATCH(Y$3,Parameters!$A:$A,0))*$X116</f>
        <v>0</v>
      </c>
      <c r="Z116" s="149">
        <f>-INDEX(Parameters!$B:$B,MATCH(Z$3,Parameters!$A:$A,0))*$X116</f>
        <v>0</v>
      </c>
      <c r="AA116" s="148">
        <f t="shared" si="90"/>
        <v>1000</v>
      </c>
      <c r="AB116" s="148">
        <f>AA116/INDEX(Parameters!$B:$B,MATCH("AfschrijftermijnVVE"&amp;12*$C116,Parameters!$A:$A,0))</f>
        <v>27.777777777777779</v>
      </c>
      <c r="AC116" s="148">
        <f>INDEX('Tarieven ZM'!$G:$G,$W116)</f>
        <v>1000</v>
      </c>
      <c r="AD116" s="161">
        <f>-INDEX(Parameters!$B:$B,MATCH(AD$3,Parameters!$A:$A,0))*$AC116</f>
        <v>0</v>
      </c>
      <c r="AE116" s="161">
        <f>-INDEX(Parameters!$B:$B,MATCH(AE$3,Parameters!$A:$A,0))*$AC116</f>
        <v>0</v>
      </c>
      <c r="AF116" s="148">
        <f t="shared" si="91"/>
        <v>1000</v>
      </c>
      <c r="AG116" s="151">
        <f t="shared" si="82"/>
        <v>1027.7777777777778</v>
      </c>
      <c r="AH116" s="123"/>
      <c r="AI116" s="147">
        <f>IF(R116&lt;&gt;"n.a.",MATCH($U116,'Tarieven W&amp;O'!$B:$B,0),"nvt")</f>
        <v>119</v>
      </c>
      <c r="AJ116" s="148">
        <f>IF(AI116&lt;&gt;"nvt",INDEX('Tarieven W&amp;O'!$H:$H,$AI116),0)</f>
        <v>0</v>
      </c>
      <c r="AK116" s="148">
        <f>IF(AI116&lt;&gt;"nvt",INDEX('Tarieven W&amp;O'!$I:$I,$AI116),0)</f>
        <v>5</v>
      </c>
      <c r="AL116" s="277">
        <f>IF(AI116&lt;&gt;"nvt",-INDEX(Parameters!$B:$B,MATCH(AL$3&amp;$M116,Parameters!$A:$A,0))*(AJ116+AK116),0)</f>
        <v>0</v>
      </c>
      <c r="AM116" s="442"/>
      <c r="AN116" s="262">
        <f t="shared" si="92"/>
        <v>5</v>
      </c>
      <c r="AO116" s="262">
        <f>AN116/INDEX(Parameters!$B:$B,MATCH("AfschrijftermijnVVE"&amp;12*$C116,Parameters!$A:$A,0))</f>
        <v>0.1388888888888889</v>
      </c>
      <c r="AP116" s="179">
        <f t="shared" si="93"/>
        <v>119</v>
      </c>
      <c r="AQ116" s="202">
        <f>IF(AP116&lt;&gt;"nvt",INDEX('Tarieven W&amp;O'!$G:$G,$AP116),0)</f>
        <v>3.02</v>
      </c>
      <c r="AR116" s="277">
        <f>-INDEX(Parameters!$B:$B,MATCH(AR$3&amp;$M116&amp;O116,Parameters!$A:$A,0))*(AQ116)</f>
        <v>-0.30200000000000005</v>
      </c>
      <c r="AS116" s="262">
        <f>Parameters!$D$54</f>
        <v>2</v>
      </c>
      <c r="AT116" s="442">
        <f>IF(M116="WBA CM Ethernet",0,'EDC Minus'!$H$27)</f>
        <v>0</v>
      </c>
      <c r="AU116" s="150">
        <f t="shared" si="83"/>
        <v>4.718</v>
      </c>
      <c r="AV116" s="150">
        <f t="shared" si="84"/>
        <v>4.8568888888888893</v>
      </c>
      <c r="AW116" s="150"/>
      <c r="AX116" s="150">
        <f>Parameters!$B$6*AV116</f>
        <v>4.8568888888888891E-2</v>
      </c>
      <c r="AY116" s="202">
        <v>0</v>
      </c>
      <c r="AZ116" s="202"/>
      <c r="BA116" s="150">
        <f t="shared" si="85"/>
        <v>4.8568888888888891E-2</v>
      </c>
      <c r="BB116" s="150"/>
      <c r="BC116" s="151">
        <f t="shared" si="86"/>
        <v>4.9054577777777784</v>
      </c>
      <c r="BD116" s="209"/>
      <c r="BE116" s="140">
        <f t="shared" si="79"/>
        <v>1022.8723200000001</v>
      </c>
      <c r="BF116" s="141">
        <f t="shared" si="80"/>
        <v>0.99522712216216214</v>
      </c>
      <c r="BG116" s="142" t="b">
        <f t="shared" si="94"/>
        <v>0</v>
      </c>
      <c r="BH116" s="148"/>
      <c r="BI116" s="188" t="s">
        <v>538</v>
      </c>
      <c r="BJ116" s="189"/>
      <c r="BK116">
        <f>VLOOKUP(J116,'Tarieven ZM'!$B$7:$I$146,8,0)</f>
        <v>0</v>
      </c>
      <c r="BL116" s="179" t="str">
        <f>INDEX(Mapping!$M:$M,MATCH($J116,Mapping!$B:$B,0))</f>
        <v>nvt</v>
      </c>
      <c r="BM116" s="282">
        <v>0</v>
      </c>
      <c r="BN116" s="262">
        <f>BM116/INDEX(Parameters!$B:$B,MATCH("AfschrijftermijnVVE"&amp;12*$C116,Parameters!$A:$A,0))</f>
        <v>0</v>
      </c>
      <c r="BO116" s="262">
        <f>Parameters!$D$59+INDEX('inkoop ULL tbv Epacity'!I:I,MATCH($BL116,'inkoop ULL tbv Epacity'!H:H,0))</f>
        <v>1</v>
      </c>
      <c r="BP116" s="263">
        <f t="shared" si="95"/>
        <v>1</v>
      </c>
      <c r="BQ116" s="203"/>
      <c r="BR116" s="262">
        <f>Parameters!$B$12*AG116</f>
        <v>102.77777777777779</v>
      </c>
      <c r="BS116" s="262">
        <f>SUM(Distributievergoedingen!$F$12,Distributievergoedingen!$I$12,Distributievergoedingen!$L$12,Distributievergoedingen!$O$12)*AF116+SUM(Distributievergoedingen!$O$12*AA116+Distributievergoedingen!$R$12+Distributievergoedingen!$U$12+Distributievergoedingen!$X$12)/(MAX(36,12*L116))</f>
        <v>112.77777777777777</v>
      </c>
      <c r="BT116" s="202"/>
      <c r="BU116" s="202">
        <f t="shared" si="52"/>
        <v>215.55555555555554</v>
      </c>
      <c r="BW116" s="151">
        <f t="shared" si="53"/>
        <v>216.55555555555554</v>
      </c>
      <c r="BY116" s="140">
        <f t="shared" si="54"/>
        <v>811.22222222222229</v>
      </c>
      <c r="BZ116" s="141">
        <f t="shared" si="55"/>
        <v>0.78929729729729736</v>
      </c>
      <c r="CA116" s="142" t="b">
        <f t="shared" si="56"/>
        <v>0</v>
      </c>
    </row>
    <row r="117" spans="1:79">
      <c r="A117" s="160" t="str">
        <f t="shared" si="87"/>
        <v>3ADSLBasicnationaal20000/1024</v>
      </c>
      <c r="B117" s="142" t="str">
        <f t="shared" si="81"/>
        <v>3ADSL20000/1024Basic</v>
      </c>
      <c r="C117" s="198">
        <v>3</v>
      </c>
      <c r="D117" s="198" t="s">
        <v>42</v>
      </c>
      <c r="E117" s="198" t="s">
        <v>44</v>
      </c>
      <c r="F117" s="198" t="s">
        <v>115</v>
      </c>
      <c r="G117" s="199" t="s">
        <v>113</v>
      </c>
      <c r="H117" s="198" t="s">
        <v>63</v>
      </c>
      <c r="J117" s="142" t="str">
        <f t="shared" si="88"/>
        <v>ADSL20000/1024Basic</v>
      </c>
      <c r="L117" s="160">
        <f>INDEX(Mapping!$J:$J,MATCH(C$3&amp;C117,Mapping!$B:$B,0))</f>
        <v>1</v>
      </c>
      <c r="M117" s="148" t="str">
        <f>INDEX(Mapping!$H:$H,MATCH($E117,Mapping!$B:$B,0))</f>
        <v>WBA CM Ethernet</v>
      </c>
      <c r="N117" s="148" t="str">
        <f>INDEX(Mapping!$I:$I,MATCH($E117&amp;$G117,Mapping!$B:$B,0))</f>
        <v>entry</v>
      </c>
      <c r="O117" s="148" t="str">
        <f>INDEX(Mapping!$I:$I,MATCH($D117,Mapping!$B:$B,0))</f>
        <v>ADSL</v>
      </c>
      <c r="P117" s="148" t="str">
        <f>INDEX(Mapping!$H:$H,MATCH($F117,Mapping!$B:$B,0))</f>
        <v>nvt</v>
      </c>
      <c r="Q117" s="148" t="str">
        <f>INDEX(Mapping!$J:$J,MATCH($E117&amp;$G117,Mapping!$B:$B,0))</f>
        <v>national</v>
      </c>
      <c r="R117" s="148" t="str">
        <f>INDEX(Mapping!$I:$I,MATCH($J117,Mapping!$B:$B,0))</f>
        <v>&lt;= 20 Mbps/&lt;= 1 Mbps</v>
      </c>
      <c r="T117" s="148" t="str">
        <f>INDEX(Mapping!$K:$K,MATCH($E117&amp;$G117,Mapping!$B:$B,0))</f>
        <v>nvt</v>
      </c>
      <c r="U117" s="142" t="str">
        <f t="shared" si="89"/>
        <v>WBA CM Ethernet&lt;= 20 Mbps/&lt;= 1 Mbpsentrynational</v>
      </c>
      <c r="W117" s="160">
        <f>MATCH($J117,'Tarieven ZM'!$B:$B,0)</f>
        <v>17</v>
      </c>
      <c r="X117" s="148">
        <f>INDEX('Tarieven ZM'!$H:$H,$W117)</f>
        <v>1000</v>
      </c>
      <c r="Y117" s="161">
        <f>-INDEX(Parameters!$B:$B,MATCH(Y$3,Parameters!$A:$A,0))*$X117</f>
        <v>0</v>
      </c>
      <c r="Z117" s="149">
        <f>-INDEX(Parameters!$B:$B,MATCH(Z$3,Parameters!$A:$A,0))*$X117</f>
        <v>0</v>
      </c>
      <c r="AA117" s="148">
        <f t="shared" si="90"/>
        <v>1000</v>
      </c>
      <c r="AB117" s="148">
        <f>AA117/INDEX(Parameters!$B:$B,MATCH("AfschrijftermijnVVE"&amp;12*$C117,Parameters!$A:$A,0))</f>
        <v>27.777777777777779</v>
      </c>
      <c r="AC117" s="148">
        <f>INDEX('Tarieven ZM'!$G:$G,$W117)</f>
        <v>1000</v>
      </c>
      <c r="AD117" s="161">
        <f>-INDEX(Parameters!$B:$B,MATCH(AD$3,Parameters!$A:$A,0))*$AC117</f>
        <v>0</v>
      </c>
      <c r="AE117" s="161">
        <f>-INDEX(Parameters!$B:$B,MATCH(AE$3,Parameters!$A:$A,0))*$AC117</f>
        <v>0</v>
      </c>
      <c r="AF117" s="148">
        <f t="shared" si="91"/>
        <v>1000</v>
      </c>
      <c r="AG117" s="151">
        <f t="shared" si="82"/>
        <v>1027.7777777777778</v>
      </c>
      <c r="AH117" s="123"/>
      <c r="AI117" s="147">
        <f>IF(R117&lt;&gt;"n.a.",MATCH($U117,'Tarieven W&amp;O'!$B:$B,0),"nvt")</f>
        <v>119</v>
      </c>
      <c r="AJ117" s="148">
        <f>IF(AI117&lt;&gt;"nvt",INDEX('Tarieven W&amp;O'!$H:$H,$AI117),0)</f>
        <v>0</v>
      </c>
      <c r="AK117" s="148">
        <f>IF(AI117&lt;&gt;"nvt",INDEX('Tarieven W&amp;O'!$I:$I,$AI117),0)</f>
        <v>5</v>
      </c>
      <c r="AL117" s="277">
        <f>IF(AI117&lt;&gt;"nvt",-INDEX(Parameters!$B:$B,MATCH(AL$3&amp;$M117,Parameters!$A:$A,0))*(AJ117+AK117),0)</f>
        <v>0</v>
      </c>
      <c r="AM117" s="442"/>
      <c r="AN117" s="262">
        <f t="shared" si="92"/>
        <v>5</v>
      </c>
      <c r="AO117" s="262">
        <f>AN117/INDEX(Parameters!$B:$B,MATCH("AfschrijftermijnVVE"&amp;12*$C117,Parameters!$A:$A,0))</f>
        <v>0.1388888888888889</v>
      </c>
      <c r="AP117" s="179">
        <f t="shared" si="93"/>
        <v>119</v>
      </c>
      <c r="AQ117" s="202">
        <f>IF(AP117&lt;&gt;"nvt",INDEX('Tarieven W&amp;O'!$G:$G,$AP117),0)</f>
        <v>3.02</v>
      </c>
      <c r="AR117" s="277">
        <f>-INDEX(Parameters!$B:$B,MATCH(AR$3&amp;$M117&amp;O117,Parameters!$A:$A,0))*(AQ117)</f>
        <v>-0.30200000000000005</v>
      </c>
      <c r="AS117" s="262">
        <f>Parameters!$D$54</f>
        <v>2</v>
      </c>
      <c r="AT117" s="442">
        <f>IF(M117="WBA CM Ethernet",0,'EDC Minus'!$H$27)</f>
        <v>0</v>
      </c>
      <c r="AU117" s="150">
        <f t="shared" si="83"/>
        <v>4.718</v>
      </c>
      <c r="AV117" s="150">
        <f t="shared" si="84"/>
        <v>4.8568888888888893</v>
      </c>
      <c r="AW117" s="150"/>
      <c r="AX117" s="150">
        <f>Parameters!$B$6*AV117</f>
        <v>4.8568888888888891E-2</v>
      </c>
      <c r="AY117" s="202">
        <v>0</v>
      </c>
      <c r="AZ117" s="202"/>
      <c r="BA117" s="150">
        <f t="shared" si="85"/>
        <v>4.8568888888888891E-2</v>
      </c>
      <c r="BB117" s="150"/>
      <c r="BC117" s="151">
        <f t="shared" si="86"/>
        <v>4.9054577777777784</v>
      </c>
      <c r="BD117" s="209"/>
      <c r="BE117" s="140">
        <f t="shared" si="79"/>
        <v>1022.8723200000001</v>
      </c>
      <c r="BF117" s="141">
        <f t="shared" si="80"/>
        <v>0.99522712216216214</v>
      </c>
      <c r="BG117" s="142" t="b">
        <f t="shared" si="94"/>
        <v>0</v>
      </c>
      <c r="BH117" s="148"/>
      <c r="BI117" s="188" t="s">
        <v>538</v>
      </c>
      <c r="BJ117" s="189"/>
      <c r="BK117">
        <f>VLOOKUP(J117,'Tarieven ZM'!$B$7:$I$146,8,0)</f>
        <v>0</v>
      </c>
      <c r="BL117" s="179" t="str">
        <f>INDEX(Mapping!$M:$M,MATCH($J117,Mapping!$B:$B,0))</f>
        <v>nvt</v>
      </c>
      <c r="BM117" s="282">
        <v>0</v>
      </c>
      <c r="BN117" s="262">
        <f>BM117/INDEX(Parameters!$B:$B,MATCH("AfschrijftermijnVVE"&amp;12*$C117,Parameters!$A:$A,0))</f>
        <v>0</v>
      </c>
      <c r="BO117" s="262">
        <f>Parameters!$D$59+INDEX('inkoop ULL tbv Epacity'!I:I,MATCH($BL117,'inkoop ULL tbv Epacity'!H:H,0))</f>
        <v>1</v>
      </c>
      <c r="BP117" s="263">
        <f t="shared" si="95"/>
        <v>1</v>
      </c>
      <c r="BQ117" s="203"/>
      <c r="BR117" s="262">
        <f>Parameters!$B$12*AG117</f>
        <v>102.77777777777779</v>
      </c>
      <c r="BS117" s="262">
        <f>SUM(Distributievergoedingen!$F$12,Distributievergoedingen!$I$12,Distributievergoedingen!$L$12,Distributievergoedingen!$O$12)*AF117+SUM(Distributievergoedingen!$O$12*AA117+Distributievergoedingen!$R$12+Distributievergoedingen!$U$12+Distributievergoedingen!$X$12)/(MAX(36,12*L117))</f>
        <v>112.77777777777777</v>
      </c>
      <c r="BT117" s="202"/>
      <c r="BU117" s="202">
        <f t="shared" si="52"/>
        <v>215.55555555555554</v>
      </c>
      <c r="BW117" s="151">
        <f t="shared" si="53"/>
        <v>216.55555555555554</v>
      </c>
      <c r="BY117" s="140">
        <f t="shared" si="54"/>
        <v>811.22222222222229</v>
      </c>
      <c r="BZ117" s="141">
        <f t="shared" si="55"/>
        <v>0.78929729729729736</v>
      </c>
      <c r="CA117" s="142" t="b">
        <f t="shared" si="56"/>
        <v>0</v>
      </c>
    </row>
    <row r="118" spans="1:79">
      <c r="A118" s="160" t="str">
        <f t="shared" si="87"/>
        <v>3ADSLPremiumnationaal128/128</v>
      </c>
      <c r="B118" s="142" t="str">
        <f t="shared" si="81"/>
        <v>3ADSL128/128Premium</v>
      </c>
      <c r="C118" s="198">
        <v>3</v>
      </c>
      <c r="D118" s="198" t="s">
        <v>42</v>
      </c>
      <c r="E118" s="198" t="s">
        <v>70</v>
      </c>
      <c r="F118" s="198" t="s">
        <v>115</v>
      </c>
      <c r="G118" s="199" t="s">
        <v>113</v>
      </c>
      <c r="H118" s="198" t="s">
        <v>43</v>
      </c>
      <c r="J118" s="142" t="str">
        <f t="shared" si="88"/>
        <v>ADSL128/128Premium</v>
      </c>
      <c r="L118" s="160">
        <f>INDEX(Mapping!$J:$J,MATCH(C$3&amp;C118,Mapping!$B:$B,0))</f>
        <v>1</v>
      </c>
      <c r="M118" s="148" t="str">
        <f>INDEX(Mapping!$H:$H,MATCH($E118,Mapping!$B:$B,0))</f>
        <v>WBA ZM Ethernet</v>
      </c>
      <c r="N118" s="148" t="str">
        <f>INDEX(Mapping!$I:$I,MATCH($E118&amp;$G118,Mapping!$B:$B,0))</f>
        <v>premium</v>
      </c>
      <c r="O118" s="148" t="str">
        <f>INDEX(Mapping!$I:$I,MATCH($D118,Mapping!$B:$B,0))</f>
        <v>ADSL</v>
      </c>
      <c r="P118" s="148" t="str">
        <f>INDEX(Mapping!$H:$H,MATCH($F118,Mapping!$B:$B,0))</f>
        <v>nvt</v>
      </c>
      <c r="Q118" s="148" t="str">
        <f>INDEX(Mapping!$J:$J,MATCH($E118&amp;$G118,Mapping!$B:$B,0))</f>
        <v>metro</v>
      </c>
      <c r="R118" s="148" t="str">
        <f>INDEX(Mapping!$I:$I,MATCH($J118,Mapping!$B:$B,0))</f>
        <v>&lt;=256 kbps/&lt;=256 kbps</v>
      </c>
      <c r="T118" s="148" t="str">
        <f>INDEX(Mapping!$K:$K,MATCH($E118&amp;$G118,Mapping!$B:$B,0))</f>
        <v>metro-nationaal</v>
      </c>
      <c r="U118" s="142" t="str">
        <f t="shared" si="89"/>
        <v>WBA ZM Ethernet&lt;=256 kbps/&lt;=256 kbpspremiummetro</v>
      </c>
      <c r="W118" s="160">
        <f>MATCH($J118,'Tarieven ZM'!$B:$B,0)</f>
        <v>18</v>
      </c>
      <c r="X118" s="148">
        <f>INDEX('Tarieven ZM'!$H:$H,$W118)</f>
        <v>1000</v>
      </c>
      <c r="Y118" s="161">
        <f>-INDEX(Parameters!$B:$B,MATCH(Y$3,Parameters!$A:$A,0))*$X118</f>
        <v>0</v>
      </c>
      <c r="Z118" s="149">
        <f>-INDEX(Parameters!$B:$B,MATCH(Z$3,Parameters!$A:$A,0))*$X118</f>
        <v>0</v>
      </c>
      <c r="AA118" s="148">
        <f t="shared" si="90"/>
        <v>1000</v>
      </c>
      <c r="AB118" s="148">
        <f>AA118/INDEX(Parameters!$B:$B,MATCH("AfschrijftermijnVVE"&amp;12*$C118,Parameters!$A:$A,0))</f>
        <v>27.777777777777779</v>
      </c>
      <c r="AC118" s="148">
        <f>INDEX('Tarieven ZM'!$G:$G,$W118)</f>
        <v>1000</v>
      </c>
      <c r="AD118" s="161">
        <f>-INDEX(Parameters!$B:$B,MATCH(AD$3,Parameters!$A:$A,0))*$AC118</f>
        <v>0</v>
      </c>
      <c r="AE118" s="161">
        <f>-INDEX(Parameters!$B:$B,MATCH(AE$3,Parameters!$A:$A,0))*$AC118</f>
        <v>0</v>
      </c>
      <c r="AF118" s="148">
        <f t="shared" si="91"/>
        <v>1000</v>
      </c>
      <c r="AG118" s="151">
        <f t="shared" si="82"/>
        <v>1027.7777777777778</v>
      </c>
      <c r="AH118" s="123"/>
      <c r="AI118" s="147">
        <f>IF(R118&lt;&gt;"n.a.",MATCH($U118,'Tarieven W&amp;O'!$B:$B,0),"nvt")</f>
        <v>137</v>
      </c>
      <c r="AJ118" s="148">
        <f>IF(AI118&lt;&gt;"nvt",INDEX('Tarieven W&amp;O'!$H:$H,$AI118),0)</f>
        <v>0</v>
      </c>
      <c r="AK118" s="148">
        <f>IF(AI118&lt;&gt;"nvt",INDEX('Tarieven W&amp;O'!$I:$I,$AI118),0)</f>
        <v>5</v>
      </c>
      <c r="AL118" s="277">
        <f>IF(AI118&lt;&gt;"nvt",-INDEX(Parameters!$B:$B,MATCH(AL$3&amp;$M118,Parameters!$A:$A,0))*(AJ118+AK118),0)</f>
        <v>0</v>
      </c>
      <c r="AM118" s="442"/>
      <c r="AN118" s="262">
        <f t="shared" si="92"/>
        <v>5</v>
      </c>
      <c r="AO118" s="262">
        <f>AN118/INDEX(Parameters!$B:$B,MATCH("AfschrijftermijnVVE"&amp;12*$C118,Parameters!$A:$A,0))</f>
        <v>0.1388888888888889</v>
      </c>
      <c r="AP118" s="179">
        <f t="shared" si="93"/>
        <v>137</v>
      </c>
      <c r="AQ118" s="202">
        <f>IF(AP118&lt;&gt;"nvt",INDEX('Tarieven W&amp;O'!$G:$G,$AP118),0)</f>
        <v>7.41</v>
      </c>
      <c r="AR118" s="277">
        <f>-INDEX(Parameters!$B:$B,MATCH(AR$3&amp;$M118&amp;O118,Parameters!$A:$A,0))*(AQ118)</f>
        <v>0</v>
      </c>
      <c r="AS118" s="262">
        <f>Parameters!$D$54</f>
        <v>2</v>
      </c>
      <c r="AT118" s="442">
        <f>IF(M118="WBA CM Ethernet",0,'EDC Minus'!$H$27)</f>
        <v>1</v>
      </c>
      <c r="AU118" s="150">
        <f t="shared" si="83"/>
        <v>10.41</v>
      </c>
      <c r="AV118" s="150">
        <f t="shared" si="84"/>
        <v>10.548888888888889</v>
      </c>
      <c r="AW118" s="150"/>
      <c r="AX118" s="150">
        <f>Parameters!$B$6*AV118</f>
        <v>0.1054888888888889</v>
      </c>
      <c r="AY118" s="202">
        <v>0</v>
      </c>
      <c r="AZ118" s="202"/>
      <c r="BA118" s="150">
        <f t="shared" si="85"/>
        <v>0.1054888888888889</v>
      </c>
      <c r="BB118" s="150"/>
      <c r="BC118" s="151">
        <f t="shared" si="86"/>
        <v>10.654377777777778</v>
      </c>
      <c r="BD118" s="209"/>
      <c r="BE118" s="140">
        <f t="shared" si="79"/>
        <v>1017.1234000000001</v>
      </c>
      <c r="BF118" s="141">
        <f t="shared" si="80"/>
        <v>0.9896335783783784</v>
      </c>
      <c r="BG118" s="142" t="b">
        <f t="shared" si="94"/>
        <v>0</v>
      </c>
      <c r="BH118" s="148"/>
      <c r="BI118" s="188" t="s">
        <v>538</v>
      </c>
      <c r="BJ118" s="189"/>
      <c r="BK118">
        <f>VLOOKUP(J118,'Tarieven ZM'!$B$7:$I$146,8,0)</f>
        <v>0</v>
      </c>
      <c r="BL118" s="179" t="str">
        <f>INDEX(Mapping!$M:$M,MATCH($J118,Mapping!$B:$B,0))</f>
        <v>nvt</v>
      </c>
      <c r="BM118" s="282">
        <v>0</v>
      </c>
      <c r="BN118" s="262">
        <f>BM118/INDEX(Parameters!$B:$B,MATCH("AfschrijftermijnVVE"&amp;12*$C118,Parameters!$A:$A,0))</f>
        <v>0</v>
      </c>
      <c r="BO118" s="262">
        <f>Parameters!$D$59+INDEX('inkoop ULL tbv Epacity'!I:I,MATCH($BL118,'inkoop ULL tbv Epacity'!H:H,0))</f>
        <v>1</v>
      </c>
      <c r="BP118" s="263">
        <f t="shared" si="95"/>
        <v>1</v>
      </c>
      <c r="BQ118" s="203"/>
      <c r="BR118" s="262">
        <f>Parameters!$B$12*AG118</f>
        <v>102.77777777777779</v>
      </c>
      <c r="BS118" s="262">
        <f>SUM(Distributievergoedingen!$F$12,Distributievergoedingen!$I$12,Distributievergoedingen!$L$12,Distributievergoedingen!$O$12)*AF118+SUM(Distributievergoedingen!$O$12*AA118+Distributievergoedingen!$R$12+Distributievergoedingen!$U$12+Distributievergoedingen!$X$12)/(MAX(36,12*L118))</f>
        <v>112.77777777777777</v>
      </c>
      <c r="BT118" s="202"/>
      <c r="BU118" s="202">
        <f t="shared" si="52"/>
        <v>215.55555555555554</v>
      </c>
      <c r="BW118" s="151">
        <f t="shared" si="53"/>
        <v>216.55555555555554</v>
      </c>
      <c r="BY118" s="140">
        <f t="shared" si="54"/>
        <v>811.22222222222229</v>
      </c>
      <c r="BZ118" s="141">
        <f t="shared" si="55"/>
        <v>0.78929729729729736</v>
      </c>
      <c r="CA118" s="142" t="b">
        <f t="shared" si="56"/>
        <v>0</v>
      </c>
    </row>
    <row r="119" spans="1:79">
      <c r="A119" s="160" t="str">
        <f t="shared" si="87"/>
        <v>3ADSLPremiumnationaal256/256</v>
      </c>
      <c r="B119" s="142" t="str">
        <f t="shared" si="81"/>
        <v>3ADSL256/256Premium</v>
      </c>
      <c r="C119" s="198">
        <v>3</v>
      </c>
      <c r="D119" s="198" t="s">
        <v>42</v>
      </c>
      <c r="E119" s="198" t="s">
        <v>70</v>
      </c>
      <c r="F119" s="198" t="s">
        <v>115</v>
      </c>
      <c r="G119" s="199" t="s">
        <v>113</v>
      </c>
      <c r="H119" s="198" t="s">
        <v>48</v>
      </c>
      <c r="J119" s="142" t="str">
        <f t="shared" si="88"/>
        <v>ADSL256/256Premium</v>
      </c>
      <c r="L119" s="160">
        <f>INDEX(Mapping!$J:$J,MATCH(C$3&amp;C119,Mapping!$B:$B,0))</f>
        <v>1</v>
      </c>
      <c r="M119" s="148" t="str">
        <f>INDEX(Mapping!$H:$H,MATCH($E119,Mapping!$B:$B,0))</f>
        <v>WBA ZM Ethernet</v>
      </c>
      <c r="N119" s="148" t="str">
        <f>INDEX(Mapping!$I:$I,MATCH($E119&amp;$G119,Mapping!$B:$B,0))</f>
        <v>premium</v>
      </c>
      <c r="O119" s="148" t="str">
        <f>INDEX(Mapping!$I:$I,MATCH($D119,Mapping!$B:$B,0))</f>
        <v>ADSL</v>
      </c>
      <c r="P119" s="148" t="str">
        <f>INDEX(Mapping!$H:$H,MATCH($F119,Mapping!$B:$B,0))</f>
        <v>nvt</v>
      </c>
      <c r="Q119" s="148" t="str">
        <f>INDEX(Mapping!$J:$J,MATCH($E119&amp;$G119,Mapping!$B:$B,0))</f>
        <v>metro</v>
      </c>
      <c r="R119" s="148" t="str">
        <f>INDEX(Mapping!$I:$I,MATCH($J119,Mapping!$B:$B,0))</f>
        <v>1 Mbps/1 Mbps</v>
      </c>
      <c r="T119" s="148" t="str">
        <f>INDEX(Mapping!$K:$K,MATCH($E119&amp;$G119,Mapping!$B:$B,0))</f>
        <v>metro-nationaal</v>
      </c>
      <c r="U119" s="142" t="str">
        <f t="shared" si="89"/>
        <v>WBA ZM Ethernet1 Mbps/1 Mbpspremiummetro</v>
      </c>
      <c r="W119" s="160">
        <f>MATCH($J119,'Tarieven ZM'!$B:$B,0)</f>
        <v>19</v>
      </c>
      <c r="X119" s="148">
        <f>INDEX('Tarieven ZM'!$H:$H,$W119)</f>
        <v>1000</v>
      </c>
      <c r="Y119" s="161">
        <f>-INDEX(Parameters!$B:$B,MATCH(Y$3,Parameters!$A:$A,0))*$X119</f>
        <v>0</v>
      </c>
      <c r="Z119" s="149">
        <f>-INDEX(Parameters!$B:$B,MATCH(Z$3,Parameters!$A:$A,0))*$X119</f>
        <v>0</v>
      </c>
      <c r="AA119" s="148">
        <f t="shared" si="90"/>
        <v>1000</v>
      </c>
      <c r="AB119" s="148">
        <f>AA119/INDEX(Parameters!$B:$B,MATCH("AfschrijftermijnVVE"&amp;12*$C119,Parameters!$A:$A,0))</f>
        <v>27.777777777777779</v>
      </c>
      <c r="AC119" s="148">
        <f>INDEX('Tarieven ZM'!$G:$G,$W119)</f>
        <v>1000</v>
      </c>
      <c r="AD119" s="161">
        <f>-INDEX(Parameters!$B:$B,MATCH(AD$3,Parameters!$A:$A,0))*$AC119</f>
        <v>0</v>
      </c>
      <c r="AE119" s="161">
        <f>-INDEX(Parameters!$B:$B,MATCH(AE$3,Parameters!$A:$A,0))*$AC119</f>
        <v>0</v>
      </c>
      <c r="AF119" s="148">
        <f t="shared" si="91"/>
        <v>1000</v>
      </c>
      <c r="AG119" s="151">
        <f t="shared" si="82"/>
        <v>1027.7777777777778</v>
      </c>
      <c r="AH119" s="123"/>
      <c r="AI119" s="147">
        <f>IF(R119&lt;&gt;"n.a.",MATCH($U119,'Tarieven W&amp;O'!$B:$B,0),"nvt")</f>
        <v>138</v>
      </c>
      <c r="AJ119" s="148">
        <f>IF(AI119&lt;&gt;"nvt",INDEX('Tarieven W&amp;O'!$H:$H,$AI119),0)</f>
        <v>0</v>
      </c>
      <c r="AK119" s="148">
        <f>IF(AI119&lt;&gt;"nvt",INDEX('Tarieven W&amp;O'!$I:$I,$AI119),0)</f>
        <v>5</v>
      </c>
      <c r="AL119" s="277">
        <f>IF(AI119&lt;&gt;"nvt",-INDEX(Parameters!$B:$B,MATCH(AL$3&amp;$M119,Parameters!$A:$A,0))*(AJ119+AK119),0)</f>
        <v>0</v>
      </c>
      <c r="AM119" s="442"/>
      <c r="AN119" s="262">
        <f t="shared" si="92"/>
        <v>5</v>
      </c>
      <c r="AO119" s="262">
        <f>AN119/INDEX(Parameters!$B:$B,MATCH("AfschrijftermijnVVE"&amp;12*$C119,Parameters!$A:$A,0))</f>
        <v>0.1388888888888889</v>
      </c>
      <c r="AP119" s="179">
        <f t="shared" si="93"/>
        <v>138</v>
      </c>
      <c r="AQ119" s="202">
        <f>IF(AP119&lt;&gt;"nvt",INDEX('Tarieven W&amp;O'!$G:$G,$AP119),0)</f>
        <v>7.41</v>
      </c>
      <c r="AR119" s="277">
        <f>-INDEX(Parameters!$B:$B,MATCH(AR$3&amp;$M119&amp;O119,Parameters!$A:$A,0))*(AQ119)</f>
        <v>0</v>
      </c>
      <c r="AS119" s="262">
        <f>Parameters!$D$54</f>
        <v>2</v>
      </c>
      <c r="AT119" s="442">
        <f>IF(M119="WBA CM Ethernet",0,'EDC Minus'!$H$27)</f>
        <v>1</v>
      </c>
      <c r="AU119" s="150">
        <f t="shared" si="83"/>
        <v>10.41</v>
      </c>
      <c r="AV119" s="150">
        <f t="shared" si="84"/>
        <v>10.548888888888889</v>
      </c>
      <c r="AW119" s="150"/>
      <c r="AX119" s="150">
        <f>Parameters!$B$6*AV119</f>
        <v>0.1054888888888889</v>
      </c>
      <c r="AY119" s="202">
        <v>0</v>
      </c>
      <c r="AZ119" s="202"/>
      <c r="BA119" s="150">
        <f t="shared" si="85"/>
        <v>0.1054888888888889</v>
      </c>
      <c r="BB119" s="150"/>
      <c r="BC119" s="151">
        <f t="shared" si="86"/>
        <v>10.654377777777778</v>
      </c>
      <c r="BD119" s="209"/>
      <c r="BE119" s="140">
        <f t="shared" si="79"/>
        <v>1017.1234000000001</v>
      </c>
      <c r="BF119" s="141">
        <f t="shared" si="80"/>
        <v>0.9896335783783784</v>
      </c>
      <c r="BG119" s="142" t="b">
        <f t="shared" si="94"/>
        <v>0</v>
      </c>
      <c r="BH119" s="148"/>
      <c r="BI119" s="188" t="s">
        <v>538</v>
      </c>
      <c r="BJ119" s="189"/>
      <c r="BK119">
        <f>VLOOKUP(J119,'Tarieven ZM'!$B$7:$I$146,8,0)</f>
        <v>0</v>
      </c>
      <c r="BL119" s="179" t="str">
        <f>INDEX(Mapping!$M:$M,MATCH($J119,Mapping!$B:$B,0))</f>
        <v>nvt</v>
      </c>
      <c r="BM119" s="282">
        <v>0</v>
      </c>
      <c r="BN119" s="262">
        <f>BM119/INDEX(Parameters!$B:$B,MATCH("AfschrijftermijnVVE"&amp;12*$C119,Parameters!$A:$A,0))</f>
        <v>0</v>
      </c>
      <c r="BO119" s="262">
        <f>Parameters!$D$59+INDEX('inkoop ULL tbv Epacity'!I:I,MATCH($BL119,'inkoop ULL tbv Epacity'!H:H,0))</f>
        <v>1</v>
      </c>
      <c r="BP119" s="263">
        <f t="shared" si="95"/>
        <v>1</v>
      </c>
      <c r="BQ119" s="203"/>
      <c r="BR119" s="262">
        <f>Parameters!$B$12*AG119</f>
        <v>102.77777777777779</v>
      </c>
      <c r="BS119" s="262">
        <f>SUM(Distributievergoedingen!$F$12,Distributievergoedingen!$I$12,Distributievergoedingen!$L$12,Distributievergoedingen!$O$12)*AF119+SUM(Distributievergoedingen!$O$12*AA119+Distributievergoedingen!$R$12+Distributievergoedingen!$U$12+Distributievergoedingen!$X$12)/(MAX(36,12*L119))</f>
        <v>112.77777777777777</v>
      </c>
      <c r="BT119" s="202"/>
      <c r="BU119" s="202">
        <f t="shared" ref="BU119:BU159" si="96">SUM(BR119:BT119)</f>
        <v>215.55555555555554</v>
      </c>
      <c r="BW119" s="151">
        <f t="shared" ref="BW119:BW159" si="97">SUM(BP119,BU119)</f>
        <v>216.55555555555554</v>
      </c>
      <c r="BY119" s="140">
        <f t="shared" ref="BY119:BY159" si="98">AG119-BW119</f>
        <v>811.22222222222229</v>
      </c>
      <c r="BZ119" s="141">
        <f t="shared" ref="BZ119:BZ159" si="99">IF(AG119=0,-999%,BY119/AG119)</f>
        <v>0.78929729729729736</v>
      </c>
      <c r="CA119" s="142" t="b">
        <f t="shared" ref="CA119:CA159" si="100">BZ119&lt;0</f>
        <v>0</v>
      </c>
    </row>
    <row r="120" spans="1:79">
      <c r="A120" s="160" t="str">
        <f t="shared" si="87"/>
        <v>3ADSLPremiumnationaal512/256</v>
      </c>
      <c r="B120" s="142" t="str">
        <f t="shared" si="81"/>
        <v>3ADSL512/256Premium</v>
      </c>
      <c r="C120" s="198">
        <v>3</v>
      </c>
      <c r="D120" s="198" t="s">
        <v>42</v>
      </c>
      <c r="E120" s="198" t="s">
        <v>70</v>
      </c>
      <c r="F120" s="198" t="s">
        <v>115</v>
      </c>
      <c r="G120" s="199" t="s">
        <v>113</v>
      </c>
      <c r="H120" s="198" t="s">
        <v>49</v>
      </c>
      <c r="J120" s="142" t="str">
        <f t="shared" si="88"/>
        <v>ADSL512/256Premium</v>
      </c>
      <c r="L120" s="160">
        <f>INDEX(Mapping!$J:$J,MATCH(C$3&amp;C120,Mapping!$B:$B,0))</f>
        <v>1</v>
      </c>
      <c r="M120" s="148" t="str">
        <f>INDEX(Mapping!$H:$H,MATCH($E120,Mapping!$B:$B,0))</f>
        <v>WBA ZM Ethernet</v>
      </c>
      <c r="N120" s="148" t="str">
        <f>INDEX(Mapping!$I:$I,MATCH($E120&amp;$G120,Mapping!$B:$B,0))</f>
        <v>premium</v>
      </c>
      <c r="O120" s="148" t="str">
        <f>INDEX(Mapping!$I:$I,MATCH($D120,Mapping!$B:$B,0))</f>
        <v>ADSL</v>
      </c>
      <c r="P120" s="148" t="str">
        <f>INDEX(Mapping!$H:$H,MATCH($F120,Mapping!$B:$B,0))</f>
        <v>nvt</v>
      </c>
      <c r="Q120" s="148" t="str">
        <f>INDEX(Mapping!$J:$J,MATCH($E120&amp;$G120,Mapping!$B:$B,0))</f>
        <v>metro</v>
      </c>
      <c r="R120" s="148" t="str">
        <f>INDEX(Mapping!$I:$I,MATCH($J120,Mapping!$B:$B,0))</f>
        <v>1 Mbps/1 Mbps</v>
      </c>
      <c r="T120" s="148" t="str">
        <f>INDEX(Mapping!$K:$K,MATCH($E120&amp;$G120,Mapping!$B:$B,0))</f>
        <v>metro-nationaal</v>
      </c>
      <c r="U120" s="142" t="str">
        <f t="shared" si="89"/>
        <v>WBA ZM Ethernet1 Mbps/1 Mbpspremiummetro</v>
      </c>
      <c r="W120" s="160">
        <f>MATCH($J120,'Tarieven ZM'!$B:$B,0)</f>
        <v>20</v>
      </c>
      <c r="X120" s="148">
        <f>INDEX('Tarieven ZM'!$H:$H,$W120)</f>
        <v>1000</v>
      </c>
      <c r="Y120" s="161">
        <f>-INDEX(Parameters!$B:$B,MATCH(Y$3,Parameters!$A:$A,0))*$X120</f>
        <v>0</v>
      </c>
      <c r="Z120" s="149">
        <f>-INDEX(Parameters!$B:$B,MATCH(Z$3,Parameters!$A:$A,0))*$X120</f>
        <v>0</v>
      </c>
      <c r="AA120" s="148">
        <f t="shared" si="90"/>
        <v>1000</v>
      </c>
      <c r="AB120" s="148">
        <f>AA120/INDEX(Parameters!$B:$B,MATCH("AfschrijftermijnVVE"&amp;12*$C120,Parameters!$A:$A,0))</f>
        <v>27.777777777777779</v>
      </c>
      <c r="AC120" s="148">
        <f>INDEX('Tarieven ZM'!$G:$G,$W120)</f>
        <v>1000</v>
      </c>
      <c r="AD120" s="161">
        <f>-INDEX(Parameters!$B:$B,MATCH(AD$3,Parameters!$A:$A,0))*$AC120</f>
        <v>0</v>
      </c>
      <c r="AE120" s="161">
        <f>-INDEX(Parameters!$B:$B,MATCH(AE$3,Parameters!$A:$A,0))*$AC120</f>
        <v>0</v>
      </c>
      <c r="AF120" s="148">
        <f t="shared" si="91"/>
        <v>1000</v>
      </c>
      <c r="AG120" s="151">
        <f t="shared" si="82"/>
        <v>1027.7777777777778</v>
      </c>
      <c r="AH120" s="123"/>
      <c r="AI120" s="147">
        <f>IF(R120&lt;&gt;"n.a.",MATCH($U120,'Tarieven W&amp;O'!$B:$B,0),"nvt")</f>
        <v>138</v>
      </c>
      <c r="AJ120" s="148">
        <f>IF(AI120&lt;&gt;"nvt",INDEX('Tarieven W&amp;O'!$H:$H,$AI120),0)</f>
        <v>0</v>
      </c>
      <c r="AK120" s="148">
        <f>IF(AI120&lt;&gt;"nvt",INDEX('Tarieven W&amp;O'!$I:$I,$AI120),0)</f>
        <v>5</v>
      </c>
      <c r="AL120" s="277">
        <f>IF(AI120&lt;&gt;"nvt",-INDEX(Parameters!$B:$B,MATCH(AL$3&amp;$M120,Parameters!$A:$A,0))*(AJ120+AK120),0)</f>
        <v>0</v>
      </c>
      <c r="AM120" s="442"/>
      <c r="AN120" s="262">
        <f t="shared" si="92"/>
        <v>5</v>
      </c>
      <c r="AO120" s="262">
        <f>AN120/INDEX(Parameters!$B:$B,MATCH("AfschrijftermijnVVE"&amp;12*$C120,Parameters!$A:$A,0))</f>
        <v>0.1388888888888889</v>
      </c>
      <c r="AP120" s="179">
        <f t="shared" si="93"/>
        <v>138</v>
      </c>
      <c r="AQ120" s="202">
        <f>IF(AP120&lt;&gt;"nvt",INDEX('Tarieven W&amp;O'!$G:$G,$AP120),0)</f>
        <v>7.41</v>
      </c>
      <c r="AR120" s="277">
        <f>-INDEX(Parameters!$B:$B,MATCH(AR$3&amp;$M120&amp;O120,Parameters!$A:$A,0))*(AQ120)</f>
        <v>0</v>
      </c>
      <c r="AS120" s="262">
        <f>Parameters!$D$54</f>
        <v>2</v>
      </c>
      <c r="AT120" s="442">
        <f>IF(M120="WBA CM Ethernet",0,'EDC Minus'!$H$27)</f>
        <v>1</v>
      </c>
      <c r="AU120" s="150">
        <f t="shared" si="83"/>
        <v>10.41</v>
      </c>
      <c r="AV120" s="150">
        <f t="shared" si="84"/>
        <v>10.548888888888889</v>
      </c>
      <c r="AW120" s="150"/>
      <c r="AX120" s="150">
        <f>Parameters!$B$6*AV120</f>
        <v>0.1054888888888889</v>
      </c>
      <c r="AY120" s="202">
        <v>0</v>
      </c>
      <c r="AZ120" s="202"/>
      <c r="BA120" s="150">
        <f t="shared" si="85"/>
        <v>0.1054888888888889</v>
      </c>
      <c r="BB120" s="150"/>
      <c r="BC120" s="151">
        <f t="shared" si="86"/>
        <v>10.654377777777778</v>
      </c>
      <c r="BD120" s="209"/>
      <c r="BE120" s="140">
        <f t="shared" si="79"/>
        <v>1017.1234000000001</v>
      </c>
      <c r="BF120" s="141">
        <f t="shared" si="80"/>
        <v>0.9896335783783784</v>
      </c>
      <c r="BG120" s="142" t="b">
        <f t="shared" si="94"/>
        <v>0</v>
      </c>
      <c r="BH120" s="148"/>
      <c r="BI120" s="188" t="s">
        <v>538</v>
      </c>
      <c r="BJ120" s="189"/>
      <c r="BK120">
        <f>VLOOKUP(J120,'Tarieven ZM'!$B$7:$I$146,8,0)</f>
        <v>0</v>
      </c>
      <c r="BL120" s="179" t="str">
        <f>INDEX(Mapping!$M:$M,MATCH($J120,Mapping!$B:$B,0))</f>
        <v>nvt</v>
      </c>
      <c r="BM120" s="282">
        <v>0</v>
      </c>
      <c r="BN120" s="262">
        <f>BM120/INDEX(Parameters!$B:$B,MATCH("AfschrijftermijnVVE"&amp;12*$C120,Parameters!$A:$A,0))</f>
        <v>0</v>
      </c>
      <c r="BO120" s="262">
        <f>Parameters!$D$59+INDEX('inkoop ULL tbv Epacity'!I:I,MATCH($BL120,'inkoop ULL tbv Epacity'!H:H,0))</f>
        <v>1</v>
      </c>
      <c r="BP120" s="263">
        <f t="shared" si="95"/>
        <v>1</v>
      </c>
      <c r="BQ120" s="203"/>
      <c r="BR120" s="262">
        <f>Parameters!$B$12*AG120</f>
        <v>102.77777777777779</v>
      </c>
      <c r="BS120" s="262">
        <f>SUM(Distributievergoedingen!$F$12,Distributievergoedingen!$I$12,Distributievergoedingen!$L$12,Distributievergoedingen!$O$12)*AF120+SUM(Distributievergoedingen!$O$12*AA120+Distributievergoedingen!$R$12+Distributievergoedingen!$U$12+Distributievergoedingen!$X$12)/(MAX(36,12*L120))</f>
        <v>112.77777777777777</v>
      </c>
      <c r="BT120" s="202"/>
      <c r="BU120" s="202">
        <f t="shared" si="96"/>
        <v>215.55555555555554</v>
      </c>
      <c r="BW120" s="151">
        <f t="shared" si="97"/>
        <v>216.55555555555554</v>
      </c>
      <c r="BY120" s="140">
        <f t="shared" si="98"/>
        <v>811.22222222222229</v>
      </c>
      <c r="BZ120" s="141">
        <f t="shared" si="99"/>
        <v>0.78929729729729736</v>
      </c>
      <c r="CA120" s="142" t="b">
        <f t="shared" si="100"/>
        <v>0</v>
      </c>
    </row>
    <row r="121" spans="1:79">
      <c r="A121" s="160" t="str">
        <f t="shared" si="87"/>
        <v>3ADSLPremiumnationaal512/512</v>
      </c>
      <c r="B121" s="142" t="str">
        <f t="shared" si="81"/>
        <v>3ADSL512/512Premium</v>
      </c>
      <c r="C121" s="198">
        <v>3</v>
      </c>
      <c r="D121" s="198" t="s">
        <v>42</v>
      </c>
      <c r="E121" s="198" t="s">
        <v>70</v>
      </c>
      <c r="F121" s="198" t="s">
        <v>115</v>
      </c>
      <c r="G121" s="199" t="s">
        <v>113</v>
      </c>
      <c r="H121" s="198" t="s">
        <v>50</v>
      </c>
      <c r="J121" s="142" t="str">
        <f t="shared" si="88"/>
        <v>ADSL512/512Premium</v>
      </c>
      <c r="L121" s="160">
        <f>INDEX(Mapping!$J:$J,MATCH(C$3&amp;C121,Mapping!$B:$B,0))</f>
        <v>1</v>
      </c>
      <c r="M121" s="148" t="str">
        <f>INDEX(Mapping!$H:$H,MATCH($E121,Mapping!$B:$B,0))</f>
        <v>WBA ZM Ethernet</v>
      </c>
      <c r="N121" s="148" t="str">
        <f>INDEX(Mapping!$I:$I,MATCH($E121&amp;$G121,Mapping!$B:$B,0))</f>
        <v>premium</v>
      </c>
      <c r="O121" s="148" t="str">
        <f>INDEX(Mapping!$I:$I,MATCH($D121,Mapping!$B:$B,0))</f>
        <v>ADSL</v>
      </c>
      <c r="P121" s="148" t="str">
        <f>INDEX(Mapping!$H:$H,MATCH($F121,Mapping!$B:$B,0))</f>
        <v>nvt</v>
      </c>
      <c r="Q121" s="148" t="str">
        <f>INDEX(Mapping!$J:$J,MATCH($E121&amp;$G121,Mapping!$B:$B,0))</f>
        <v>metro</v>
      </c>
      <c r="R121" s="148" t="str">
        <f>INDEX(Mapping!$I:$I,MATCH($J121,Mapping!$B:$B,0))</f>
        <v>1 Mbps/1 Mbps</v>
      </c>
      <c r="T121" s="148" t="str">
        <f>INDEX(Mapping!$K:$K,MATCH($E121&amp;$G121,Mapping!$B:$B,0))</f>
        <v>metro-nationaal</v>
      </c>
      <c r="U121" s="142" t="str">
        <f t="shared" si="89"/>
        <v>WBA ZM Ethernet1 Mbps/1 Mbpspremiummetro</v>
      </c>
      <c r="W121" s="160">
        <f>MATCH($J121,'Tarieven ZM'!$B:$B,0)</f>
        <v>21</v>
      </c>
      <c r="X121" s="148">
        <f>INDEX('Tarieven ZM'!$H:$H,$W121)</f>
        <v>1000</v>
      </c>
      <c r="Y121" s="161">
        <f>-INDEX(Parameters!$B:$B,MATCH(Y$3,Parameters!$A:$A,0))*$X121</f>
        <v>0</v>
      </c>
      <c r="Z121" s="149">
        <f>-INDEX(Parameters!$B:$B,MATCH(Z$3,Parameters!$A:$A,0))*$X121</f>
        <v>0</v>
      </c>
      <c r="AA121" s="148">
        <f t="shared" si="90"/>
        <v>1000</v>
      </c>
      <c r="AB121" s="148">
        <f>AA121/INDEX(Parameters!$B:$B,MATCH("AfschrijftermijnVVE"&amp;12*$C121,Parameters!$A:$A,0))</f>
        <v>27.777777777777779</v>
      </c>
      <c r="AC121" s="148">
        <f>INDEX('Tarieven ZM'!$G:$G,$W121)</f>
        <v>1000</v>
      </c>
      <c r="AD121" s="161">
        <f>-INDEX(Parameters!$B:$B,MATCH(AD$3,Parameters!$A:$A,0))*$AC121</f>
        <v>0</v>
      </c>
      <c r="AE121" s="161">
        <f>-INDEX(Parameters!$B:$B,MATCH(AE$3,Parameters!$A:$A,0))*$AC121</f>
        <v>0</v>
      </c>
      <c r="AF121" s="148">
        <f t="shared" si="91"/>
        <v>1000</v>
      </c>
      <c r="AG121" s="151">
        <f t="shared" si="82"/>
        <v>1027.7777777777778</v>
      </c>
      <c r="AH121" s="123"/>
      <c r="AI121" s="147">
        <f>IF(R121&lt;&gt;"n.a.",MATCH($U121,'Tarieven W&amp;O'!$B:$B,0),"nvt")</f>
        <v>138</v>
      </c>
      <c r="AJ121" s="148">
        <f>IF(AI121&lt;&gt;"nvt",INDEX('Tarieven W&amp;O'!$H:$H,$AI121),0)</f>
        <v>0</v>
      </c>
      <c r="AK121" s="148">
        <f>IF(AI121&lt;&gt;"nvt",INDEX('Tarieven W&amp;O'!$I:$I,$AI121),0)</f>
        <v>5</v>
      </c>
      <c r="AL121" s="277">
        <f>IF(AI121&lt;&gt;"nvt",-INDEX(Parameters!$B:$B,MATCH(AL$3&amp;$M121,Parameters!$A:$A,0))*(AJ121+AK121),0)</f>
        <v>0</v>
      </c>
      <c r="AM121" s="442"/>
      <c r="AN121" s="262">
        <f t="shared" si="92"/>
        <v>5</v>
      </c>
      <c r="AO121" s="262">
        <f>AN121/INDEX(Parameters!$B:$B,MATCH("AfschrijftermijnVVE"&amp;12*$C121,Parameters!$A:$A,0))</f>
        <v>0.1388888888888889</v>
      </c>
      <c r="AP121" s="179">
        <f t="shared" si="93"/>
        <v>138</v>
      </c>
      <c r="AQ121" s="202">
        <f>IF(AP121&lt;&gt;"nvt",INDEX('Tarieven W&amp;O'!$G:$G,$AP121),0)</f>
        <v>7.41</v>
      </c>
      <c r="AR121" s="277">
        <f>-INDEX(Parameters!$B:$B,MATCH(AR$3&amp;$M121&amp;O121,Parameters!$A:$A,0))*(AQ121)</f>
        <v>0</v>
      </c>
      <c r="AS121" s="262">
        <f>Parameters!$D$54</f>
        <v>2</v>
      </c>
      <c r="AT121" s="442">
        <f>IF(M121="WBA CM Ethernet",0,'EDC Minus'!$H$27)</f>
        <v>1</v>
      </c>
      <c r="AU121" s="150">
        <f t="shared" si="83"/>
        <v>10.41</v>
      </c>
      <c r="AV121" s="150">
        <f t="shared" si="84"/>
        <v>10.548888888888889</v>
      </c>
      <c r="AW121" s="150"/>
      <c r="AX121" s="150">
        <f>Parameters!$B$6*AV121</f>
        <v>0.1054888888888889</v>
      </c>
      <c r="AY121" s="202">
        <v>0</v>
      </c>
      <c r="AZ121" s="202"/>
      <c r="BA121" s="150">
        <f t="shared" si="85"/>
        <v>0.1054888888888889</v>
      </c>
      <c r="BB121" s="150"/>
      <c r="BC121" s="151">
        <f t="shared" si="86"/>
        <v>10.654377777777778</v>
      </c>
      <c r="BD121" s="209"/>
      <c r="BE121" s="140">
        <f t="shared" si="79"/>
        <v>1017.1234000000001</v>
      </c>
      <c r="BF121" s="141">
        <f t="shared" si="80"/>
        <v>0.9896335783783784</v>
      </c>
      <c r="BG121" s="142" t="b">
        <f t="shared" si="94"/>
        <v>0</v>
      </c>
      <c r="BH121" s="148"/>
      <c r="BI121" s="188" t="s">
        <v>538</v>
      </c>
      <c r="BJ121" s="189"/>
      <c r="BK121">
        <f>VLOOKUP(J121,'Tarieven ZM'!$B$7:$I$146,8,0)</f>
        <v>0</v>
      </c>
      <c r="BL121" s="179" t="str">
        <f>INDEX(Mapping!$M:$M,MATCH($J121,Mapping!$B:$B,0))</f>
        <v>nvt</v>
      </c>
      <c r="BM121" s="282">
        <v>0</v>
      </c>
      <c r="BN121" s="262">
        <f>BM121/INDEX(Parameters!$B:$B,MATCH("AfschrijftermijnVVE"&amp;12*$C121,Parameters!$A:$A,0))</f>
        <v>0</v>
      </c>
      <c r="BO121" s="262">
        <f>Parameters!$D$59+INDEX('inkoop ULL tbv Epacity'!I:I,MATCH($BL121,'inkoop ULL tbv Epacity'!H:H,0))</f>
        <v>1</v>
      </c>
      <c r="BP121" s="263">
        <f t="shared" si="95"/>
        <v>1</v>
      </c>
      <c r="BQ121" s="203"/>
      <c r="BR121" s="262">
        <f>Parameters!$B$12*AG121</f>
        <v>102.77777777777779</v>
      </c>
      <c r="BS121" s="262">
        <f>SUM(Distributievergoedingen!$F$12,Distributievergoedingen!$I$12,Distributievergoedingen!$L$12,Distributievergoedingen!$O$12)*AF121+SUM(Distributievergoedingen!$O$12*AA121+Distributievergoedingen!$R$12+Distributievergoedingen!$U$12+Distributievergoedingen!$X$12)/(MAX(36,12*L121))</f>
        <v>112.77777777777777</v>
      </c>
      <c r="BT121" s="202"/>
      <c r="BU121" s="202">
        <f t="shared" si="96"/>
        <v>215.55555555555554</v>
      </c>
      <c r="BW121" s="151">
        <f t="shared" si="97"/>
        <v>216.55555555555554</v>
      </c>
      <c r="BY121" s="140">
        <f t="shared" si="98"/>
        <v>811.22222222222229</v>
      </c>
      <c r="BZ121" s="141">
        <f t="shared" si="99"/>
        <v>0.78929729729729736</v>
      </c>
      <c r="CA121" s="142" t="b">
        <f t="shared" si="100"/>
        <v>0</v>
      </c>
    </row>
    <row r="122" spans="1:79">
      <c r="A122" s="160" t="str">
        <f t="shared" si="87"/>
        <v>3ADSLPremiumnationaal1024/256</v>
      </c>
      <c r="B122" s="142" t="str">
        <f t="shared" si="81"/>
        <v>3ADSL1024/256Premium</v>
      </c>
      <c r="C122" s="198">
        <v>3</v>
      </c>
      <c r="D122" s="198" t="s">
        <v>42</v>
      </c>
      <c r="E122" s="198" t="s">
        <v>70</v>
      </c>
      <c r="F122" s="198" t="s">
        <v>115</v>
      </c>
      <c r="G122" s="199" t="s">
        <v>113</v>
      </c>
      <c r="H122" s="198" t="s">
        <v>52</v>
      </c>
      <c r="J122" s="142" t="str">
        <f t="shared" si="88"/>
        <v>ADSL1024/256Premium</v>
      </c>
      <c r="L122" s="160">
        <f>INDEX(Mapping!$J:$J,MATCH(C$3&amp;C122,Mapping!$B:$B,0))</f>
        <v>1</v>
      </c>
      <c r="M122" s="148" t="str">
        <f>INDEX(Mapping!$H:$H,MATCH($E122,Mapping!$B:$B,0))</f>
        <v>WBA ZM Ethernet</v>
      </c>
      <c r="N122" s="148" t="str">
        <f>INDEX(Mapping!$I:$I,MATCH($E122&amp;$G122,Mapping!$B:$B,0))</f>
        <v>premium</v>
      </c>
      <c r="O122" s="148" t="str">
        <f>INDEX(Mapping!$I:$I,MATCH($D122,Mapping!$B:$B,0))</f>
        <v>ADSL</v>
      </c>
      <c r="P122" s="148" t="str">
        <f>INDEX(Mapping!$H:$H,MATCH($F122,Mapping!$B:$B,0))</f>
        <v>nvt</v>
      </c>
      <c r="Q122" s="148" t="str">
        <f>INDEX(Mapping!$J:$J,MATCH($E122&amp;$G122,Mapping!$B:$B,0))</f>
        <v>metro</v>
      </c>
      <c r="R122" s="148" t="str">
        <f>INDEX(Mapping!$I:$I,MATCH($J122,Mapping!$B:$B,0))</f>
        <v>1 Mbps/1 Mbps</v>
      </c>
      <c r="T122" s="148" t="str">
        <f>INDEX(Mapping!$K:$K,MATCH($E122&amp;$G122,Mapping!$B:$B,0))</f>
        <v>metro-nationaal</v>
      </c>
      <c r="U122" s="142" t="str">
        <f t="shared" si="89"/>
        <v>WBA ZM Ethernet1 Mbps/1 Mbpspremiummetro</v>
      </c>
      <c r="W122" s="160">
        <f>MATCH($J122,'Tarieven ZM'!$B:$B,0)</f>
        <v>22</v>
      </c>
      <c r="X122" s="148">
        <f>INDEX('Tarieven ZM'!$H:$H,$W122)</f>
        <v>1000</v>
      </c>
      <c r="Y122" s="161">
        <f>-INDEX(Parameters!$B:$B,MATCH(Y$3,Parameters!$A:$A,0))*$X122</f>
        <v>0</v>
      </c>
      <c r="Z122" s="149">
        <f>-INDEX(Parameters!$B:$B,MATCH(Z$3,Parameters!$A:$A,0))*$X122</f>
        <v>0</v>
      </c>
      <c r="AA122" s="148">
        <f t="shared" si="90"/>
        <v>1000</v>
      </c>
      <c r="AB122" s="148">
        <f>AA122/INDEX(Parameters!$B:$B,MATCH("AfschrijftermijnVVE"&amp;12*$C122,Parameters!$A:$A,0))</f>
        <v>27.777777777777779</v>
      </c>
      <c r="AC122" s="148">
        <f>INDEX('Tarieven ZM'!$G:$G,$W122)</f>
        <v>1000</v>
      </c>
      <c r="AD122" s="161">
        <f>-INDEX(Parameters!$B:$B,MATCH(AD$3,Parameters!$A:$A,0))*$AC122</f>
        <v>0</v>
      </c>
      <c r="AE122" s="161">
        <f>-INDEX(Parameters!$B:$B,MATCH(AE$3,Parameters!$A:$A,0))*$AC122</f>
        <v>0</v>
      </c>
      <c r="AF122" s="148">
        <f t="shared" si="91"/>
        <v>1000</v>
      </c>
      <c r="AG122" s="151">
        <f t="shared" si="82"/>
        <v>1027.7777777777778</v>
      </c>
      <c r="AH122" s="123"/>
      <c r="AI122" s="147">
        <f>IF(R122&lt;&gt;"n.a.",MATCH($U122,'Tarieven W&amp;O'!$B:$B,0),"nvt")</f>
        <v>138</v>
      </c>
      <c r="AJ122" s="148">
        <f>IF(AI122&lt;&gt;"nvt",INDEX('Tarieven W&amp;O'!$H:$H,$AI122),0)</f>
        <v>0</v>
      </c>
      <c r="AK122" s="148">
        <f>IF(AI122&lt;&gt;"nvt",INDEX('Tarieven W&amp;O'!$I:$I,$AI122),0)</f>
        <v>5</v>
      </c>
      <c r="AL122" s="277">
        <f>IF(AI122&lt;&gt;"nvt",-INDEX(Parameters!$B:$B,MATCH(AL$3&amp;$M122,Parameters!$A:$A,0))*(AJ122+AK122),0)</f>
        <v>0</v>
      </c>
      <c r="AM122" s="442"/>
      <c r="AN122" s="262">
        <f t="shared" si="92"/>
        <v>5</v>
      </c>
      <c r="AO122" s="262">
        <f>AN122/INDEX(Parameters!$B:$B,MATCH("AfschrijftermijnVVE"&amp;12*$C122,Parameters!$A:$A,0))</f>
        <v>0.1388888888888889</v>
      </c>
      <c r="AP122" s="179">
        <f t="shared" si="93"/>
        <v>138</v>
      </c>
      <c r="AQ122" s="202">
        <f>IF(AP122&lt;&gt;"nvt",INDEX('Tarieven W&amp;O'!$G:$G,$AP122),0)</f>
        <v>7.41</v>
      </c>
      <c r="AR122" s="277">
        <f>-INDEX(Parameters!$B:$B,MATCH(AR$3&amp;$M122&amp;O122,Parameters!$A:$A,0))*(AQ122)</f>
        <v>0</v>
      </c>
      <c r="AS122" s="262">
        <f>Parameters!$D$54</f>
        <v>2</v>
      </c>
      <c r="AT122" s="442">
        <f>IF(M122="WBA CM Ethernet",0,'EDC Minus'!$H$27)</f>
        <v>1</v>
      </c>
      <c r="AU122" s="150">
        <f t="shared" si="83"/>
        <v>10.41</v>
      </c>
      <c r="AV122" s="150">
        <f t="shared" si="84"/>
        <v>10.548888888888889</v>
      </c>
      <c r="AW122" s="150"/>
      <c r="AX122" s="150">
        <f>Parameters!$B$6*AV122</f>
        <v>0.1054888888888889</v>
      </c>
      <c r="AY122" s="202">
        <v>0</v>
      </c>
      <c r="AZ122" s="202"/>
      <c r="BA122" s="150">
        <f t="shared" si="85"/>
        <v>0.1054888888888889</v>
      </c>
      <c r="BB122" s="150"/>
      <c r="BC122" s="151">
        <f t="shared" si="86"/>
        <v>10.654377777777778</v>
      </c>
      <c r="BD122" s="209"/>
      <c r="BE122" s="140">
        <f t="shared" si="79"/>
        <v>1017.1234000000001</v>
      </c>
      <c r="BF122" s="141">
        <f t="shared" si="80"/>
        <v>0.9896335783783784</v>
      </c>
      <c r="BG122" s="142" t="b">
        <f t="shared" si="94"/>
        <v>0</v>
      </c>
      <c r="BH122" s="148"/>
      <c r="BI122" s="188" t="s">
        <v>538</v>
      </c>
      <c r="BJ122" s="189"/>
      <c r="BK122">
        <f>VLOOKUP(J122,'Tarieven ZM'!$B$7:$I$146,8,0)</f>
        <v>0</v>
      </c>
      <c r="BL122" s="179" t="str">
        <f>INDEX(Mapping!$M:$M,MATCH($J122,Mapping!$B:$B,0))</f>
        <v>nvt</v>
      </c>
      <c r="BM122" s="282">
        <v>0</v>
      </c>
      <c r="BN122" s="262">
        <f>BM122/INDEX(Parameters!$B:$B,MATCH("AfschrijftermijnVVE"&amp;12*$C122,Parameters!$A:$A,0))</f>
        <v>0</v>
      </c>
      <c r="BO122" s="262">
        <f>Parameters!$D$59+INDEX('inkoop ULL tbv Epacity'!I:I,MATCH($BL122,'inkoop ULL tbv Epacity'!H:H,0))</f>
        <v>1</v>
      </c>
      <c r="BP122" s="263">
        <f t="shared" si="95"/>
        <v>1</v>
      </c>
      <c r="BQ122" s="203"/>
      <c r="BR122" s="262">
        <f>Parameters!$B$12*AG122</f>
        <v>102.77777777777779</v>
      </c>
      <c r="BS122" s="262">
        <f>SUM(Distributievergoedingen!$F$12,Distributievergoedingen!$I$12,Distributievergoedingen!$L$12,Distributievergoedingen!$O$12)*AF122+SUM(Distributievergoedingen!$O$12*AA122+Distributievergoedingen!$R$12+Distributievergoedingen!$U$12+Distributievergoedingen!$X$12)/(MAX(36,12*L122))</f>
        <v>112.77777777777777</v>
      </c>
      <c r="BT122" s="202"/>
      <c r="BU122" s="202">
        <f t="shared" si="96"/>
        <v>215.55555555555554</v>
      </c>
      <c r="BW122" s="151">
        <f t="shared" si="97"/>
        <v>216.55555555555554</v>
      </c>
      <c r="BY122" s="140">
        <f t="shared" si="98"/>
        <v>811.22222222222229</v>
      </c>
      <c r="BZ122" s="141">
        <f t="shared" si="99"/>
        <v>0.78929729729729736</v>
      </c>
      <c r="CA122" s="142" t="b">
        <f t="shared" si="100"/>
        <v>0</v>
      </c>
    </row>
    <row r="123" spans="1:79">
      <c r="A123" s="160" t="str">
        <f t="shared" si="87"/>
        <v>3ADSLPremiumnationaal1024/512</v>
      </c>
      <c r="B123" s="142" t="str">
        <f t="shared" si="81"/>
        <v>3ADSL1024/512Premium</v>
      </c>
      <c r="C123" s="198">
        <v>3</v>
      </c>
      <c r="D123" s="198" t="s">
        <v>42</v>
      </c>
      <c r="E123" s="198" t="s">
        <v>70</v>
      </c>
      <c r="F123" s="198" t="s">
        <v>115</v>
      </c>
      <c r="G123" s="199" t="s">
        <v>113</v>
      </c>
      <c r="H123" s="198" t="s">
        <v>53</v>
      </c>
      <c r="J123" s="142" t="str">
        <f t="shared" si="88"/>
        <v>ADSL1024/512Premium</v>
      </c>
      <c r="L123" s="160">
        <f>INDEX(Mapping!$J:$J,MATCH(C$3&amp;C123,Mapping!$B:$B,0))</f>
        <v>1</v>
      </c>
      <c r="M123" s="148" t="str">
        <f>INDEX(Mapping!$H:$H,MATCH($E123,Mapping!$B:$B,0))</f>
        <v>WBA ZM Ethernet</v>
      </c>
      <c r="N123" s="148" t="str">
        <f>INDEX(Mapping!$I:$I,MATCH($E123&amp;$G123,Mapping!$B:$B,0))</f>
        <v>premium</v>
      </c>
      <c r="O123" s="148" t="str">
        <f>INDEX(Mapping!$I:$I,MATCH($D123,Mapping!$B:$B,0))</f>
        <v>ADSL</v>
      </c>
      <c r="P123" s="148" t="str">
        <f>INDEX(Mapping!$H:$H,MATCH($F123,Mapping!$B:$B,0))</f>
        <v>nvt</v>
      </c>
      <c r="Q123" s="148" t="str">
        <f>INDEX(Mapping!$J:$J,MATCH($E123&amp;$G123,Mapping!$B:$B,0))</f>
        <v>metro</v>
      </c>
      <c r="R123" s="148" t="str">
        <f>INDEX(Mapping!$I:$I,MATCH($J123,Mapping!$B:$B,0))</f>
        <v>1 Mbps/1 Mbps</v>
      </c>
      <c r="T123" s="148" t="str">
        <f>INDEX(Mapping!$K:$K,MATCH($E123&amp;$G123,Mapping!$B:$B,0))</f>
        <v>metro-nationaal</v>
      </c>
      <c r="U123" s="142" t="str">
        <f t="shared" si="89"/>
        <v>WBA ZM Ethernet1 Mbps/1 Mbpspremiummetro</v>
      </c>
      <c r="W123" s="160">
        <f>MATCH($J123,'Tarieven ZM'!$B:$B,0)</f>
        <v>23</v>
      </c>
      <c r="X123" s="148">
        <f>INDEX('Tarieven ZM'!$H:$H,$W123)</f>
        <v>1000</v>
      </c>
      <c r="Y123" s="161">
        <f>-INDEX(Parameters!$B:$B,MATCH(Y$3,Parameters!$A:$A,0))*$X123</f>
        <v>0</v>
      </c>
      <c r="Z123" s="149">
        <f>-INDEX(Parameters!$B:$B,MATCH(Z$3,Parameters!$A:$A,0))*$X123</f>
        <v>0</v>
      </c>
      <c r="AA123" s="148">
        <f t="shared" si="90"/>
        <v>1000</v>
      </c>
      <c r="AB123" s="148">
        <f>AA123/INDEX(Parameters!$B:$B,MATCH("AfschrijftermijnVVE"&amp;12*$C123,Parameters!$A:$A,0))</f>
        <v>27.777777777777779</v>
      </c>
      <c r="AC123" s="148">
        <f>INDEX('Tarieven ZM'!$G:$G,$W123)</f>
        <v>1000</v>
      </c>
      <c r="AD123" s="161">
        <f>-INDEX(Parameters!$B:$B,MATCH(AD$3,Parameters!$A:$A,0))*$AC123</f>
        <v>0</v>
      </c>
      <c r="AE123" s="161">
        <f>-INDEX(Parameters!$B:$B,MATCH(AE$3,Parameters!$A:$A,0))*$AC123</f>
        <v>0</v>
      </c>
      <c r="AF123" s="148">
        <f t="shared" si="91"/>
        <v>1000</v>
      </c>
      <c r="AG123" s="151">
        <f t="shared" si="82"/>
        <v>1027.7777777777778</v>
      </c>
      <c r="AH123" s="123"/>
      <c r="AI123" s="147">
        <f>IF(R123&lt;&gt;"n.a.",MATCH($U123,'Tarieven W&amp;O'!$B:$B,0),"nvt")</f>
        <v>138</v>
      </c>
      <c r="AJ123" s="148">
        <f>IF(AI123&lt;&gt;"nvt",INDEX('Tarieven W&amp;O'!$H:$H,$AI123),0)</f>
        <v>0</v>
      </c>
      <c r="AK123" s="148">
        <f>IF(AI123&lt;&gt;"nvt",INDEX('Tarieven W&amp;O'!$I:$I,$AI123),0)</f>
        <v>5</v>
      </c>
      <c r="AL123" s="277">
        <f>IF(AI123&lt;&gt;"nvt",-INDEX(Parameters!$B:$B,MATCH(AL$3&amp;$M123,Parameters!$A:$A,0))*(AJ123+AK123),0)</f>
        <v>0</v>
      </c>
      <c r="AM123" s="442"/>
      <c r="AN123" s="262">
        <f t="shared" si="92"/>
        <v>5</v>
      </c>
      <c r="AO123" s="262">
        <f>AN123/INDEX(Parameters!$B:$B,MATCH("AfschrijftermijnVVE"&amp;12*$C123,Parameters!$A:$A,0))</f>
        <v>0.1388888888888889</v>
      </c>
      <c r="AP123" s="179">
        <f t="shared" si="93"/>
        <v>138</v>
      </c>
      <c r="AQ123" s="202">
        <f>IF(AP123&lt;&gt;"nvt",INDEX('Tarieven W&amp;O'!$G:$G,$AP123),0)</f>
        <v>7.41</v>
      </c>
      <c r="AR123" s="277">
        <f>-INDEX(Parameters!$B:$B,MATCH(AR$3&amp;$M123&amp;O123,Parameters!$A:$A,0))*(AQ123)</f>
        <v>0</v>
      </c>
      <c r="AS123" s="262">
        <f>Parameters!$D$54</f>
        <v>2</v>
      </c>
      <c r="AT123" s="442">
        <f>IF(M123="WBA CM Ethernet",0,'EDC Minus'!$H$27)</f>
        <v>1</v>
      </c>
      <c r="AU123" s="150">
        <f t="shared" si="83"/>
        <v>10.41</v>
      </c>
      <c r="AV123" s="150">
        <f t="shared" si="84"/>
        <v>10.548888888888889</v>
      </c>
      <c r="AW123" s="150"/>
      <c r="AX123" s="150">
        <f>Parameters!$B$6*AV123</f>
        <v>0.1054888888888889</v>
      </c>
      <c r="AY123" s="202">
        <v>0</v>
      </c>
      <c r="AZ123" s="202"/>
      <c r="BA123" s="150">
        <f t="shared" si="85"/>
        <v>0.1054888888888889</v>
      </c>
      <c r="BB123" s="150"/>
      <c r="BC123" s="151">
        <f t="shared" si="86"/>
        <v>10.654377777777778</v>
      </c>
      <c r="BD123" s="209"/>
      <c r="BE123" s="140">
        <f t="shared" si="79"/>
        <v>1017.1234000000001</v>
      </c>
      <c r="BF123" s="141">
        <f t="shared" si="80"/>
        <v>0.9896335783783784</v>
      </c>
      <c r="BG123" s="142" t="b">
        <f t="shared" si="94"/>
        <v>0</v>
      </c>
      <c r="BH123" s="148"/>
      <c r="BI123" s="188" t="s">
        <v>538</v>
      </c>
      <c r="BJ123" s="189"/>
      <c r="BK123">
        <f>VLOOKUP(J123,'Tarieven ZM'!$B$7:$I$146,8,0)</f>
        <v>0</v>
      </c>
      <c r="BL123" s="179" t="str">
        <f>INDEX(Mapping!$M:$M,MATCH($J123,Mapping!$B:$B,0))</f>
        <v>nvt</v>
      </c>
      <c r="BM123" s="282">
        <v>0</v>
      </c>
      <c r="BN123" s="262">
        <f>BM123/INDEX(Parameters!$B:$B,MATCH("AfschrijftermijnVVE"&amp;12*$C123,Parameters!$A:$A,0))</f>
        <v>0</v>
      </c>
      <c r="BO123" s="262">
        <f>Parameters!$D$59+INDEX('inkoop ULL tbv Epacity'!I:I,MATCH($BL123,'inkoop ULL tbv Epacity'!H:H,0))</f>
        <v>1</v>
      </c>
      <c r="BP123" s="263">
        <f t="shared" si="95"/>
        <v>1</v>
      </c>
      <c r="BQ123" s="203"/>
      <c r="BR123" s="262">
        <f>Parameters!$B$12*AG123</f>
        <v>102.77777777777779</v>
      </c>
      <c r="BS123" s="262">
        <f>SUM(Distributievergoedingen!$F$12,Distributievergoedingen!$I$12,Distributievergoedingen!$L$12,Distributievergoedingen!$O$12)*AF123+SUM(Distributievergoedingen!$O$12*AA123+Distributievergoedingen!$R$12+Distributievergoedingen!$U$12+Distributievergoedingen!$X$12)/(MAX(36,12*L123))</f>
        <v>112.77777777777777</v>
      </c>
      <c r="BT123" s="202"/>
      <c r="BU123" s="202">
        <f t="shared" si="96"/>
        <v>215.55555555555554</v>
      </c>
      <c r="BW123" s="151">
        <f t="shared" si="97"/>
        <v>216.55555555555554</v>
      </c>
      <c r="BY123" s="140">
        <f t="shared" si="98"/>
        <v>811.22222222222229</v>
      </c>
      <c r="BZ123" s="141">
        <f t="shared" si="99"/>
        <v>0.78929729729729736</v>
      </c>
      <c r="CA123" s="142" t="b">
        <f t="shared" si="100"/>
        <v>0</v>
      </c>
    </row>
    <row r="124" spans="1:79">
      <c r="A124" s="160" t="str">
        <f t="shared" si="87"/>
        <v>3ADSLPremiumnationaal2048/512</v>
      </c>
      <c r="B124" s="142" t="str">
        <f t="shared" si="81"/>
        <v>3ADSL2048/512Premium</v>
      </c>
      <c r="C124" s="198">
        <v>3</v>
      </c>
      <c r="D124" s="198" t="s">
        <v>42</v>
      </c>
      <c r="E124" s="198" t="s">
        <v>70</v>
      </c>
      <c r="F124" s="198" t="s">
        <v>115</v>
      </c>
      <c r="G124" s="199" t="s">
        <v>113</v>
      </c>
      <c r="H124" s="198" t="s">
        <v>54</v>
      </c>
      <c r="J124" s="142" t="str">
        <f t="shared" si="88"/>
        <v>ADSL2048/512Premium</v>
      </c>
      <c r="L124" s="160">
        <f>INDEX(Mapping!$J:$J,MATCH(C$3&amp;C124,Mapping!$B:$B,0))</f>
        <v>1</v>
      </c>
      <c r="M124" s="148" t="str">
        <f>INDEX(Mapping!$H:$H,MATCH($E124,Mapping!$B:$B,0))</f>
        <v>WBA ZM Ethernet</v>
      </c>
      <c r="N124" s="148" t="str">
        <f>INDEX(Mapping!$I:$I,MATCH($E124&amp;$G124,Mapping!$B:$B,0))</f>
        <v>premium</v>
      </c>
      <c r="O124" s="148" t="str">
        <f>INDEX(Mapping!$I:$I,MATCH($D124,Mapping!$B:$B,0))</f>
        <v>ADSL</v>
      </c>
      <c r="P124" s="148" t="str">
        <f>INDEX(Mapping!$H:$H,MATCH($F124,Mapping!$B:$B,0))</f>
        <v>nvt</v>
      </c>
      <c r="Q124" s="148" t="str">
        <f>INDEX(Mapping!$J:$J,MATCH($E124&amp;$G124,Mapping!$B:$B,0))</f>
        <v>metro</v>
      </c>
      <c r="R124" s="148" t="str">
        <f>INDEX(Mapping!$I:$I,MATCH($J124,Mapping!$B:$B,0))</f>
        <v>2 Mbps/1 Mbps</v>
      </c>
      <c r="T124" s="148" t="str">
        <f>INDEX(Mapping!$K:$K,MATCH($E124&amp;$G124,Mapping!$B:$B,0))</f>
        <v>metro-nationaal</v>
      </c>
      <c r="U124" s="142" t="str">
        <f t="shared" si="89"/>
        <v>WBA ZM Ethernet2 Mbps/1 Mbpspremiummetro</v>
      </c>
      <c r="W124" s="160">
        <f>MATCH($J124,'Tarieven ZM'!$B:$B,0)</f>
        <v>24</v>
      </c>
      <c r="X124" s="148">
        <f>INDEX('Tarieven ZM'!$H:$H,$W124)</f>
        <v>1000</v>
      </c>
      <c r="Y124" s="161">
        <f>-INDEX(Parameters!$B:$B,MATCH(Y$3,Parameters!$A:$A,0))*$X124</f>
        <v>0</v>
      </c>
      <c r="Z124" s="149">
        <f>-INDEX(Parameters!$B:$B,MATCH(Z$3,Parameters!$A:$A,0))*$X124</f>
        <v>0</v>
      </c>
      <c r="AA124" s="148">
        <f t="shared" si="90"/>
        <v>1000</v>
      </c>
      <c r="AB124" s="148">
        <f>AA124/INDEX(Parameters!$B:$B,MATCH("AfschrijftermijnVVE"&amp;12*$C124,Parameters!$A:$A,0))</f>
        <v>27.777777777777779</v>
      </c>
      <c r="AC124" s="148">
        <f>INDEX('Tarieven ZM'!$G:$G,$W124)</f>
        <v>1000</v>
      </c>
      <c r="AD124" s="161">
        <f>-INDEX(Parameters!$B:$B,MATCH(AD$3,Parameters!$A:$A,0))*$AC124</f>
        <v>0</v>
      </c>
      <c r="AE124" s="161">
        <f>-INDEX(Parameters!$B:$B,MATCH(AE$3,Parameters!$A:$A,0))*$AC124</f>
        <v>0</v>
      </c>
      <c r="AF124" s="148">
        <f t="shared" si="91"/>
        <v>1000</v>
      </c>
      <c r="AG124" s="151">
        <f t="shared" si="82"/>
        <v>1027.7777777777778</v>
      </c>
      <c r="AH124" s="123"/>
      <c r="AI124" s="147">
        <f>IF(R124&lt;&gt;"n.a.",MATCH($U124,'Tarieven W&amp;O'!$B:$B,0),"nvt")</f>
        <v>143</v>
      </c>
      <c r="AJ124" s="148">
        <f>IF(AI124&lt;&gt;"nvt",INDEX('Tarieven W&amp;O'!$H:$H,$AI124),0)</f>
        <v>0</v>
      </c>
      <c r="AK124" s="148">
        <f>IF(AI124&lt;&gt;"nvt",INDEX('Tarieven W&amp;O'!$I:$I,$AI124),0)</f>
        <v>5</v>
      </c>
      <c r="AL124" s="277">
        <f>IF(AI124&lt;&gt;"nvt",-INDEX(Parameters!$B:$B,MATCH(AL$3&amp;$M124,Parameters!$A:$A,0))*(AJ124+AK124),0)</f>
        <v>0</v>
      </c>
      <c r="AM124" s="442"/>
      <c r="AN124" s="262">
        <f t="shared" si="92"/>
        <v>5</v>
      </c>
      <c r="AO124" s="262">
        <f>AN124/INDEX(Parameters!$B:$B,MATCH("AfschrijftermijnVVE"&amp;12*$C124,Parameters!$A:$A,0))</f>
        <v>0.1388888888888889</v>
      </c>
      <c r="AP124" s="179">
        <f t="shared" si="93"/>
        <v>143</v>
      </c>
      <c r="AQ124" s="202">
        <f>IF(AP124&lt;&gt;"nvt",INDEX('Tarieven W&amp;O'!$G:$G,$AP124),0)</f>
        <v>12.35</v>
      </c>
      <c r="AR124" s="277">
        <f>-INDEX(Parameters!$B:$B,MATCH(AR$3&amp;$M124&amp;O124,Parameters!$A:$A,0))*(AQ124)</f>
        <v>0</v>
      </c>
      <c r="AS124" s="262">
        <f>Parameters!$D$54</f>
        <v>2</v>
      </c>
      <c r="AT124" s="442">
        <f>IF(M124="WBA CM Ethernet",0,'EDC Minus'!$H$27)</f>
        <v>1</v>
      </c>
      <c r="AU124" s="150">
        <f t="shared" si="83"/>
        <v>15.35</v>
      </c>
      <c r="AV124" s="150">
        <f t="shared" si="84"/>
        <v>15.488888888888889</v>
      </c>
      <c r="AW124" s="150"/>
      <c r="AX124" s="150">
        <f>Parameters!$B$6*AV124</f>
        <v>0.15488888888888888</v>
      </c>
      <c r="AY124" s="202">
        <v>0</v>
      </c>
      <c r="AZ124" s="202"/>
      <c r="BA124" s="150">
        <f t="shared" si="85"/>
        <v>0.15488888888888888</v>
      </c>
      <c r="BB124" s="150"/>
      <c r="BC124" s="151">
        <f t="shared" si="86"/>
        <v>15.643777777777778</v>
      </c>
      <c r="BD124" s="209"/>
      <c r="BE124" s="140">
        <f t="shared" si="79"/>
        <v>1012.134</v>
      </c>
      <c r="BF124" s="141">
        <f t="shared" si="80"/>
        <v>0.98477902702702702</v>
      </c>
      <c r="BG124" s="142" t="b">
        <f t="shared" si="94"/>
        <v>0</v>
      </c>
      <c r="BH124" s="148"/>
      <c r="BI124" s="188" t="s">
        <v>538</v>
      </c>
      <c r="BJ124" s="189"/>
      <c r="BK124">
        <f>VLOOKUP(J124,'Tarieven ZM'!$B$7:$I$146,8,0)</f>
        <v>0</v>
      </c>
      <c r="BL124" s="179" t="str">
        <f>INDEX(Mapping!$M:$M,MATCH($J124,Mapping!$B:$B,0))</f>
        <v>nvt</v>
      </c>
      <c r="BM124" s="282">
        <v>0</v>
      </c>
      <c r="BN124" s="262">
        <f>BM124/INDEX(Parameters!$B:$B,MATCH("AfschrijftermijnVVE"&amp;12*$C124,Parameters!$A:$A,0))</f>
        <v>0</v>
      </c>
      <c r="BO124" s="262">
        <f>Parameters!$D$59+INDEX('inkoop ULL tbv Epacity'!I:I,MATCH($BL124,'inkoop ULL tbv Epacity'!H:H,0))</f>
        <v>1</v>
      </c>
      <c r="BP124" s="263">
        <f t="shared" si="95"/>
        <v>1</v>
      </c>
      <c r="BQ124" s="203"/>
      <c r="BR124" s="262">
        <f>Parameters!$B$12*AG124</f>
        <v>102.77777777777779</v>
      </c>
      <c r="BS124" s="262">
        <f>SUM(Distributievergoedingen!$F$12,Distributievergoedingen!$I$12,Distributievergoedingen!$L$12,Distributievergoedingen!$O$12)*AF124+SUM(Distributievergoedingen!$O$12*AA124+Distributievergoedingen!$R$12+Distributievergoedingen!$U$12+Distributievergoedingen!$X$12)/(MAX(36,12*L124))</f>
        <v>112.77777777777777</v>
      </c>
      <c r="BT124" s="202"/>
      <c r="BU124" s="202">
        <f t="shared" si="96"/>
        <v>215.55555555555554</v>
      </c>
      <c r="BW124" s="151">
        <f t="shared" si="97"/>
        <v>216.55555555555554</v>
      </c>
      <c r="BY124" s="140">
        <f t="shared" si="98"/>
        <v>811.22222222222229</v>
      </c>
      <c r="BZ124" s="141">
        <f t="shared" si="99"/>
        <v>0.78929729729729736</v>
      </c>
      <c r="CA124" s="142" t="b">
        <f t="shared" si="100"/>
        <v>0</v>
      </c>
    </row>
    <row r="125" spans="1:79">
      <c r="A125" s="160" t="str">
        <f t="shared" si="87"/>
        <v>3ADSLPremiumnationaal4096/1024</v>
      </c>
      <c r="B125" s="142" t="str">
        <f t="shared" si="81"/>
        <v>3ADSL4096/1024Premium</v>
      </c>
      <c r="C125" s="198">
        <v>3</v>
      </c>
      <c r="D125" s="198" t="s">
        <v>42</v>
      </c>
      <c r="E125" s="198" t="s">
        <v>70</v>
      </c>
      <c r="F125" s="198" t="s">
        <v>115</v>
      </c>
      <c r="G125" s="199" t="s">
        <v>113</v>
      </c>
      <c r="H125" s="198" t="s">
        <v>57</v>
      </c>
      <c r="J125" s="142" t="str">
        <f t="shared" si="88"/>
        <v>ADSL4096/1024Premium</v>
      </c>
      <c r="L125" s="160">
        <f>INDEX(Mapping!$J:$J,MATCH(C$3&amp;C125,Mapping!$B:$B,0))</f>
        <v>1</v>
      </c>
      <c r="M125" s="148" t="str">
        <f>INDEX(Mapping!$H:$H,MATCH($E125,Mapping!$B:$B,0))</f>
        <v>WBA ZM Ethernet</v>
      </c>
      <c r="N125" s="148" t="str">
        <f>INDEX(Mapping!$I:$I,MATCH($E125&amp;$G125,Mapping!$B:$B,0))</f>
        <v>premium</v>
      </c>
      <c r="O125" s="148" t="str">
        <f>INDEX(Mapping!$I:$I,MATCH($D125,Mapping!$B:$B,0))</f>
        <v>ADSL</v>
      </c>
      <c r="P125" s="148" t="str">
        <f>INDEX(Mapping!$H:$H,MATCH($F125,Mapping!$B:$B,0))</f>
        <v>nvt</v>
      </c>
      <c r="Q125" s="148" t="str">
        <f>INDEX(Mapping!$J:$J,MATCH($E125&amp;$G125,Mapping!$B:$B,0))</f>
        <v>metro</v>
      </c>
      <c r="R125" s="148" t="str">
        <f>INDEX(Mapping!$I:$I,MATCH($J125,Mapping!$B:$B,0))</f>
        <v>5 Mbps/1 Mbps</v>
      </c>
      <c r="T125" s="148" t="str">
        <f>INDEX(Mapping!$K:$K,MATCH($E125&amp;$G125,Mapping!$B:$B,0))</f>
        <v>metro-nationaal</v>
      </c>
      <c r="U125" s="142" t="str">
        <f t="shared" si="89"/>
        <v>WBA ZM Ethernet5 Mbps/1 Mbpspremiummetro</v>
      </c>
      <c r="W125" s="160">
        <f>MATCH($J125,'Tarieven ZM'!$B:$B,0)</f>
        <v>25</v>
      </c>
      <c r="X125" s="148">
        <f>INDEX('Tarieven ZM'!$H:$H,$W125)</f>
        <v>1000</v>
      </c>
      <c r="Y125" s="161">
        <f>-INDEX(Parameters!$B:$B,MATCH(Y$3,Parameters!$A:$A,0))*$X125</f>
        <v>0</v>
      </c>
      <c r="Z125" s="149">
        <f>-INDEX(Parameters!$B:$B,MATCH(Z$3,Parameters!$A:$A,0))*$X125</f>
        <v>0</v>
      </c>
      <c r="AA125" s="148">
        <f t="shared" si="90"/>
        <v>1000</v>
      </c>
      <c r="AB125" s="148">
        <f>AA125/INDEX(Parameters!$B:$B,MATCH("AfschrijftermijnVVE"&amp;12*$C125,Parameters!$A:$A,0))</f>
        <v>27.777777777777779</v>
      </c>
      <c r="AC125" s="148">
        <f>INDEX('Tarieven ZM'!$G:$G,$W125)</f>
        <v>1000</v>
      </c>
      <c r="AD125" s="161">
        <f>-INDEX(Parameters!$B:$B,MATCH(AD$3,Parameters!$A:$A,0))*$AC125</f>
        <v>0</v>
      </c>
      <c r="AE125" s="161">
        <f>-INDEX(Parameters!$B:$B,MATCH(AE$3,Parameters!$A:$A,0))*$AC125</f>
        <v>0</v>
      </c>
      <c r="AF125" s="148">
        <f t="shared" si="91"/>
        <v>1000</v>
      </c>
      <c r="AG125" s="151">
        <f t="shared" si="82"/>
        <v>1027.7777777777778</v>
      </c>
      <c r="AH125" s="123"/>
      <c r="AI125" s="147">
        <f>IF(R125&lt;&gt;"n.a.",MATCH($U125,'Tarieven W&amp;O'!$B:$B,0),"nvt")</f>
        <v>144</v>
      </c>
      <c r="AJ125" s="148">
        <f>IF(AI125&lt;&gt;"nvt",INDEX('Tarieven W&amp;O'!$H:$H,$AI125),0)</f>
        <v>0</v>
      </c>
      <c r="AK125" s="148">
        <f>IF(AI125&lt;&gt;"nvt",INDEX('Tarieven W&amp;O'!$I:$I,$AI125),0)</f>
        <v>5</v>
      </c>
      <c r="AL125" s="277">
        <f>IF(AI125&lt;&gt;"nvt",-INDEX(Parameters!$B:$B,MATCH(AL$3&amp;$M125,Parameters!$A:$A,0))*(AJ125+AK125),0)</f>
        <v>0</v>
      </c>
      <c r="AM125" s="442"/>
      <c r="AN125" s="262">
        <f t="shared" si="92"/>
        <v>5</v>
      </c>
      <c r="AO125" s="262">
        <f>AN125/INDEX(Parameters!$B:$B,MATCH("AfschrijftermijnVVE"&amp;12*$C125,Parameters!$A:$A,0))</f>
        <v>0.1388888888888889</v>
      </c>
      <c r="AP125" s="179">
        <f t="shared" si="93"/>
        <v>144</v>
      </c>
      <c r="AQ125" s="202">
        <f>IF(AP125&lt;&gt;"nvt",INDEX('Tarieven W&amp;O'!$G:$G,$AP125),0)</f>
        <v>17.29</v>
      </c>
      <c r="AR125" s="277">
        <f>-INDEX(Parameters!$B:$B,MATCH(AR$3&amp;$M125&amp;O125,Parameters!$A:$A,0))*(AQ125)</f>
        <v>0</v>
      </c>
      <c r="AS125" s="262">
        <f>Parameters!$D$54</f>
        <v>2</v>
      </c>
      <c r="AT125" s="442">
        <f>IF(M125="WBA CM Ethernet",0,'EDC Minus'!$H$27)</f>
        <v>1</v>
      </c>
      <c r="AU125" s="150">
        <f t="shared" si="83"/>
        <v>20.29</v>
      </c>
      <c r="AV125" s="150">
        <f t="shared" si="84"/>
        <v>20.428888888888888</v>
      </c>
      <c r="AW125" s="150"/>
      <c r="AX125" s="150">
        <f>Parameters!$B$6*AV125</f>
        <v>0.20428888888888888</v>
      </c>
      <c r="AY125" s="202">
        <v>0</v>
      </c>
      <c r="AZ125" s="202"/>
      <c r="BA125" s="150">
        <f t="shared" si="85"/>
        <v>0.20428888888888888</v>
      </c>
      <c r="BB125" s="150"/>
      <c r="BC125" s="151">
        <f t="shared" si="86"/>
        <v>20.633177777777778</v>
      </c>
      <c r="BD125" s="209"/>
      <c r="BE125" s="140">
        <f t="shared" si="79"/>
        <v>1007.1446000000001</v>
      </c>
      <c r="BF125" s="141">
        <f t="shared" si="80"/>
        <v>0.97992447567567575</v>
      </c>
      <c r="BG125" s="142" t="b">
        <f t="shared" si="94"/>
        <v>0</v>
      </c>
      <c r="BH125" s="148"/>
      <c r="BI125" s="188" t="s">
        <v>538</v>
      </c>
      <c r="BJ125" s="189"/>
      <c r="BK125">
        <f>VLOOKUP(J125,'Tarieven ZM'!$B$7:$I$146,8,0)</f>
        <v>0</v>
      </c>
      <c r="BL125" s="179" t="str">
        <f>INDEX(Mapping!$M:$M,MATCH($J125,Mapping!$B:$B,0))</f>
        <v>Premium &gt; 2/2Mbps</v>
      </c>
      <c r="BM125" s="282">
        <v>0</v>
      </c>
      <c r="BN125" s="262">
        <f>BM125/INDEX(Parameters!$B:$B,MATCH("AfschrijftermijnVVE"&amp;12*$C125,Parameters!$A:$A,0))</f>
        <v>0</v>
      </c>
      <c r="BO125" s="262">
        <f>Parameters!$D$59+INDEX('inkoop ULL tbv Epacity'!I:I,MATCH($BL125,'inkoop ULL tbv Epacity'!H:H,0))</f>
        <v>17.02</v>
      </c>
      <c r="BP125" s="263">
        <f t="shared" si="95"/>
        <v>17.02</v>
      </c>
      <c r="BQ125" s="203"/>
      <c r="BR125" s="262">
        <f>Parameters!$B$12*AG125</f>
        <v>102.77777777777779</v>
      </c>
      <c r="BS125" s="262">
        <f>SUM(Distributievergoedingen!$F$12,Distributievergoedingen!$I$12,Distributievergoedingen!$L$12,Distributievergoedingen!$O$12)*AF125+SUM(Distributievergoedingen!$O$12*AA125+Distributievergoedingen!$R$12+Distributievergoedingen!$U$12+Distributievergoedingen!$X$12)/(MAX(36,12*L125))</f>
        <v>112.77777777777777</v>
      </c>
      <c r="BT125" s="202"/>
      <c r="BU125" s="202">
        <f t="shared" si="96"/>
        <v>215.55555555555554</v>
      </c>
      <c r="BW125" s="151">
        <f t="shared" si="97"/>
        <v>232.57555555555555</v>
      </c>
      <c r="BY125" s="140">
        <f t="shared" si="98"/>
        <v>795.2022222222223</v>
      </c>
      <c r="BZ125" s="141">
        <f t="shared" si="99"/>
        <v>0.77371027027027028</v>
      </c>
      <c r="CA125" s="142" t="b">
        <f t="shared" si="100"/>
        <v>0</v>
      </c>
    </row>
    <row r="126" spans="1:79">
      <c r="A126" s="160" t="str">
        <f t="shared" si="87"/>
        <v>3ADSLPremiumnationaal8000/1024</v>
      </c>
      <c r="B126" s="142" t="str">
        <f t="shared" si="81"/>
        <v>3ADSL8000/1024Premium</v>
      </c>
      <c r="C126" s="198">
        <v>3</v>
      </c>
      <c r="D126" s="198" t="s">
        <v>42</v>
      </c>
      <c r="E126" s="198" t="s">
        <v>70</v>
      </c>
      <c r="F126" s="198" t="s">
        <v>115</v>
      </c>
      <c r="G126" s="199" t="s">
        <v>113</v>
      </c>
      <c r="H126" s="198" t="s">
        <v>60</v>
      </c>
      <c r="J126" s="142" t="str">
        <f t="shared" si="88"/>
        <v>ADSL8000/1024Premium</v>
      </c>
      <c r="L126" s="160">
        <f>INDEX(Mapping!$J:$J,MATCH(C$3&amp;C126,Mapping!$B:$B,0))</f>
        <v>1</v>
      </c>
      <c r="M126" s="148" t="str">
        <f>INDEX(Mapping!$H:$H,MATCH($E126,Mapping!$B:$B,0))</f>
        <v>WBA ZM Ethernet</v>
      </c>
      <c r="N126" s="148" t="str">
        <f>INDEX(Mapping!$I:$I,MATCH($E126&amp;$G126,Mapping!$B:$B,0))</f>
        <v>premium</v>
      </c>
      <c r="O126" s="148" t="str">
        <f>INDEX(Mapping!$I:$I,MATCH($D126,Mapping!$B:$B,0))</f>
        <v>ADSL</v>
      </c>
      <c r="P126" s="148" t="str">
        <f>INDEX(Mapping!$H:$H,MATCH($F126,Mapping!$B:$B,0))</f>
        <v>nvt</v>
      </c>
      <c r="Q126" s="148" t="str">
        <f>INDEX(Mapping!$J:$J,MATCH($E126&amp;$G126,Mapping!$B:$B,0))</f>
        <v>metro</v>
      </c>
      <c r="R126" s="148" t="str">
        <f>INDEX(Mapping!$I:$I,MATCH($J126,Mapping!$B:$B,0))</f>
        <v>10 Mbps/5 Mbps</v>
      </c>
      <c r="T126" s="148" t="str">
        <f>INDEX(Mapping!$K:$K,MATCH($E126&amp;$G126,Mapping!$B:$B,0))</f>
        <v>metro-nationaal</v>
      </c>
      <c r="U126" s="142" t="str">
        <f t="shared" si="89"/>
        <v>WBA ZM Ethernet10 Mbps/5 Mbpspremiummetro</v>
      </c>
      <c r="W126" s="160">
        <f>MATCH($J126,'Tarieven ZM'!$B:$B,0)</f>
        <v>26</v>
      </c>
      <c r="X126" s="148">
        <f>INDEX('Tarieven ZM'!$H:$H,$W126)</f>
        <v>1000</v>
      </c>
      <c r="Y126" s="161">
        <f>-INDEX(Parameters!$B:$B,MATCH(Y$3,Parameters!$A:$A,0))*$X126</f>
        <v>0</v>
      </c>
      <c r="Z126" s="149">
        <f>-INDEX(Parameters!$B:$B,MATCH(Z$3,Parameters!$A:$A,0))*$X126</f>
        <v>0</v>
      </c>
      <c r="AA126" s="148">
        <f t="shared" si="90"/>
        <v>1000</v>
      </c>
      <c r="AB126" s="148">
        <f>AA126/INDEX(Parameters!$B:$B,MATCH("AfschrijftermijnVVE"&amp;12*$C126,Parameters!$A:$A,0))</f>
        <v>27.777777777777779</v>
      </c>
      <c r="AC126" s="148">
        <f>INDEX('Tarieven ZM'!$G:$G,$W126)</f>
        <v>1000</v>
      </c>
      <c r="AD126" s="161">
        <f>-INDEX(Parameters!$B:$B,MATCH(AD$3,Parameters!$A:$A,0))*$AC126</f>
        <v>0</v>
      </c>
      <c r="AE126" s="161">
        <f>-INDEX(Parameters!$B:$B,MATCH(AE$3,Parameters!$A:$A,0))*$AC126</f>
        <v>0</v>
      </c>
      <c r="AF126" s="148">
        <f t="shared" si="91"/>
        <v>1000</v>
      </c>
      <c r="AG126" s="151">
        <f t="shared" si="82"/>
        <v>1027.7777777777778</v>
      </c>
      <c r="AH126" s="123"/>
      <c r="AI126" s="147">
        <f>IF(R126&lt;&gt;"n.a.",MATCH($U126,'Tarieven W&amp;O'!$B:$B,0),"nvt")</f>
        <v>145</v>
      </c>
      <c r="AJ126" s="148">
        <f>IF(AI126&lt;&gt;"nvt",INDEX('Tarieven W&amp;O'!$H:$H,$AI126),0)</f>
        <v>0</v>
      </c>
      <c r="AK126" s="148">
        <f>IF(AI126&lt;&gt;"nvt",INDEX('Tarieven W&amp;O'!$I:$I,$AI126),0)</f>
        <v>5</v>
      </c>
      <c r="AL126" s="277">
        <f>IF(AI126&lt;&gt;"nvt",-INDEX(Parameters!$B:$B,MATCH(AL$3&amp;$M126,Parameters!$A:$A,0))*(AJ126+AK126),0)</f>
        <v>0</v>
      </c>
      <c r="AM126" s="442"/>
      <c r="AN126" s="262">
        <f t="shared" si="92"/>
        <v>5</v>
      </c>
      <c r="AO126" s="262">
        <f>AN126/INDEX(Parameters!$B:$B,MATCH("AfschrijftermijnVVE"&amp;12*$C126,Parameters!$A:$A,0))</f>
        <v>0.1388888888888889</v>
      </c>
      <c r="AP126" s="179">
        <f t="shared" si="93"/>
        <v>145</v>
      </c>
      <c r="AQ126" s="202">
        <f>IF(AP126&lt;&gt;"nvt",INDEX('Tarieven W&amp;O'!$G:$G,$AP126),0)</f>
        <v>22.24</v>
      </c>
      <c r="AR126" s="277">
        <f>-INDEX(Parameters!$B:$B,MATCH(AR$3&amp;$M126&amp;O126,Parameters!$A:$A,0))*(AQ126)</f>
        <v>0</v>
      </c>
      <c r="AS126" s="262">
        <f>Parameters!$D$54</f>
        <v>2</v>
      </c>
      <c r="AT126" s="442">
        <f>IF(M126="WBA CM Ethernet",0,'EDC Minus'!$H$27)</f>
        <v>1</v>
      </c>
      <c r="AU126" s="150">
        <f t="shared" si="83"/>
        <v>25.24</v>
      </c>
      <c r="AV126" s="150">
        <f t="shared" si="84"/>
        <v>25.378888888888888</v>
      </c>
      <c r="AW126" s="150"/>
      <c r="AX126" s="150">
        <f>Parameters!$B$6*AV126</f>
        <v>0.2537888888888889</v>
      </c>
      <c r="AY126" s="202">
        <v>0</v>
      </c>
      <c r="AZ126" s="202"/>
      <c r="BA126" s="150">
        <f t="shared" si="85"/>
        <v>0.2537888888888889</v>
      </c>
      <c r="BB126" s="150"/>
      <c r="BC126" s="151">
        <f t="shared" si="86"/>
        <v>25.632677777777776</v>
      </c>
      <c r="BD126" s="209"/>
      <c r="BE126" s="140">
        <f t="shared" si="79"/>
        <v>1002.1451000000001</v>
      </c>
      <c r="BF126" s="141">
        <f t="shared" si="80"/>
        <v>0.97506009729729737</v>
      </c>
      <c r="BG126" s="142" t="b">
        <f t="shared" si="94"/>
        <v>0</v>
      </c>
      <c r="BH126" s="148"/>
      <c r="BI126" s="188" t="s">
        <v>538</v>
      </c>
      <c r="BJ126" s="189"/>
      <c r="BK126">
        <f>VLOOKUP(J126,'Tarieven ZM'!$B$7:$I$146,8,0)</f>
        <v>0</v>
      </c>
      <c r="BL126" s="179" t="str">
        <f>INDEX(Mapping!$M:$M,MATCH($J126,Mapping!$B:$B,0))</f>
        <v>Premium &gt; 2/2Mbps</v>
      </c>
      <c r="BM126" s="282">
        <v>0</v>
      </c>
      <c r="BN126" s="262">
        <f>BM126/INDEX(Parameters!$B:$B,MATCH("AfschrijftermijnVVE"&amp;12*$C126,Parameters!$A:$A,0))</f>
        <v>0</v>
      </c>
      <c r="BO126" s="262">
        <f>Parameters!$D$59+INDEX('inkoop ULL tbv Epacity'!I:I,MATCH($BL126,'inkoop ULL tbv Epacity'!H:H,0))</f>
        <v>17.02</v>
      </c>
      <c r="BP126" s="263">
        <f t="shared" si="95"/>
        <v>17.02</v>
      </c>
      <c r="BQ126" s="203"/>
      <c r="BR126" s="262">
        <f>Parameters!$B$12*AG126</f>
        <v>102.77777777777779</v>
      </c>
      <c r="BS126" s="262">
        <f>SUM(Distributievergoedingen!$F$12,Distributievergoedingen!$I$12,Distributievergoedingen!$L$12,Distributievergoedingen!$O$12)*AF126+SUM(Distributievergoedingen!$O$12*AA126+Distributievergoedingen!$R$12+Distributievergoedingen!$U$12+Distributievergoedingen!$X$12)/(MAX(36,12*L126))</f>
        <v>112.77777777777777</v>
      </c>
      <c r="BT126" s="202"/>
      <c r="BU126" s="202">
        <f t="shared" si="96"/>
        <v>215.55555555555554</v>
      </c>
      <c r="BW126" s="151">
        <f t="shared" si="97"/>
        <v>232.57555555555555</v>
      </c>
      <c r="BY126" s="140">
        <f t="shared" si="98"/>
        <v>795.2022222222223</v>
      </c>
      <c r="BZ126" s="141">
        <f t="shared" si="99"/>
        <v>0.77371027027027028</v>
      </c>
      <c r="CA126" s="142" t="b">
        <f t="shared" si="100"/>
        <v>0</v>
      </c>
    </row>
    <row r="127" spans="1:79">
      <c r="A127" s="160" t="str">
        <f t="shared" si="87"/>
        <v>3ADSLPremiumnationaal12000/1024</v>
      </c>
      <c r="B127" s="142" t="str">
        <f t="shared" si="81"/>
        <v>3ADSL12000/1024Premium</v>
      </c>
      <c r="C127" s="198">
        <v>3</v>
      </c>
      <c r="D127" s="198" t="s">
        <v>42</v>
      </c>
      <c r="E127" s="198" t="s">
        <v>70</v>
      </c>
      <c r="F127" s="198" t="s">
        <v>115</v>
      </c>
      <c r="G127" s="199" t="s">
        <v>113</v>
      </c>
      <c r="H127" s="198" t="s">
        <v>61</v>
      </c>
      <c r="J127" s="142" t="str">
        <f t="shared" si="88"/>
        <v>ADSL12000/1024Premium</v>
      </c>
      <c r="L127" s="160">
        <f>INDEX(Mapping!$J:$J,MATCH(C$3&amp;C127,Mapping!$B:$B,0))</f>
        <v>1</v>
      </c>
      <c r="M127" s="148" t="str">
        <f>INDEX(Mapping!$H:$H,MATCH($E127,Mapping!$B:$B,0))</f>
        <v>WBA ZM Ethernet</v>
      </c>
      <c r="N127" s="148" t="str">
        <f>INDEX(Mapping!$I:$I,MATCH($E127&amp;$G127,Mapping!$B:$B,0))</f>
        <v>premium</v>
      </c>
      <c r="O127" s="148" t="str">
        <f>INDEX(Mapping!$I:$I,MATCH($D127,Mapping!$B:$B,0))</f>
        <v>ADSL</v>
      </c>
      <c r="P127" s="148" t="str">
        <f>INDEX(Mapping!$H:$H,MATCH($F127,Mapping!$B:$B,0))</f>
        <v>nvt</v>
      </c>
      <c r="Q127" s="148" t="str">
        <f>INDEX(Mapping!$J:$J,MATCH($E127&amp;$G127,Mapping!$B:$B,0))</f>
        <v>metro</v>
      </c>
      <c r="R127" s="148" t="str">
        <f>INDEX(Mapping!$I:$I,MATCH($J127,Mapping!$B:$B,0))</f>
        <v>20 Mbps/10 Mbps</v>
      </c>
      <c r="T127" s="148" t="str">
        <f>INDEX(Mapping!$K:$K,MATCH($E127&amp;$G127,Mapping!$B:$B,0))</f>
        <v>metro-nationaal</v>
      </c>
      <c r="U127" s="142" t="str">
        <f t="shared" si="89"/>
        <v>WBA ZM Ethernet20 Mbps/10 Mbpspremiummetro</v>
      </c>
      <c r="W127" s="160">
        <f>MATCH($J127,'Tarieven ZM'!$B:$B,0)</f>
        <v>27</v>
      </c>
      <c r="X127" s="148">
        <f>INDEX('Tarieven ZM'!$H:$H,$W127)</f>
        <v>1000</v>
      </c>
      <c r="Y127" s="161">
        <f>-INDEX(Parameters!$B:$B,MATCH(Y$3,Parameters!$A:$A,0))*$X127</f>
        <v>0</v>
      </c>
      <c r="Z127" s="149">
        <f>-INDEX(Parameters!$B:$B,MATCH(Z$3,Parameters!$A:$A,0))*$X127</f>
        <v>0</v>
      </c>
      <c r="AA127" s="148">
        <f t="shared" si="90"/>
        <v>1000</v>
      </c>
      <c r="AB127" s="148">
        <f>AA127/INDEX(Parameters!$B:$B,MATCH("AfschrijftermijnVVE"&amp;12*$C127,Parameters!$A:$A,0))</f>
        <v>27.777777777777779</v>
      </c>
      <c r="AC127" s="148">
        <f>INDEX('Tarieven ZM'!$G:$G,$W127)</f>
        <v>1000</v>
      </c>
      <c r="AD127" s="161">
        <f>-INDEX(Parameters!$B:$B,MATCH(AD$3,Parameters!$A:$A,0))*$AC127</f>
        <v>0</v>
      </c>
      <c r="AE127" s="161">
        <f>-INDEX(Parameters!$B:$B,MATCH(AE$3,Parameters!$A:$A,0))*$AC127</f>
        <v>0</v>
      </c>
      <c r="AF127" s="148">
        <f t="shared" si="91"/>
        <v>1000</v>
      </c>
      <c r="AG127" s="151">
        <f t="shared" si="82"/>
        <v>1027.7777777777778</v>
      </c>
      <c r="AH127" s="123"/>
      <c r="AI127" s="147">
        <f>IF(R127&lt;&gt;"n.a.",MATCH($U127,'Tarieven W&amp;O'!$B:$B,0),"nvt")</f>
        <v>146</v>
      </c>
      <c r="AJ127" s="148">
        <f>IF(AI127&lt;&gt;"nvt",INDEX('Tarieven W&amp;O'!$H:$H,$AI127),0)</f>
        <v>0</v>
      </c>
      <c r="AK127" s="148">
        <f>IF(AI127&lt;&gt;"nvt",INDEX('Tarieven W&amp;O'!$I:$I,$AI127),0)</f>
        <v>5</v>
      </c>
      <c r="AL127" s="277">
        <f>IF(AI127&lt;&gt;"nvt",-INDEX(Parameters!$B:$B,MATCH(AL$3&amp;$M127,Parameters!$A:$A,0))*(AJ127+AK127),0)</f>
        <v>0</v>
      </c>
      <c r="AM127" s="442"/>
      <c r="AN127" s="262">
        <f t="shared" si="92"/>
        <v>5</v>
      </c>
      <c r="AO127" s="262">
        <f>AN127/INDEX(Parameters!$B:$B,MATCH("AfschrijftermijnVVE"&amp;12*$C127,Parameters!$A:$A,0))</f>
        <v>0.1388888888888889</v>
      </c>
      <c r="AP127" s="179">
        <f t="shared" si="93"/>
        <v>146</v>
      </c>
      <c r="AQ127" s="202">
        <f>IF(AP127&lt;&gt;"nvt",INDEX('Tarieven W&amp;O'!$G:$G,$AP127),0)</f>
        <v>27.18</v>
      </c>
      <c r="AR127" s="277">
        <f>-INDEX(Parameters!$B:$B,MATCH(AR$3&amp;$M127&amp;O127,Parameters!$A:$A,0))*(AQ127)</f>
        <v>0</v>
      </c>
      <c r="AS127" s="262">
        <f>Parameters!$D$54</f>
        <v>2</v>
      </c>
      <c r="AT127" s="442">
        <f>IF(M127="WBA CM Ethernet",0,'EDC Minus'!$H$27)</f>
        <v>1</v>
      </c>
      <c r="AU127" s="150">
        <f t="shared" si="83"/>
        <v>30.18</v>
      </c>
      <c r="AV127" s="150">
        <f t="shared" si="84"/>
        <v>30.318888888888889</v>
      </c>
      <c r="AW127" s="150"/>
      <c r="AX127" s="150">
        <f>Parameters!$B$6*AV127</f>
        <v>0.3031888888888889</v>
      </c>
      <c r="AY127" s="202">
        <v>0</v>
      </c>
      <c r="AZ127" s="202"/>
      <c r="BA127" s="150">
        <f t="shared" si="85"/>
        <v>0.3031888888888889</v>
      </c>
      <c r="BB127" s="150"/>
      <c r="BC127" s="151">
        <f t="shared" si="86"/>
        <v>30.622077777777779</v>
      </c>
      <c r="BD127" s="209"/>
      <c r="BE127" s="140">
        <f t="shared" si="79"/>
        <v>997.15570000000002</v>
      </c>
      <c r="BF127" s="141">
        <f t="shared" si="80"/>
        <v>0.97020554594594588</v>
      </c>
      <c r="BG127" s="142" t="b">
        <f t="shared" si="94"/>
        <v>0</v>
      </c>
      <c r="BH127" s="148"/>
      <c r="BI127" s="188" t="s">
        <v>538</v>
      </c>
      <c r="BJ127" s="189"/>
      <c r="BK127">
        <f>VLOOKUP(J127,'Tarieven ZM'!$B$7:$I$146,8,0)</f>
        <v>0</v>
      </c>
      <c r="BL127" s="179" t="str">
        <f>INDEX(Mapping!$M:$M,MATCH($J127,Mapping!$B:$B,0))</f>
        <v>Premium &gt; 2/2Mbps</v>
      </c>
      <c r="BM127" s="282">
        <v>0</v>
      </c>
      <c r="BN127" s="262">
        <f>BM127/INDEX(Parameters!$B:$B,MATCH("AfschrijftermijnVVE"&amp;12*$C127,Parameters!$A:$A,0))</f>
        <v>0</v>
      </c>
      <c r="BO127" s="262">
        <f>Parameters!$D$59+INDEX('inkoop ULL tbv Epacity'!I:I,MATCH($BL127,'inkoop ULL tbv Epacity'!H:H,0))</f>
        <v>17.02</v>
      </c>
      <c r="BP127" s="263">
        <f t="shared" si="95"/>
        <v>17.02</v>
      </c>
      <c r="BQ127" s="203"/>
      <c r="BR127" s="262">
        <f>Parameters!$B$12*AG127</f>
        <v>102.77777777777779</v>
      </c>
      <c r="BS127" s="262">
        <f>SUM(Distributievergoedingen!$F$12,Distributievergoedingen!$I$12,Distributievergoedingen!$L$12,Distributievergoedingen!$O$12)*AF127+SUM(Distributievergoedingen!$O$12*AA127+Distributievergoedingen!$R$12+Distributievergoedingen!$U$12+Distributievergoedingen!$X$12)/(MAX(36,12*L127))</f>
        <v>112.77777777777777</v>
      </c>
      <c r="BT127" s="202"/>
      <c r="BU127" s="202">
        <f t="shared" si="96"/>
        <v>215.55555555555554</v>
      </c>
      <c r="BW127" s="151">
        <f t="shared" si="97"/>
        <v>232.57555555555555</v>
      </c>
      <c r="BY127" s="140">
        <f t="shared" si="98"/>
        <v>795.2022222222223</v>
      </c>
      <c r="BZ127" s="141">
        <f t="shared" si="99"/>
        <v>0.77371027027027028</v>
      </c>
      <c r="CA127" s="142" t="b">
        <f t="shared" si="100"/>
        <v>0</v>
      </c>
    </row>
    <row r="128" spans="1:79">
      <c r="A128" s="160" t="str">
        <f t="shared" si="87"/>
        <v>3SDSLPremiumnationaal256/256</v>
      </c>
      <c r="B128" s="142" t="str">
        <f t="shared" si="81"/>
        <v>3SDSL256/256Premium</v>
      </c>
      <c r="C128" s="198">
        <v>3</v>
      </c>
      <c r="D128" s="198" t="s">
        <v>64</v>
      </c>
      <c r="E128" s="198" t="s">
        <v>70</v>
      </c>
      <c r="F128" s="198" t="s">
        <v>115</v>
      </c>
      <c r="G128" s="199" t="s">
        <v>113</v>
      </c>
      <c r="H128" s="198" t="s">
        <v>48</v>
      </c>
      <c r="J128" s="142" t="str">
        <f t="shared" si="88"/>
        <v>SDSL256/256Premium</v>
      </c>
      <c r="L128" s="160">
        <f>INDEX(Mapping!$J:$J,MATCH(C$3&amp;C128,Mapping!$B:$B,0))</f>
        <v>1</v>
      </c>
      <c r="M128" s="148" t="str">
        <f>INDEX(Mapping!$H:$H,MATCH($E128,Mapping!$B:$B,0))</f>
        <v>WBA ZM Ethernet</v>
      </c>
      <c r="N128" s="148" t="str">
        <f>INDEX(Mapping!$I:$I,MATCH($E128&amp;$G128,Mapping!$B:$B,0))</f>
        <v>premium</v>
      </c>
      <c r="O128" s="148" t="str">
        <f>INDEX(Mapping!$I:$I,MATCH($D128,Mapping!$B:$B,0))</f>
        <v>SDSL</v>
      </c>
      <c r="P128" s="148" t="str">
        <f>INDEX(Mapping!$H:$H,MATCH($F128,Mapping!$B:$B,0))</f>
        <v>nvt</v>
      </c>
      <c r="Q128" s="148" t="str">
        <f>INDEX(Mapping!$J:$J,MATCH($E128&amp;$G128,Mapping!$B:$B,0))</f>
        <v>metro</v>
      </c>
      <c r="R128" s="148" t="str">
        <f>INDEX(Mapping!$I:$I,MATCH($J128,Mapping!$B:$B,0))</f>
        <v>1 Mbps/1 Mbps</v>
      </c>
      <c r="T128" s="148" t="str">
        <f>INDEX(Mapping!$K:$K,MATCH($E128&amp;$G128,Mapping!$B:$B,0))</f>
        <v>metro-nationaal</v>
      </c>
      <c r="U128" s="142" t="str">
        <f t="shared" si="89"/>
        <v>WBA ZM Ethernet1 Mbps/1 Mbpspremiummetro</v>
      </c>
      <c r="W128" s="160">
        <f>MATCH($J128,'Tarieven ZM'!$B:$B,0)</f>
        <v>28</v>
      </c>
      <c r="X128" s="148">
        <f>INDEX('Tarieven ZM'!$H:$H,$W128)</f>
        <v>1000</v>
      </c>
      <c r="Y128" s="161">
        <f>-INDEX(Parameters!$B:$B,MATCH(Y$3,Parameters!$A:$A,0))*$X128</f>
        <v>0</v>
      </c>
      <c r="Z128" s="149">
        <f>-INDEX(Parameters!$B:$B,MATCH(Z$3,Parameters!$A:$A,0))*$X128</f>
        <v>0</v>
      </c>
      <c r="AA128" s="148">
        <f t="shared" si="90"/>
        <v>1000</v>
      </c>
      <c r="AB128" s="148">
        <f>AA128/INDEX(Parameters!$B:$B,MATCH("AfschrijftermijnVVE"&amp;12*$C128,Parameters!$A:$A,0))</f>
        <v>27.777777777777779</v>
      </c>
      <c r="AC128" s="148">
        <f>INDEX('Tarieven ZM'!$G:$G,$W128)</f>
        <v>1000</v>
      </c>
      <c r="AD128" s="161">
        <f>-INDEX(Parameters!$B:$B,MATCH(AD$3,Parameters!$A:$A,0))*$AC128</f>
        <v>0</v>
      </c>
      <c r="AE128" s="161">
        <f>-INDEX(Parameters!$B:$B,MATCH(AE$3,Parameters!$A:$A,0))*$AC128</f>
        <v>0</v>
      </c>
      <c r="AF128" s="148">
        <f t="shared" si="91"/>
        <v>1000</v>
      </c>
      <c r="AG128" s="151">
        <f t="shared" si="82"/>
        <v>1027.7777777777778</v>
      </c>
      <c r="AH128" s="123"/>
      <c r="AI128" s="147">
        <f>IF(R128&lt;&gt;"n.a.",MATCH($U128,'Tarieven W&amp;O'!$B:$B,0),"nvt")</f>
        <v>138</v>
      </c>
      <c r="AJ128" s="148">
        <f>IF(AI128&lt;&gt;"nvt",INDEX('Tarieven W&amp;O'!$H:$H,$AI128),0)</f>
        <v>0</v>
      </c>
      <c r="AK128" s="148">
        <f>IF(AI128&lt;&gt;"nvt",INDEX('Tarieven W&amp;O'!$I:$I,$AI128),0)</f>
        <v>5</v>
      </c>
      <c r="AL128" s="277">
        <f>IF(AI128&lt;&gt;"nvt",-INDEX(Parameters!$B:$B,MATCH(AL$3&amp;$M128,Parameters!$A:$A,0))*(AJ128+AK128),0)</f>
        <v>0</v>
      </c>
      <c r="AM128" s="442"/>
      <c r="AN128" s="262">
        <f t="shared" si="92"/>
        <v>5</v>
      </c>
      <c r="AO128" s="262">
        <f>AN128/INDEX(Parameters!$B:$B,MATCH("AfschrijftermijnVVE"&amp;12*$C128,Parameters!$A:$A,0))</f>
        <v>0.1388888888888889</v>
      </c>
      <c r="AP128" s="179">
        <f t="shared" si="93"/>
        <v>138</v>
      </c>
      <c r="AQ128" s="202">
        <f>IF(AP128&lt;&gt;"nvt",INDEX('Tarieven W&amp;O'!$G:$G,$AP128),0)</f>
        <v>7.41</v>
      </c>
      <c r="AR128" s="277">
        <f>-INDEX(Parameters!$B:$B,MATCH(AR$3&amp;$M128&amp;O128,Parameters!$A:$A,0))*(AQ128)</f>
        <v>0</v>
      </c>
      <c r="AS128" s="262">
        <f>Parameters!$D$54</f>
        <v>2</v>
      </c>
      <c r="AT128" s="442">
        <f>IF(M128="WBA CM Ethernet",0,'EDC Minus'!$H$27)</f>
        <v>1</v>
      </c>
      <c r="AU128" s="150">
        <f t="shared" si="83"/>
        <v>10.41</v>
      </c>
      <c r="AV128" s="150">
        <f t="shared" si="84"/>
        <v>10.548888888888889</v>
      </c>
      <c r="AW128" s="150"/>
      <c r="AX128" s="150">
        <f>Parameters!$B$6*AV128</f>
        <v>0.1054888888888889</v>
      </c>
      <c r="AY128" s="202">
        <v>0</v>
      </c>
      <c r="AZ128" s="202"/>
      <c r="BA128" s="150">
        <f t="shared" si="85"/>
        <v>0.1054888888888889</v>
      </c>
      <c r="BB128" s="150"/>
      <c r="BC128" s="151">
        <f t="shared" si="86"/>
        <v>10.654377777777778</v>
      </c>
      <c r="BD128" s="209"/>
      <c r="BE128" s="140">
        <f t="shared" si="79"/>
        <v>1017.1234000000001</v>
      </c>
      <c r="BF128" s="141">
        <f t="shared" si="80"/>
        <v>0.9896335783783784</v>
      </c>
      <c r="BG128" s="142" t="b">
        <f t="shared" si="94"/>
        <v>0</v>
      </c>
      <c r="BH128" s="148"/>
      <c r="BI128" s="188" t="s">
        <v>538</v>
      </c>
      <c r="BJ128" s="189"/>
      <c r="BK128">
        <f>VLOOKUP(J128,'Tarieven ZM'!$B$7:$I$146,8,0)</f>
        <v>0</v>
      </c>
      <c r="BL128" s="179" t="str">
        <f>INDEX(Mapping!$M:$M,MATCH($J128,Mapping!$B:$B,0))</f>
        <v>nvt</v>
      </c>
      <c r="BM128" s="282">
        <v>0</v>
      </c>
      <c r="BN128" s="262">
        <f>BM128/INDEX(Parameters!$B:$B,MATCH("AfschrijftermijnVVE"&amp;12*$C128,Parameters!$A:$A,0))</f>
        <v>0</v>
      </c>
      <c r="BO128" s="262">
        <f>Parameters!$D$59+INDEX('inkoop ULL tbv Epacity'!I:I,MATCH($BL128,'inkoop ULL tbv Epacity'!H:H,0))</f>
        <v>1</v>
      </c>
      <c r="BP128" s="263">
        <f t="shared" si="95"/>
        <v>1</v>
      </c>
      <c r="BQ128" s="203"/>
      <c r="BR128" s="262">
        <f>Parameters!$B$12*AG128</f>
        <v>102.77777777777779</v>
      </c>
      <c r="BS128" s="262">
        <f>SUM(Distributievergoedingen!$F$12,Distributievergoedingen!$I$12,Distributievergoedingen!$L$12,Distributievergoedingen!$O$12)*AF128+SUM(Distributievergoedingen!$O$12*AA128+Distributievergoedingen!$R$12+Distributievergoedingen!$U$12+Distributievergoedingen!$X$12)/(MAX(36,12*L128))</f>
        <v>112.77777777777777</v>
      </c>
      <c r="BT128" s="202"/>
      <c r="BU128" s="202">
        <f t="shared" si="96"/>
        <v>215.55555555555554</v>
      </c>
      <c r="BW128" s="151">
        <f t="shared" si="97"/>
        <v>216.55555555555554</v>
      </c>
      <c r="BY128" s="140">
        <f t="shared" si="98"/>
        <v>811.22222222222229</v>
      </c>
      <c r="BZ128" s="141">
        <f t="shared" si="99"/>
        <v>0.78929729729729736</v>
      </c>
      <c r="CA128" s="142" t="b">
        <f t="shared" si="100"/>
        <v>0</v>
      </c>
    </row>
    <row r="129" spans="1:79">
      <c r="A129" s="160" t="str">
        <f t="shared" si="87"/>
        <v>3SDSLPremiumnationaal512/512</v>
      </c>
      <c r="B129" s="142" t="str">
        <f t="shared" si="81"/>
        <v>3SDSL512/512Premium</v>
      </c>
      <c r="C129" s="198">
        <v>3</v>
      </c>
      <c r="D129" s="198" t="s">
        <v>64</v>
      </c>
      <c r="E129" s="198" t="s">
        <v>70</v>
      </c>
      <c r="F129" s="198" t="s">
        <v>115</v>
      </c>
      <c r="G129" s="199" t="s">
        <v>113</v>
      </c>
      <c r="H129" s="198" t="s">
        <v>50</v>
      </c>
      <c r="J129" s="142" t="str">
        <f t="shared" si="88"/>
        <v>SDSL512/512Premium</v>
      </c>
      <c r="L129" s="160">
        <f>INDEX(Mapping!$J:$J,MATCH(C$3&amp;C129,Mapping!$B:$B,0))</f>
        <v>1</v>
      </c>
      <c r="M129" s="148" t="str">
        <f>INDEX(Mapping!$H:$H,MATCH($E129,Mapping!$B:$B,0))</f>
        <v>WBA ZM Ethernet</v>
      </c>
      <c r="N129" s="148" t="str">
        <f>INDEX(Mapping!$I:$I,MATCH($E129&amp;$G129,Mapping!$B:$B,0))</f>
        <v>premium</v>
      </c>
      <c r="O129" s="148" t="str">
        <f>INDEX(Mapping!$I:$I,MATCH($D129,Mapping!$B:$B,0))</f>
        <v>SDSL</v>
      </c>
      <c r="P129" s="148" t="str">
        <f>INDEX(Mapping!$H:$H,MATCH($F129,Mapping!$B:$B,0))</f>
        <v>nvt</v>
      </c>
      <c r="Q129" s="148" t="str">
        <f>INDEX(Mapping!$J:$J,MATCH($E129&amp;$G129,Mapping!$B:$B,0))</f>
        <v>metro</v>
      </c>
      <c r="R129" s="148" t="str">
        <f>INDEX(Mapping!$I:$I,MATCH($J129,Mapping!$B:$B,0))</f>
        <v>1 Mbps/1 Mbps</v>
      </c>
      <c r="T129" s="148" t="str">
        <f>INDEX(Mapping!$K:$K,MATCH($E129&amp;$G129,Mapping!$B:$B,0))</f>
        <v>metro-nationaal</v>
      </c>
      <c r="U129" s="142" t="str">
        <f t="shared" si="89"/>
        <v>WBA ZM Ethernet1 Mbps/1 Mbpspremiummetro</v>
      </c>
      <c r="W129" s="160">
        <f>MATCH($J129,'Tarieven ZM'!$B:$B,0)</f>
        <v>29</v>
      </c>
      <c r="X129" s="148">
        <f>INDEX('Tarieven ZM'!$H:$H,$W129)</f>
        <v>1000</v>
      </c>
      <c r="Y129" s="161">
        <f>-INDEX(Parameters!$B:$B,MATCH(Y$3,Parameters!$A:$A,0))*$X129</f>
        <v>0</v>
      </c>
      <c r="Z129" s="149">
        <f>-INDEX(Parameters!$B:$B,MATCH(Z$3,Parameters!$A:$A,0))*$X129</f>
        <v>0</v>
      </c>
      <c r="AA129" s="148">
        <f t="shared" si="90"/>
        <v>1000</v>
      </c>
      <c r="AB129" s="148">
        <f>AA129/INDEX(Parameters!$B:$B,MATCH("AfschrijftermijnVVE"&amp;12*$C129,Parameters!$A:$A,0))</f>
        <v>27.777777777777779</v>
      </c>
      <c r="AC129" s="148">
        <f>INDEX('Tarieven ZM'!$G:$G,$W129)</f>
        <v>1000</v>
      </c>
      <c r="AD129" s="161">
        <f>-INDEX(Parameters!$B:$B,MATCH(AD$3,Parameters!$A:$A,0))*$AC129</f>
        <v>0</v>
      </c>
      <c r="AE129" s="161">
        <f>-INDEX(Parameters!$B:$B,MATCH(AE$3,Parameters!$A:$A,0))*$AC129</f>
        <v>0</v>
      </c>
      <c r="AF129" s="148">
        <f t="shared" si="91"/>
        <v>1000</v>
      </c>
      <c r="AG129" s="151">
        <f t="shared" si="82"/>
        <v>1027.7777777777778</v>
      </c>
      <c r="AH129" s="123"/>
      <c r="AI129" s="147">
        <f>IF(R129&lt;&gt;"n.a.",MATCH($U129,'Tarieven W&amp;O'!$B:$B,0),"nvt")</f>
        <v>138</v>
      </c>
      <c r="AJ129" s="148">
        <f>IF(AI129&lt;&gt;"nvt",INDEX('Tarieven W&amp;O'!$H:$H,$AI129),0)</f>
        <v>0</v>
      </c>
      <c r="AK129" s="148">
        <f>IF(AI129&lt;&gt;"nvt",INDEX('Tarieven W&amp;O'!$I:$I,$AI129),0)</f>
        <v>5</v>
      </c>
      <c r="AL129" s="277">
        <f>IF(AI129&lt;&gt;"nvt",-INDEX(Parameters!$B:$B,MATCH(AL$3&amp;$M129,Parameters!$A:$A,0))*(AJ129+AK129),0)</f>
        <v>0</v>
      </c>
      <c r="AM129" s="442"/>
      <c r="AN129" s="262">
        <f t="shared" si="92"/>
        <v>5</v>
      </c>
      <c r="AO129" s="262">
        <f>AN129/INDEX(Parameters!$B:$B,MATCH("AfschrijftermijnVVE"&amp;12*$C129,Parameters!$A:$A,0))</f>
        <v>0.1388888888888889</v>
      </c>
      <c r="AP129" s="179">
        <f t="shared" si="93"/>
        <v>138</v>
      </c>
      <c r="AQ129" s="202">
        <f>IF(AP129&lt;&gt;"nvt",INDEX('Tarieven W&amp;O'!$G:$G,$AP129),0)</f>
        <v>7.41</v>
      </c>
      <c r="AR129" s="277">
        <f>-INDEX(Parameters!$B:$B,MATCH(AR$3&amp;$M129&amp;O129,Parameters!$A:$A,0))*(AQ129)</f>
        <v>0</v>
      </c>
      <c r="AS129" s="262">
        <f>Parameters!$D$54</f>
        <v>2</v>
      </c>
      <c r="AT129" s="442">
        <f>IF(M129="WBA CM Ethernet",0,'EDC Minus'!$H$27)</f>
        <v>1</v>
      </c>
      <c r="AU129" s="150">
        <f t="shared" si="83"/>
        <v>10.41</v>
      </c>
      <c r="AV129" s="150">
        <f t="shared" si="84"/>
        <v>10.548888888888889</v>
      </c>
      <c r="AW129" s="150"/>
      <c r="AX129" s="150">
        <f>Parameters!$B$6*AV129</f>
        <v>0.1054888888888889</v>
      </c>
      <c r="AY129" s="202">
        <v>0</v>
      </c>
      <c r="AZ129" s="202"/>
      <c r="BA129" s="150">
        <f t="shared" si="85"/>
        <v>0.1054888888888889</v>
      </c>
      <c r="BB129" s="150"/>
      <c r="BC129" s="151">
        <f t="shared" si="86"/>
        <v>10.654377777777778</v>
      </c>
      <c r="BD129" s="209"/>
      <c r="BE129" s="140">
        <f t="shared" si="79"/>
        <v>1017.1234000000001</v>
      </c>
      <c r="BF129" s="141">
        <f t="shared" si="80"/>
        <v>0.9896335783783784</v>
      </c>
      <c r="BG129" s="142" t="b">
        <f t="shared" si="94"/>
        <v>0</v>
      </c>
      <c r="BH129" s="148"/>
      <c r="BI129" s="188" t="s">
        <v>538</v>
      </c>
      <c r="BJ129" s="189"/>
      <c r="BK129">
        <f>VLOOKUP(J129,'Tarieven ZM'!$B$7:$I$146,8,0)</f>
        <v>0</v>
      </c>
      <c r="BL129" s="179" t="str">
        <f>INDEX(Mapping!$M:$M,MATCH($J129,Mapping!$B:$B,0))</f>
        <v>nvt</v>
      </c>
      <c r="BM129" s="282">
        <v>0</v>
      </c>
      <c r="BN129" s="262">
        <f>BM129/INDEX(Parameters!$B:$B,MATCH("AfschrijftermijnVVE"&amp;12*$C129,Parameters!$A:$A,0))</f>
        <v>0</v>
      </c>
      <c r="BO129" s="262">
        <f>Parameters!$D$59+INDEX('inkoop ULL tbv Epacity'!I:I,MATCH($BL129,'inkoop ULL tbv Epacity'!H:H,0))</f>
        <v>1</v>
      </c>
      <c r="BP129" s="263">
        <f t="shared" si="95"/>
        <v>1</v>
      </c>
      <c r="BQ129" s="203"/>
      <c r="BR129" s="262">
        <f>Parameters!$B$12*AG129</f>
        <v>102.77777777777779</v>
      </c>
      <c r="BS129" s="262">
        <f>SUM(Distributievergoedingen!$F$12,Distributievergoedingen!$I$12,Distributievergoedingen!$L$12,Distributievergoedingen!$O$12)*AF129+SUM(Distributievergoedingen!$O$12*AA129+Distributievergoedingen!$R$12+Distributievergoedingen!$U$12+Distributievergoedingen!$X$12)/(MAX(36,12*L129))</f>
        <v>112.77777777777777</v>
      </c>
      <c r="BT129" s="202"/>
      <c r="BU129" s="202">
        <f t="shared" si="96"/>
        <v>215.55555555555554</v>
      </c>
      <c r="BW129" s="151">
        <f t="shared" si="97"/>
        <v>216.55555555555554</v>
      </c>
      <c r="BY129" s="140">
        <f t="shared" si="98"/>
        <v>811.22222222222229</v>
      </c>
      <c r="BZ129" s="141">
        <f t="shared" si="99"/>
        <v>0.78929729729729736</v>
      </c>
      <c r="CA129" s="142" t="b">
        <f t="shared" si="100"/>
        <v>0</v>
      </c>
    </row>
    <row r="130" spans="1:79">
      <c r="A130" s="160" t="str">
        <f t="shared" si="87"/>
        <v>3SDSLPremiumnationaal1024/1024</v>
      </c>
      <c r="B130" s="142" t="str">
        <f t="shared" si="81"/>
        <v>3SDSL1024/1024Premium</v>
      </c>
      <c r="C130" s="198">
        <v>3</v>
      </c>
      <c r="D130" s="198" t="s">
        <v>64</v>
      </c>
      <c r="E130" s="198" t="s">
        <v>70</v>
      </c>
      <c r="F130" s="198" t="s">
        <v>115</v>
      </c>
      <c r="G130" s="199" t="s">
        <v>113</v>
      </c>
      <c r="H130" s="198" t="s">
        <v>66</v>
      </c>
      <c r="J130" s="142" t="str">
        <f t="shared" si="88"/>
        <v>SDSL1024/1024Premium</v>
      </c>
      <c r="L130" s="160">
        <f>INDEX(Mapping!$J:$J,MATCH(C$3&amp;C130,Mapping!$B:$B,0))</f>
        <v>1</v>
      </c>
      <c r="M130" s="148" t="str">
        <f>INDEX(Mapping!$H:$H,MATCH($E130,Mapping!$B:$B,0))</f>
        <v>WBA ZM Ethernet</v>
      </c>
      <c r="N130" s="148" t="str">
        <f>INDEX(Mapping!$I:$I,MATCH($E130&amp;$G130,Mapping!$B:$B,0))</f>
        <v>premium</v>
      </c>
      <c r="O130" s="148" t="str">
        <f>INDEX(Mapping!$I:$I,MATCH($D130,Mapping!$B:$B,0))</f>
        <v>SDSL</v>
      </c>
      <c r="P130" s="148" t="str">
        <f>INDEX(Mapping!$H:$H,MATCH($F130,Mapping!$B:$B,0))</f>
        <v>nvt</v>
      </c>
      <c r="Q130" s="148" t="str">
        <f>INDEX(Mapping!$J:$J,MATCH($E130&amp;$G130,Mapping!$B:$B,0))</f>
        <v>metro</v>
      </c>
      <c r="R130" s="148" t="str">
        <f>INDEX(Mapping!$I:$I,MATCH($J130,Mapping!$B:$B,0))</f>
        <v>1 Mbps/1 Mbps</v>
      </c>
      <c r="T130" s="148" t="str">
        <f>INDEX(Mapping!$K:$K,MATCH($E130&amp;$G130,Mapping!$B:$B,0))</f>
        <v>metro-nationaal</v>
      </c>
      <c r="U130" s="142" t="str">
        <f t="shared" si="89"/>
        <v>WBA ZM Ethernet1 Mbps/1 Mbpspremiummetro</v>
      </c>
      <c r="W130" s="160">
        <f>MATCH($J130,'Tarieven ZM'!$B:$B,0)</f>
        <v>30</v>
      </c>
      <c r="X130" s="148">
        <f>INDEX('Tarieven ZM'!$H:$H,$W130)</f>
        <v>1000</v>
      </c>
      <c r="Y130" s="161">
        <f>-INDEX(Parameters!$B:$B,MATCH(Y$3,Parameters!$A:$A,0))*$X130</f>
        <v>0</v>
      </c>
      <c r="Z130" s="149">
        <f>-INDEX(Parameters!$B:$B,MATCH(Z$3,Parameters!$A:$A,0))*$X130</f>
        <v>0</v>
      </c>
      <c r="AA130" s="148">
        <f t="shared" si="90"/>
        <v>1000</v>
      </c>
      <c r="AB130" s="148">
        <f>AA130/INDEX(Parameters!$B:$B,MATCH("AfschrijftermijnVVE"&amp;12*$C130,Parameters!$A:$A,0))</f>
        <v>27.777777777777779</v>
      </c>
      <c r="AC130" s="148">
        <f>INDEX('Tarieven ZM'!$G:$G,$W130)</f>
        <v>1000</v>
      </c>
      <c r="AD130" s="161">
        <f>-INDEX(Parameters!$B:$B,MATCH(AD$3,Parameters!$A:$A,0))*$AC130</f>
        <v>0</v>
      </c>
      <c r="AE130" s="161">
        <f>-INDEX(Parameters!$B:$B,MATCH(AE$3,Parameters!$A:$A,0))*$AC130</f>
        <v>0</v>
      </c>
      <c r="AF130" s="148">
        <f t="shared" si="91"/>
        <v>1000</v>
      </c>
      <c r="AG130" s="151">
        <f t="shared" si="82"/>
        <v>1027.7777777777778</v>
      </c>
      <c r="AH130" s="123"/>
      <c r="AI130" s="147">
        <f>IF(R130&lt;&gt;"n.a.",MATCH($U130,'Tarieven W&amp;O'!$B:$B,0),"nvt")</f>
        <v>138</v>
      </c>
      <c r="AJ130" s="148">
        <f>IF(AI130&lt;&gt;"nvt",INDEX('Tarieven W&amp;O'!$H:$H,$AI130),0)</f>
        <v>0</v>
      </c>
      <c r="AK130" s="148">
        <f>IF(AI130&lt;&gt;"nvt",INDEX('Tarieven W&amp;O'!$I:$I,$AI130),0)</f>
        <v>5</v>
      </c>
      <c r="AL130" s="277">
        <f>IF(AI130&lt;&gt;"nvt",-INDEX(Parameters!$B:$B,MATCH(AL$3&amp;$M130,Parameters!$A:$A,0))*(AJ130+AK130),0)</f>
        <v>0</v>
      </c>
      <c r="AM130" s="442"/>
      <c r="AN130" s="262">
        <f t="shared" si="92"/>
        <v>5</v>
      </c>
      <c r="AO130" s="262">
        <f>AN130/INDEX(Parameters!$B:$B,MATCH("AfschrijftermijnVVE"&amp;12*$C130,Parameters!$A:$A,0))</f>
        <v>0.1388888888888889</v>
      </c>
      <c r="AP130" s="179">
        <f t="shared" si="93"/>
        <v>138</v>
      </c>
      <c r="AQ130" s="202">
        <f>IF(AP130&lt;&gt;"nvt",INDEX('Tarieven W&amp;O'!$G:$G,$AP130),0)</f>
        <v>7.41</v>
      </c>
      <c r="AR130" s="277">
        <f>-INDEX(Parameters!$B:$B,MATCH(AR$3&amp;$M130&amp;O130,Parameters!$A:$A,0))*(AQ130)</f>
        <v>0</v>
      </c>
      <c r="AS130" s="262">
        <f>Parameters!$D$54</f>
        <v>2</v>
      </c>
      <c r="AT130" s="442">
        <f>IF(M130="WBA CM Ethernet",0,'EDC Minus'!$H$27)</f>
        <v>1</v>
      </c>
      <c r="AU130" s="150">
        <f t="shared" si="83"/>
        <v>10.41</v>
      </c>
      <c r="AV130" s="150">
        <f t="shared" si="84"/>
        <v>10.548888888888889</v>
      </c>
      <c r="AW130" s="150"/>
      <c r="AX130" s="150">
        <f>Parameters!$B$6*AV130</f>
        <v>0.1054888888888889</v>
      </c>
      <c r="AY130" s="202">
        <v>0</v>
      </c>
      <c r="AZ130" s="202"/>
      <c r="BA130" s="150">
        <f t="shared" si="85"/>
        <v>0.1054888888888889</v>
      </c>
      <c r="BB130" s="150"/>
      <c r="BC130" s="151">
        <f t="shared" si="86"/>
        <v>10.654377777777778</v>
      </c>
      <c r="BD130" s="209"/>
      <c r="BE130" s="140">
        <f t="shared" si="79"/>
        <v>1017.1234000000001</v>
      </c>
      <c r="BF130" s="141">
        <f t="shared" si="80"/>
        <v>0.9896335783783784</v>
      </c>
      <c r="BG130" s="142" t="b">
        <f t="shared" si="94"/>
        <v>0</v>
      </c>
      <c r="BH130" s="148"/>
      <c r="BI130" s="188" t="s">
        <v>538</v>
      </c>
      <c r="BJ130" s="189"/>
      <c r="BK130">
        <f>VLOOKUP(J130,'Tarieven ZM'!$B$7:$I$146,8,0)</f>
        <v>0</v>
      </c>
      <c r="BL130" s="179" t="str">
        <f>INDEX(Mapping!$M:$M,MATCH($J130,Mapping!$B:$B,0))</f>
        <v>nvt</v>
      </c>
      <c r="BM130" s="282">
        <v>0</v>
      </c>
      <c r="BN130" s="262">
        <f>BM130/INDEX(Parameters!$B:$B,MATCH("AfschrijftermijnVVE"&amp;12*$C130,Parameters!$A:$A,0))</f>
        <v>0</v>
      </c>
      <c r="BO130" s="262">
        <f>Parameters!$D$59+INDEX('inkoop ULL tbv Epacity'!I:I,MATCH($BL130,'inkoop ULL tbv Epacity'!H:H,0))</f>
        <v>1</v>
      </c>
      <c r="BP130" s="263">
        <f t="shared" si="95"/>
        <v>1</v>
      </c>
      <c r="BQ130" s="203"/>
      <c r="BR130" s="262">
        <f>Parameters!$B$12*AG130</f>
        <v>102.77777777777779</v>
      </c>
      <c r="BS130" s="262">
        <f>SUM(Distributievergoedingen!$F$12,Distributievergoedingen!$I$12,Distributievergoedingen!$L$12,Distributievergoedingen!$O$12)*AF130+SUM(Distributievergoedingen!$O$12*AA130+Distributievergoedingen!$R$12+Distributievergoedingen!$U$12+Distributievergoedingen!$X$12)/(MAX(36,12*L130))</f>
        <v>112.77777777777777</v>
      </c>
      <c r="BT130" s="202"/>
      <c r="BU130" s="202">
        <f t="shared" si="96"/>
        <v>215.55555555555554</v>
      </c>
      <c r="BW130" s="151">
        <f t="shared" si="97"/>
        <v>216.55555555555554</v>
      </c>
      <c r="BY130" s="140">
        <f t="shared" si="98"/>
        <v>811.22222222222229</v>
      </c>
      <c r="BZ130" s="141">
        <f t="shared" si="99"/>
        <v>0.78929729729729736</v>
      </c>
      <c r="CA130" s="142" t="b">
        <f t="shared" si="100"/>
        <v>0</v>
      </c>
    </row>
    <row r="131" spans="1:79">
      <c r="A131" s="160" t="str">
        <f t="shared" si="87"/>
        <v>3SDSLPremiumnationaal1536/1536</v>
      </c>
      <c r="B131" s="142" t="str">
        <f t="shared" si="81"/>
        <v>3SDSL1536/1536Premium</v>
      </c>
      <c r="C131" s="198">
        <v>3</v>
      </c>
      <c r="D131" s="198" t="s">
        <v>64</v>
      </c>
      <c r="E131" s="198" t="s">
        <v>70</v>
      </c>
      <c r="F131" s="198" t="s">
        <v>115</v>
      </c>
      <c r="G131" s="199" t="s">
        <v>113</v>
      </c>
      <c r="H131" s="198" t="s">
        <v>67</v>
      </c>
      <c r="J131" s="142" t="str">
        <f t="shared" si="88"/>
        <v>SDSL1536/1536Premium</v>
      </c>
      <c r="L131" s="160">
        <f>INDEX(Mapping!$J:$J,MATCH(C$3&amp;C131,Mapping!$B:$B,0))</f>
        <v>1</v>
      </c>
      <c r="M131" s="148" t="str">
        <f>INDEX(Mapping!$H:$H,MATCH($E131,Mapping!$B:$B,0))</f>
        <v>WBA ZM Ethernet</v>
      </c>
      <c r="N131" s="148" t="str">
        <f>INDEX(Mapping!$I:$I,MATCH($E131&amp;$G131,Mapping!$B:$B,0))</f>
        <v>premium</v>
      </c>
      <c r="O131" s="148" t="str">
        <f>INDEX(Mapping!$I:$I,MATCH($D131,Mapping!$B:$B,0))</f>
        <v>SDSL</v>
      </c>
      <c r="P131" s="148" t="str">
        <f>INDEX(Mapping!$H:$H,MATCH($F131,Mapping!$B:$B,0))</f>
        <v>nvt</v>
      </c>
      <c r="Q131" s="148" t="str">
        <f>INDEX(Mapping!$J:$J,MATCH($E131&amp;$G131,Mapping!$B:$B,0))</f>
        <v>metro</v>
      </c>
      <c r="R131" s="148" t="str">
        <f>INDEX(Mapping!$I:$I,MATCH($J131,Mapping!$B:$B,0))</f>
        <v>2 Mbps/2 Mbps</v>
      </c>
      <c r="T131" s="148" t="str">
        <f>INDEX(Mapping!$K:$K,MATCH($E131&amp;$G131,Mapping!$B:$B,0))</f>
        <v>metro-nationaal</v>
      </c>
      <c r="U131" s="142" t="str">
        <f t="shared" si="89"/>
        <v>WBA ZM Ethernet2 Mbps/2 Mbpspremiummetro</v>
      </c>
      <c r="W131" s="160">
        <f>MATCH($J131,'Tarieven ZM'!$B:$B,0)</f>
        <v>31</v>
      </c>
      <c r="X131" s="148">
        <f>INDEX('Tarieven ZM'!$H:$H,$W131)</f>
        <v>1000</v>
      </c>
      <c r="Y131" s="161">
        <f>-INDEX(Parameters!$B:$B,MATCH(Y$3,Parameters!$A:$A,0))*$X131</f>
        <v>0</v>
      </c>
      <c r="Z131" s="149">
        <f>-INDEX(Parameters!$B:$B,MATCH(Z$3,Parameters!$A:$A,0))*$X131</f>
        <v>0</v>
      </c>
      <c r="AA131" s="148">
        <f t="shared" si="90"/>
        <v>1000</v>
      </c>
      <c r="AB131" s="148">
        <f>AA131/INDEX(Parameters!$B:$B,MATCH("AfschrijftermijnVVE"&amp;12*$C131,Parameters!$A:$A,0))</f>
        <v>27.777777777777779</v>
      </c>
      <c r="AC131" s="148">
        <f>INDEX('Tarieven ZM'!$G:$G,$W131)</f>
        <v>1000</v>
      </c>
      <c r="AD131" s="161">
        <f>-INDEX(Parameters!$B:$B,MATCH(AD$3,Parameters!$A:$A,0))*$AC131</f>
        <v>0</v>
      </c>
      <c r="AE131" s="161">
        <f>-INDEX(Parameters!$B:$B,MATCH(AE$3,Parameters!$A:$A,0))*$AC131</f>
        <v>0</v>
      </c>
      <c r="AF131" s="148">
        <f t="shared" si="91"/>
        <v>1000</v>
      </c>
      <c r="AG131" s="151">
        <f t="shared" si="82"/>
        <v>1027.7777777777778</v>
      </c>
      <c r="AH131" s="123"/>
      <c r="AI131" s="147">
        <f>IF(R131&lt;&gt;"n.a.",MATCH($U131,'Tarieven W&amp;O'!$B:$B,0),"nvt")</f>
        <v>139</v>
      </c>
      <c r="AJ131" s="148">
        <f>IF(AI131&lt;&gt;"nvt",INDEX('Tarieven W&amp;O'!$H:$H,$AI131),0)</f>
        <v>0</v>
      </c>
      <c r="AK131" s="148">
        <f>IF(AI131&lt;&gt;"nvt",INDEX('Tarieven W&amp;O'!$I:$I,$AI131),0)</f>
        <v>5</v>
      </c>
      <c r="AL131" s="277">
        <f>IF(AI131&lt;&gt;"nvt",-INDEX(Parameters!$B:$B,MATCH(AL$3&amp;$M131,Parameters!$A:$A,0))*(AJ131+AK131),0)</f>
        <v>0</v>
      </c>
      <c r="AM131" s="442"/>
      <c r="AN131" s="262">
        <f t="shared" si="92"/>
        <v>5</v>
      </c>
      <c r="AO131" s="262">
        <f>AN131/INDEX(Parameters!$B:$B,MATCH("AfschrijftermijnVVE"&amp;12*$C131,Parameters!$A:$A,0))</f>
        <v>0.1388888888888889</v>
      </c>
      <c r="AP131" s="179">
        <f t="shared" si="93"/>
        <v>139</v>
      </c>
      <c r="AQ131" s="202">
        <f>IF(AP131&lt;&gt;"nvt",INDEX('Tarieven W&amp;O'!$G:$G,$AP131),0)</f>
        <v>14.82</v>
      </c>
      <c r="AR131" s="277">
        <f>-INDEX(Parameters!$B:$B,MATCH(AR$3&amp;$M131&amp;O131,Parameters!$A:$A,0))*(AQ131)</f>
        <v>0</v>
      </c>
      <c r="AS131" s="262">
        <f>Parameters!$D$54</f>
        <v>2</v>
      </c>
      <c r="AT131" s="442">
        <f>IF(M131="WBA CM Ethernet",0,'EDC Minus'!$H$27)</f>
        <v>1</v>
      </c>
      <c r="AU131" s="150">
        <f t="shared" si="83"/>
        <v>17.82</v>
      </c>
      <c r="AV131" s="150">
        <f t="shared" si="84"/>
        <v>17.95888888888889</v>
      </c>
      <c r="AW131" s="150"/>
      <c r="AX131" s="150">
        <f>Parameters!$B$6*AV131</f>
        <v>0.17958888888888891</v>
      </c>
      <c r="AY131" s="202">
        <v>0</v>
      </c>
      <c r="AZ131" s="202"/>
      <c r="BA131" s="150">
        <f t="shared" si="85"/>
        <v>0.17958888888888891</v>
      </c>
      <c r="BB131" s="150"/>
      <c r="BC131" s="151">
        <f t="shared" si="86"/>
        <v>18.13847777777778</v>
      </c>
      <c r="BD131" s="209"/>
      <c r="BE131" s="140">
        <f t="shared" si="79"/>
        <v>1009.6393</v>
      </c>
      <c r="BF131" s="141">
        <f t="shared" si="80"/>
        <v>0.98235175135135133</v>
      </c>
      <c r="BG131" s="142" t="b">
        <f t="shared" si="94"/>
        <v>0</v>
      </c>
      <c r="BH131" s="148"/>
      <c r="BI131" s="188" t="s">
        <v>538</v>
      </c>
      <c r="BJ131" s="189"/>
      <c r="BK131">
        <f>VLOOKUP(J131,'Tarieven ZM'!$B$7:$I$146,8,0)</f>
        <v>0</v>
      </c>
      <c r="BL131" s="179" t="str">
        <f>INDEX(Mapping!$M:$M,MATCH($J131,Mapping!$B:$B,0))</f>
        <v>nvt</v>
      </c>
      <c r="BM131" s="282">
        <v>0</v>
      </c>
      <c r="BN131" s="262">
        <f>BM131/INDEX(Parameters!$B:$B,MATCH("AfschrijftermijnVVE"&amp;12*$C131,Parameters!$A:$A,0))</f>
        <v>0</v>
      </c>
      <c r="BO131" s="262">
        <f>Parameters!$D$59+INDEX('inkoop ULL tbv Epacity'!I:I,MATCH($BL131,'inkoop ULL tbv Epacity'!H:H,0))</f>
        <v>1</v>
      </c>
      <c r="BP131" s="263">
        <f t="shared" si="95"/>
        <v>1</v>
      </c>
      <c r="BQ131" s="203"/>
      <c r="BR131" s="262">
        <f>Parameters!$B$12*AG131</f>
        <v>102.77777777777779</v>
      </c>
      <c r="BS131" s="262">
        <f>SUM(Distributievergoedingen!$F$12,Distributievergoedingen!$I$12,Distributievergoedingen!$L$12,Distributievergoedingen!$O$12)*AF131+SUM(Distributievergoedingen!$O$12*AA131+Distributievergoedingen!$R$12+Distributievergoedingen!$U$12+Distributievergoedingen!$X$12)/(MAX(36,12*L131))</f>
        <v>112.77777777777777</v>
      </c>
      <c r="BT131" s="202"/>
      <c r="BU131" s="202">
        <f t="shared" si="96"/>
        <v>215.55555555555554</v>
      </c>
      <c r="BW131" s="151">
        <f t="shared" si="97"/>
        <v>216.55555555555554</v>
      </c>
      <c r="BY131" s="140">
        <f t="shared" si="98"/>
        <v>811.22222222222229</v>
      </c>
      <c r="BZ131" s="141">
        <f t="shared" si="99"/>
        <v>0.78929729729729736</v>
      </c>
      <c r="CA131" s="142" t="b">
        <f t="shared" si="100"/>
        <v>0</v>
      </c>
    </row>
    <row r="132" spans="1:79">
      <c r="A132" s="160" t="str">
        <f t="shared" si="87"/>
        <v>3SDSLPremiumnationaal2048/2048</v>
      </c>
      <c r="B132" s="142" t="str">
        <f t="shared" si="81"/>
        <v>3SDSL2048/2048Premium</v>
      </c>
      <c r="C132" s="198">
        <v>3</v>
      </c>
      <c r="D132" s="198" t="s">
        <v>64</v>
      </c>
      <c r="E132" s="198" t="s">
        <v>70</v>
      </c>
      <c r="F132" s="198" t="s">
        <v>115</v>
      </c>
      <c r="G132" s="199" t="s">
        <v>113</v>
      </c>
      <c r="H132" s="198" t="s">
        <v>68</v>
      </c>
      <c r="J132" s="142" t="str">
        <f t="shared" si="88"/>
        <v>SDSL2048/2048Premium</v>
      </c>
      <c r="L132" s="160">
        <f>INDEX(Mapping!$J:$J,MATCH(C$3&amp;C132,Mapping!$B:$B,0))</f>
        <v>1</v>
      </c>
      <c r="M132" s="148" t="str">
        <f>INDEX(Mapping!$H:$H,MATCH($E132,Mapping!$B:$B,0))</f>
        <v>WBA ZM Ethernet</v>
      </c>
      <c r="N132" s="148" t="str">
        <f>INDEX(Mapping!$I:$I,MATCH($E132&amp;$G132,Mapping!$B:$B,0))</f>
        <v>premium</v>
      </c>
      <c r="O132" s="148" t="str">
        <f>INDEX(Mapping!$I:$I,MATCH($D132,Mapping!$B:$B,0))</f>
        <v>SDSL</v>
      </c>
      <c r="P132" s="148" t="str">
        <f>INDEX(Mapping!$H:$H,MATCH($F132,Mapping!$B:$B,0))</f>
        <v>nvt</v>
      </c>
      <c r="Q132" s="148" t="str">
        <f>INDEX(Mapping!$J:$J,MATCH($E132&amp;$G132,Mapping!$B:$B,0))</f>
        <v>metro</v>
      </c>
      <c r="R132" s="148" t="str">
        <f>INDEX(Mapping!$I:$I,MATCH($J132,Mapping!$B:$B,0))</f>
        <v>2 Mbps/2 Mbps</v>
      </c>
      <c r="T132" s="148" t="str">
        <f>INDEX(Mapping!$K:$K,MATCH($E132&amp;$G132,Mapping!$B:$B,0))</f>
        <v>metro-nationaal</v>
      </c>
      <c r="U132" s="142" t="str">
        <f t="shared" si="89"/>
        <v>WBA ZM Ethernet2 Mbps/2 Mbpspremiummetro</v>
      </c>
      <c r="W132" s="160">
        <f>MATCH($J132,'Tarieven ZM'!$B:$B,0)</f>
        <v>32</v>
      </c>
      <c r="X132" s="148">
        <f>INDEX('Tarieven ZM'!$H:$H,$W132)</f>
        <v>1000</v>
      </c>
      <c r="Y132" s="161">
        <f>-INDEX(Parameters!$B:$B,MATCH(Y$3,Parameters!$A:$A,0))*$X132</f>
        <v>0</v>
      </c>
      <c r="Z132" s="149">
        <f>-INDEX(Parameters!$B:$B,MATCH(Z$3,Parameters!$A:$A,0))*$X132</f>
        <v>0</v>
      </c>
      <c r="AA132" s="148">
        <f t="shared" si="90"/>
        <v>1000</v>
      </c>
      <c r="AB132" s="148">
        <f>AA132/INDEX(Parameters!$B:$B,MATCH("AfschrijftermijnVVE"&amp;12*$C132,Parameters!$A:$A,0))</f>
        <v>27.777777777777779</v>
      </c>
      <c r="AC132" s="148">
        <f>INDEX('Tarieven ZM'!$G:$G,$W132)</f>
        <v>1000</v>
      </c>
      <c r="AD132" s="161">
        <f>-INDEX(Parameters!$B:$B,MATCH(AD$3,Parameters!$A:$A,0))*$AC132</f>
        <v>0</v>
      </c>
      <c r="AE132" s="161">
        <f>-INDEX(Parameters!$B:$B,MATCH(AE$3,Parameters!$A:$A,0))*$AC132</f>
        <v>0</v>
      </c>
      <c r="AF132" s="148">
        <f t="shared" si="91"/>
        <v>1000</v>
      </c>
      <c r="AG132" s="151">
        <f t="shared" si="82"/>
        <v>1027.7777777777778</v>
      </c>
      <c r="AH132" s="123"/>
      <c r="AI132" s="147">
        <f>IF(R132&lt;&gt;"n.a.",MATCH($U132,'Tarieven W&amp;O'!$B:$B,0),"nvt")</f>
        <v>139</v>
      </c>
      <c r="AJ132" s="148">
        <f>IF(AI132&lt;&gt;"nvt",INDEX('Tarieven W&amp;O'!$H:$H,$AI132),0)</f>
        <v>0</v>
      </c>
      <c r="AK132" s="148">
        <f>IF(AI132&lt;&gt;"nvt",INDEX('Tarieven W&amp;O'!$I:$I,$AI132),0)</f>
        <v>5</v>
      </c>
      <c r="AL132" s="277">
        <f>IF(AI132&lt;&gt;"nvt",-INDEX(Parameters!$B:$B,MATCH(AL$3&amp;$M132,Parameters!$A:$A,0))*(AJ132+AK132),0)</f>
        <v>0</v>
      </c>
      <c r="AM132" s="442"/>
      <c r="AN132" s="262">
        <f t="shared" si="92"/>
        <v>5</v>
      </c>
      <c r="AO132" s="262">
        <f>AN132/INDEX(Parameters!$B:$B,MATCH("AfschrijftermijnVVE"&amp;12*$C132,Parameters!$A:$A,0))</f>
        <v>0.1388888888888889</v>
      </c>
      <c r="AP132" s="179">
        <f t="shared" si="93"/>
        <v>139</v>
      </c>
      <c r="AQ132" s="202">
        <f>IF(AP132&lt;&gt;"nvt",INDEX('Tarieven W&amp;O'!$G:$G,$AP132),0)</f>
        <v>14.82</v>
      </c>
      <c r="AR132" s="277">
        <f>-INDEX(Parameters!$B:$B,MATCH(AR$3&amp;$M132&amp;O132,Parameters!$A:$A,0))*(AQ132)</f>
        <v>0</v>
      </c>
      <c r="AS132" s="262">
        <f>Parameters!$D$54</f>
        <v>2</v>
      </c>
      <c r="AT132" s="442">
        <f>IF(M132="WBA CM Ethernet",0,'EDC Minus'!$H$27)</f>
        <v>1</v>
      </c>
      <c r="AU132" s="150">
        <f t="shared" si="83"/>
        <v>17.82</v>
      </c>
      <c r="AV132" s="150">
        <f t="shared" si="84"/>
        <v>17.95888888888889</v>
      </c>
      <c r="AW132" s="150"/>
      <c r="AX132" s="150">
        <f>Parameters!$B$6*AV132</f>
        <v>0.17958888888888891</v>
      </c>
      <c r="AY132" s="202">
        <v>0</v>
      </c>
      <c r="AZ132" s="202"/>
      <c r="BA132" s="150">
        <f t="shared" si="85"/>
        <v>0.17958888888888891</v>
      </c>
      <c r="BB132" s="150"/>
      <c r="BC132" s="151">
        <f t="shared" si="86"/>
        <v>18.13847777777778</v>
      </c>
      <c r="BD132" s="209"/>
      <c r="BE132" s="140">
        <f t="shared" si="79"/>
        <v>1009.6393</v>
      </c>
      <c r="BF132" s="141">
        <f t="shared" si="80"/>
        <v>0.98235175135135133</v>
      </c>
      <c r="BG132" s="142" t="b">
        <f t="shared" si="94"/>
        <v>0</v>
      </c>
      <c r="BH132" s="148"/>
      <c r="BI132" s="188" t="s">
        <v>538</v>
      </c>
      <c r="BJ132" s="189"/>
      <c r="BK132">
        <f>VLOOKUP(J132,'Tarieven ZM'!$B$7:$I$146,8,0)</f>
        <v>0</v>
      </c>
      <c r="BL132" s="179" t="str">
        <f>INDEX(Mapping!$M:$M,MATCH($J132,Mapping!$B:$B,0))</f>
        <v>nvt</v>
      </c>
      <c r="BM132" s="282">
        <v>0</v>
      </c>
      <c r="BN132" s="262">
        <f>BM132/INDEX(Parameters!$B:$B,MATCH("AfschrijftermijnVVE"&amp;12*$C132,Parameters!$A:$A,0))</f>
        <v>0</v>
      </c>
      <c r="BO132" s="262">
        <f>Parameters!$D$59+INDEX('inkoop ULL tbv Epacity'!I:I,MATCH($BL132,'inkoop ULL tbv Epacity'!H:H,0))</f>
        <v>1</v>
      </c>
      <c r="BP132" s="263">
        <f t="shared" si="95"/>
        <v>1</v>
      </c>
      <c r="BQ132" s="203"/>
      <c r="BR132" s="262">
        <f>Parameters!$B$12*AG132</f>
        <v>102.77777777777779</v>
      </c>
      <c r="BS132" s="262">
        <f>SUM(Distributievergoedingen!$F$12,Distributievergoedingen!$I$12,Distributievergoedingen!$L$12,Distributievergoedingen!$O$12)*AF132+SUM(Distributievergoedingen!$O$12*AA132+Distributievergoedingen!$R$12+Distributievergoedingen!$U$12+Distributievergoedingen!$X$12)/(MAX(36,12*L132))</f>
        <v>112.77777777777777</v>
      </c>
      <c r="BT132" s="202"/>
      <c r="BU132" s="202">
        <f t="shared" si="96"/>
        <v>215.55555555555554</v>
      </c>
      <c r="BW132" s="151">
        <f t="shared" si="97"/>
        <v>216.55555555555554</v>
      </c>
      <c r="BY132" s="140">
        <f t="shared" si="98"/>
        <v>811.22222222222229</v>
      </c>
      <c r="BZ132" s="141">
        <f t="shared" si="99"/>
        <v>0.78929729729729736</v>
      </c>
      <c r="CA132" s="142" t="b">
        <f t="shared" si="100"/>
        <v>0</v>
      </c>
    </row>
    <row r="133" spans="1:79">
      <c r="A133" s="160" t="str">
        <f t="shared" si="87"/>
        <v>3SDSLPremiumnationaal2300/2300</v>
      </c>
      <c r="B133" s="142" t="str">
        <f t="shared" si="81"/>
        <v>3SDSL2300/2300Premium</v>
      </c>
      <c r="C133" s="198">
        <v>3</v>
      </c>
      <c r="D133" s="198" t="s">
        <v>64</v>
      </c>
      <c r="E133" s="198" t="s">
        <v>70</v>
      </c>
      <c r="F133" s="198" t="s">
        <v>115</v>
      </c>
      <c r="G133" s="199" t="s">
        <v>113</v>
      </c>
      <c r="H133" s="198" t="s">
        <v>69</v>
      </c>
      <c r="J133" s="142" t="str">
        <f t="shared" si="88"/>
        <v>SDSL2300/2300Premium</v>
      </c>
      <c r="L133" s="160">
        <f>INDEX(Mapping!$J:$J,MATCH(C$3&amp;C133,Mapping!$B:$B,0))</f>
        <v>1</v>
      </c>
      <c r="M133" s="148" t="str">
        <f>INDEX(Mapping!$H:$H,MATCH($E133,Mapping!$B:$B,0))</f>
        <v>WBA ZM Ethernet</v>
      </c>
      <c r="N133" s="148" t="str">
        <f>INDEX(Mapping!$I:$I,MATCH($E133&amp;$G133,Mapping!$B:$B,0))</f>
        <v>premium</v>
      </c>
      <c r="O133" s="148" t="str">
        <f>INDEX(Mapping!$I:$I,MATCH($D133,Mapping!$B:$B,0))</f>
        <v>SDSL</v>
      </c>
      <c r="P133" s="148" t="str">
        <f>INDEX(Mapping!$H:$H,MATCH($F133,Mapping!$B:$B,0))</f>
        <v>nvt</v>
      </c>
      <c r="Q133" s="148" t="str">
        <f>INDEX(Mapping!$J:$J,MATCH($E133&amp;$G133,Mapping!$B:$B,0))</f>
        <v>metro</v>
      </c>
      <c r="R133" s="148" t="str">
        <f>INDEX(Mapping!$I:$I,MATCH($J133,Mapping!$B:$B,0))</f>
        <v>5 Mbps/5 Mbps</v>
      </c>
      <c r="T133" s="148" t="str">
        <f>INDEX(Mapping!$K:$K,MATCH($E133&amp;$G133,Mapping!$B:$B,0))</f>
        <v>metro-nationaal</v>
      </c>
      <c r="U133" s="142" t="str">
        <f t="shared" si="89"/>
        <v>WBA ZM Ethernet5 Mbps/5 Mbpspremiummetro</v>
      </c>
      <c r="W133" s="160">
        <f>MATCH($J133,'Tarieven ZM'!$B:$B,0)</f>
        <v>33</v>
      </c>
      <c r="X133" s="148">
        <f>INDEX('Tarieven ZM'!$H:$H,$W133)</f>
        <v>1000</v>
      </c>
      <c r="Y133" s="161">
        <f>-INDEX(Parameters!$B:$B,MATCH(Y$3,Parameters!$A:$A,0))*$X133</f>
        <v>0</v>
      </c>
      <c r="Z133" s="149">
        <f>-INDEX(Parameters!$B:$B,MATCH(Z$3,Parameters!$A:$A,0))*$X133</f>
        <v>0</v>
      </c>
      <c r="AA133" s="148">
        <f t="shared" si="90"/>
        <v>1000</v>
      </c>
      <c r="AB133" s="148">
        <f>AA133/INDEX(Parameters!$B:$B,MATCH("AfschrijftermijnVVE"&amp;12*$C133,Parameters!$A:$A,0))</f>
        <v>27.777777777777779</v>
      </c>
      <c r="AC133" s="148">
        <f>INDEX('Tarieven ZM'!$G:$G,$W133)</f>
        <v>1000</v>
      </c>
      <c r="AD133" s="161">
        <f>-INDEX(Parameters!$B:$B,MATCH(AD$3,Parameters!$A:$A,0))*$AC133</f>
        <v>0</v>
      </c>
      <c r="AE133" s="161">
        <f>-INDEX(Parameters!$B:$B,MATCH(AE$3,Parameters!$A:$A,0))*$AC133</f>
        <v>0</v>
      </c>
      <c r="AF133" s="148">
        <f t="shared" si="91"/>
        <v>1000</v>
      </c>
      <c r="AG133" s="151">
        <f t="shared" si="82"/>
        <v>1027.7777777777778</v>
      </c>
      <c r="AH133" s="123"/>
      <c r="AI133" s="147">
        <f>IF(R133&lt;&gt;"n.a.",MATCH($U133,'Tarieven W&amp;O'!$B:$B,0),"nvt")</f>
        <v>140</v>
      </c>
      <c r="AJ133" s="148">
        <f>IF(AI133&lt;&gt;"nvt",INDEX('Tarieven W&amp;O'!$H:$H,$AI133),0)</f>
        <v>0</v>
      </c>
      <c r="AK133" s="148">
        <f>IF(AI133&lt;&gt;"nvt",INDEX('Tarieven W&amp;O'!$I:$I,$AI133),0)</f>
        <v>5</v>
      </c>
      <c r="AL133" s="277">
        <f>IF(AI133&lt;&gt;"nvt",-INDEX(Parameters!$B:$B,MATCH(AL$3&amp;$M133,Parameters!$A:$A,0))*(AJ133+AK133),0)</f>
        <v>0</v>
      </c>
      <c r="AM133" s="442"/>
      <c r="AN133" s="262">
        <f t="shared" si="92"/>
        <v>5</v>
      </c>
      <c r="AO133" s="262">
        <f>AN133/INDEX(Parameters!$B:$B,MATCH("AfschrijftermijnVVE"&amp;12*$C133,Parameters!$A:$A,0))</f>
        <v>0.1388888888888889</v>
      </c>
      <c r="AP133" s="179">
        <f t="shared" si="93"/>
        <v>140</v>
      </c>
      <c r="AQ133" s="202">
        <f>IF(AP133&lt;&gt;"nvt",INDEX('Tarieven W&amp;O'!$G:$G,$AP133),0)</f>
        <v>18.53</v>
      </c>
      <c r="AR133" s="277">
        <f>-INDEX(Parameters!$B:$B,MATCH(AR$3&amp;$M133&amp;O133,Parameters!$A:$A,0))*(AQ133)</f>
        <v>0</v>
      </c>
      <c r="AS133" s="262">
        <f>Parameters!$D$54</f>
        <v>2</v>
      </c>
      <c r="AT133" s="442">
        <f>IF(M133="WBA CM Ethernet",0,'EDC Minus'!$H$27)</f>
        <v>1</v>
      </c>
      <c r="AU133" s="150">
        <f t="shared" si="83"/>
        <v>21.53</v>
      </c>
      <c r="AV133" s="150">
        <f t="shared" si="84"/>
        <v>21.66888888888889</v>
      </c>
      <c r="AW133" s="150"/>
      <c r="AX133" s="150">
        <f>Parameters!$B$6*AV133</f>
        <v>0.2166888888888889</v>
      </c>
      <c r="AY133" s="202">
        <v>0</v>
      </c>
      <c r="AZ133" s="202"/>
      <c r="BA133" s="150">
        <f t="shared" si="85"/>
        <v>0.2166888888888889</v>
      </c>
      <c r="BB133" s="150"/>
      <c r="BC133" s="151">
        <f t="shared" si="86"/>
        <v>21.88557777777778</v>
      </c>
      <c r="BD133" s="209"/>
      <c r="BE133" s="140">
        <f t="shared" si="79"/>
        <v>1005.8922</v>
      </c>
      <c r="BF133" s="141">
        <f t="shared" si="80"/>
        <v>0.97870592432432424</v>
      </c>
      <c r="BG133" s="142" t="b">
        <f t="shared" si="94"/>
        <v>0</v>
      </c>
      <c r="BH133" s="148"/>
      <c r="BI133" s="188" t="s">
        <v>538</v>
      </c>
      <c r="BJ133" s="189"/>
      <c r="BK133">
        <f>VLOOKUP(J133,'Tarieven ZM'!$B$7:$I$146,8,0)</f>
        <v>0</v>
      </c>
      <c r="BL133" s="179" t="str">
        <f>INDEX(Mapping!$M:$M,MATCH($J133,Mapping!$B:$B,0))</f>
        <v>nvt</v>
      </c>
      <c r="BM133" s="282">
        <v>0</v>
      </c>
      <c r="BN133" s="262">
        <f>BM133/INDEX(Parameters!$B:$B,MATCH("AfschrijftermijnVVE"&amp;12*$C133,Parameters!$A:$A,0))</f>
        <v>0</v>
      </c>
      <c r="BO133" s="262">
        <f>Parameters!$D$59+INDEX('inkoop ULL tbv Epacity'!I:I,MATCH($BL133,'inkoop ULL tbv Epacity'!H:H,0))</f>
        <v>1</v>
      </c>
      <c r="BP133" s="263">
        <f t="shared" si="95"/>
        <v>1</v>
      </c>
      <c r="BQ133" s="203"/>
      <c r="BR133" s="262">
        <f>Parameters!$B$12*AG133</f>
        <v>102.77777777777779</v>
      </c>
      <c r="BS133" s="262">
        <f>SUM(Distributievergoedingen!$F$12,Distributievergoedingen!$I$12,Distributievergoedingen!$L$12,Distributievergoedingen!$O$12)*AF133+SUM(Distributievergoedingen!$O$12*AA133+Distributievergoedingen!$R$12+Distributievergoedingen!$U$12+Distributievergoedingen!$X$12)/(MAX(36,12*L133))</f>
        <v>112.77777777777777</v>
      </c>
      <c r="BT133" s="202"/>
      <c r="BU133" s="202">
        <f t="shared" si="96"/>
        <v>215.55555555555554</v>
      </c>
      <c r="BW133" s="151">
        <f t="shared" si="97"/>
        <v>216.55555555555554</v>
      </c>
      <c r="BY133" s="140">
        <f t="shared" si="98"/>
        <v>811.22222222222229</v>
      </c>
      <c r="BZ133" s="141">
        <f t="shared" si="99"/>
        <v>0.78929729729729736</v>
      </c>
      <c r="CA133" s="142" t="b">
        <f t="shared" si="100"/>
        <v>0</v>
      </c>
    </row>
    <row r="134" spans="1:79">
      <c r="A134" s="160" t="str">
        <f t="shared" si="87"/>
        <v>3VDSLEntrynationaal10240/1024</v>
      </c>
      <c r="B134" s="142" t="str">
        <f t="shared" si="81"/>
        <v>3VDSL10240/1024Entry</v>
      </c>
      <c r="C134" s="198">
        <v>3</v>
      </c>
      <c r="D134" s="198" t="s">
        <v>77</v>
      </c>
      <c r="E134" s="198" t="s">
        <v>78</v>
      </c>
      <c r="F134" s="198" t="s">
        <v>115</v>
      </c>
      <c r="G134" s="199" t="s">
        <v>113</v>
      </c>
      <c r="H134" s="198" t="s">
        <v>85</v>
      </c>
      <c r="J134" s="142" t="str">
        <f t="shared" si="88"/>
        <v>VDSL10240/1024Entry</v>
      </c>
      <c r="L134" s="160">
        <f>INDEX(Mapping!$J:$J,MATCH(C$3&amp;C134,Mapping!$B:$B,0))</f>
        <v>1</v>
      </c>
      <c r="M134" s="148" t="str">
        <f>INDEX(Mapping!$H:$H,MATCH($E134,Mapping!$B:$B,0))</f>
        <v>WBA CM Ethernet</v>
      </c>
      <c r="N134" s="148" t="str">
        <f>INDEX(Mapping!$I:$I,MATCH($E134&amp;$G134,Mapping!$B:$B,0))</f>
        <v>entry</v>
      </c>
      <c r="O134" s="148" t="str">
        <f>INDEX(Mapping!$I:$I,MATCH($D134,Mapping!$B:$B,0))</f>
        <v>VDSL</v>
      </c>
      <c r="P134" s="148" t="str">
        <f>INDEX(Mapping!$H:$H,MATCH($F134,Mapping!$B:$B,0))</f>
        <v>nvt</v>
      </c>
      <c r="Q134" s="148" t="str">
        <f>INDEX(Mapping!$J:$J,MATCH($E134&amp;$G134,Mapping!$B:$B,0))</f>
        <v>national</v>
      </c>
      <c r="R134" s="148" t="str">
        <f>INDEX(Mapping!$I:$I,MATCH($J134,Mapping!$B:$B,0))</f>
        <v>&lt;= 20 Mbps/&lt;= 1 Mbps</v>
      </c>
      <c r="T134" s="148" t="str">
        <f>INDEX(Mapping!$K:$K,MATCH($E134&amp;$G134,Mapping!$B:$B,0))</f>
        <v>nvt</v>
      </c>
      <c r="U134" s="142" t="str">
        <f t="shared" si="89"/>
        <v>WBA CM Ethernet&lt;= 20 Mbps/&lt;= 1 Mbpsentrynational</v>
      </c>
      <c r="W134" s="160">
        <f>MATCH($J134,'Tarieven ZM'!$B:$B,0)</f>
        <v>34</v>
      </c>
      <c r="X134" s="148">
        <f>INDEX('Tarieven ZM'!$H:$H,$W134)</f>
        <v>1000</v>
      </c>
      <c r="Y134" s="161">
        <f>-INDEX(Parameters!$B:$B,MATCH(Y$3,Parameters!$A:$A,0))*$X134</f>
        <v>0</v>
      </c>
      <c r="Z134" s="149">
        <f>-INDEX(Parameters!$B:$B,MATCH(Z$3,Parameters!$A:$A,0))*$X134</f>
        <v>0</v>
      </c>
      <c r="AA134" s="148">
        <f t="shared" si="90"/>
        <v>1000</v>
      </c>
      <c r="AB134" s="148">
        <f>AA134/INDEX(Parameters!$B:$B,MATCH("AfschrijftermijnVVE"&amp;12*$C134,Parameters!$A:$A,0))</f>
        <v>27.777777777777779</v>
      </c>
      <c r="AC134" s="148">
        <f>INDEX('Tarieven ZM'!$G:$G,$W134)</f>
        <v>1000</v>
      </c>
      <c r="AD134" s="161">
        <f>-INDEX(Parameters!$B:$B,MATCH(AD$3,Parameters!$A:$A,0))*$AC134</f>
        <v>0</v>
      </c>
      <c r="AE134" s="161">
        <f>-INDEX(Parameters!$B:$B,MATCH(AE$3,Parameters!$A:$A,0))*$AC134</f>
        <v>0</v>
      </c>
      <c r="AF134" s="148">
        <f t="shared" si="91"/>
        <v>1000</v>
      </c>
      <c r="AG134" s="151">
        <f t="shared" si="82"/>
        <v>1027.7777777777778</v>
      </c>
      <c r="AH134" s="123"/>
      <c r="AI134" s="147">
        <f>IF(R134&lt;&gt;"n.a.",MATCH($U134,'Tarieven W&amp;O'!$B:$B,0),"nvt")</f>
        <v>119</v>
      </c>
      <c r="AJ134" s="148">
        <f>IF(AI134&lt;&gt;"nvt",INDEX('Tarieven W&amp;O'!$H:$H,$AI134),0)</f>
        <v>0</v>
      </c>
      <c r="AK134" s="148">
        <f>IF(AI134&lt;&gt;"nvt",INDEX('Tarieven W&amp;O'!$I:$I,$AI134),0)</f>
        <v>5</v>
      </c>
      <c r="AL134" s="277">
        <f>IF(AI134&lt;&gt;"nvt",-INDEX(Parameters!$B:$B,MATCH(AL$3&amp;$M134,Parameters!$A:$A,0))*(AJ134+AK134),0)</f>
        <v>0</v>
      </c>
      <c r="AM134" s="442"/>
      <c r="AN134" s="262">
        <f t="shared" si="92"/>
        <v>5</v>
      </c>
      <c r="AO134" s="262">
        <f>AN134/INDEX(Parameters!$B:$B,MATCH("AfschrijftermijnVVE"&amp;12*$C134,Parameters!$A:$A,0))</f>
        <v>0.1388888888888889</v>
      </c>
      <c r="AP134" s="179">
        <f t="shared" si="93"/>
        <v>119</v>
      </c>
      <c r="AQ134" s="202">
        <f>IF(AP134&lt;&gt;"nvt",INDEX('Tarieven W&amp;O'!$G:$G,$AP134),0)</f>
        <v>3.02</v>
      </c>
      <c r="AR134" s="277">
        <f>-INDEX(Parameters!$B:$B,MATCH(AR$3&amp;$M134&amp;O134,Parameters!$A:$A,0))*(AQ134)</f>
        <v>-0.30200000000000005</v>
      </c>
      <c r="AS134" s="262">
        <f>Parameters!$D$54</f>
        <v>2</v>
      </c>
      <c r="AT134" s="442">
        <f>IF(M134="WBA CM Ethernet",0,'EDC Minus'!$H$27)</f>
        <v>0</v>
      </c>
      <c r="AU134" s="150">
        <f t="shared" si="83"/>
        <v>4.718</v>
      </c>
      <c r="AV134" s="150">
        <f t="shared" si="84"/>
        <v>4.8568888888888893</v>
      </c>
      <c r="AW134" s="150"/>
      <c r="AX134" s="150">
        <f>Parameters!$B$6*AV134</f>
        <v>4.8568888888888891E-2</v>
      </c>
      <c r="AY134" s="202">
        <v>0</v>
      </c>
      <c r="AZ134" s="202"/>
      <c r="BA134" s="150">
        <f t="shared" si="85"/>
        <v>4.8568888888888891E-2</v>
      </c>
      <c r="BB134" s="150"/>
      <c r="BC134" s="151">
        <f t="shared" si="86"/>
        <v>4.9054577777777784</v>
      </c>
      <c r="BD134" s="209"/>
      <c r="BE134" s="140">
        <f t="shared" si="79"/>
        <v>1022.8723200000001</v>
      </c>
      <c r="BF134" s="141">
        <f t="shared" si="80"/>
        <v>0.99522712216216214</v>
      </c>
      <c r="BG134" s="142" t="b">
        <f t="shared" si="94"/>
        <v>0</v>
      </c>
      <c r="BH134" s="148"/>
      <c r="BI134" s="188" t="s">
        <v>538</v>
      </c>
      <c r="BJ134" s="189"/>
      <c r="BK134">
        <f>VLOOKUP(J134,'Tarieven ZM'!$B$7:$I$146,8,0)</f>
        <v>0</v>
      </c>
      <c r="BL134" s="179" t="str">
        <f>INDEX(Mapping!$M:$M,MATCH($J134,Mapping!$B:$B,0))</f>
        <v>nvt</v>
      </c>
      <c r="BM134" s="282">
        <v>0</v>
      </c>
      <c r="BN134" s="262">
        <f>BM134/INDEX(Parameters!$B:$B,MATCH("AfschrijftermijnVVE"&amp;12*$C134,Parameters!$A:$A,0))</f>
        <v>0</v>
      </c>
      <c r="BO134" s="262">
        <f>Parameters!$D$59+INDEX('inkoop ULL tbv Epacity'!I:I,MATCH($BL134,'inkoop ULL tbv Epacity'!H:H,0))</f>
        <v>1</v>
      </c>
      <c r="BP134" s="263">
        <f t="shared" si="95"/>
        <v>1</v>
      </c>
      <c r="BQ134" s="203"/>
      <c r="BR134" s="262">
        <f>Parameters!$B$12*AG134</f>
        <v>102.77777777777779</v>
      </c>
      <c r="BS134" s="262">
        <f>SUM(Distributievergoedingen!$F$12,Distributievergoedingen!$I$12,Distributievergoedingen!$L$12,Distributievergoedingen!$O$12)*AF134+SUM(Distributievergoedingen!$O$12*AA134+Distributievergoedingen!$R$12+Distributievergoedingen!$U$12+Distributievergoedingen!$X$12)/(MAX(36,12*L134))</f>
        <v>112.77777777777777</v>
      </c>
      <c r="BT134" s="202"/>
      <c r="BU134" s="202">
        <f t="shared" si="96"/>
        <v>215.55555555555554</v>
      </c>
      <c r="BW134" s="151">
        <f t="shared" si="97"/>
        <v>216.55555555555554</v>
      </c>
      <c r="BY134" s="140">
        <f t="shared" si="98"/>
        <v>811.22222222222229</v>
      </c>
      <c r="BZ134" s="141">
        <f t="shared" si="99"/>
        <v>0.78929729729729736</v>
      </c>
      <c r="CA134" s="142" t="b">
        <f t="shared" si="100"/>
        <v>0</v>
      </c>
    </row>
    <row r="135" spans="1:79">
      <c r="A135" s="160" t="str">
        <f t="shared" si="87"/>
        <v>3VDSLEntrynationaal20480/2048</v>
      </c>
      <c r="B135" s="142" t="str">
        <f t="shared" si="81"/>
        <v>3VDSL20480/2048Entry</v>
      </c>
      <c r="C135" s="198">
        <v>3</v>
      </c>
      <c r="D135" s="198" t="s">
        <v>77</v>
      </c>
      <c r="E135" s="198" t="s">
        <v>78</v>
      </c>
      <c r="F135" s="198" t="s">
        <v>115</v>
      </c>
      <c r="G135" s="199" t="s">
        <v>113</v>
      </c>
      <c r="H135" s="198" t="s">
        <v>86</v>
      </c>
      <c r="J135" s="142" t="str">
        <f t="shared" si="88"/>
        <v>VDSL20480/2048Entry</v>
      </c>
      <c r="L135" s="160">
        <f>INDEX(Mapping!$J:$J,MATCH(C$3&amp;C135,Mapping!$B:$B,0))</f>
        <v>1</v>
      </c>
      <c r="M135" s="148" t="str">
        <f>INDEX(Mapping!$H:$H,MATCH($E135,Mapping!$B:$B,0))</f>
        <v>WBA CM Ethernet</v>
      </c>
      <c r="N135" s="148" t="str">
        <f>INDEX(Mapping!$I:$I,MATCH($E135&amp;$G135,Mapping!$B:$B,0))</f>
        <v>entry</v>
      </c>
      <c r="O135" s="148" t="str">
        <f>INDEX(Mapping!$I:$I,MATCH($D135,Mapping!$B:$B,0))</f>
        <v>VDSL</v>
      </c>
      <c r="P135" s="148" t="str">
        <f>INDEX(Mapping!$H:$H,MATCH($F135,Mapping!$B:$B,0))</f>
        <v>nvt</v>
      </c>
      <c r="Q135" s="148" t="str">
        <f>INDEX(Mapping!$J:$J,MATCH($E135&amp;$G135,Mapping!$B:$B,0))</f>
        <v>national</v>
      </c>
      <c r="R135" s="148" t="str">
        <f>INDEX(Mapping!$I:$I,MATCH($J135,Mapping!$B:$B,0))</f>
        <v>&lt;= 20 Mbps/&lt;= 1 Mbps</v>
      </c>
      <c r="T135" s="148" t="str">
        <f>INDEX(Mapping!$K:$K,MATCH($E135&amp;$G135,Mapping!$B:$B,0))</f>
        <v>nvt</v>
      </c>
      <c r="U135" s="142" t="str">
        <f t="shared" si="89"/>
        <v>WBA CM Ethernet&lt;= 20 Mbps/&lt;= 1 Mbpsentrynational</v>
      </c>
      <c r="W135" s="160">
        <f>MATCH($J135,'Tarieven ZM'!$B:$B,0)</f>
        <v>35</v>
      </c>
      <c r="X135" s="148">
        <f>INDEX('Tarieven ZM'!$H:$H,$W135)</f>
        <v>1000</v>
      </c>
      <c r="Y135" s="161">
        <f>-INDEX(Parameters!$B:$B,MATCH(Y$3,Parameters!$A:$A,0))*$X135</f>
        <v>0</v>
      </c>
      <c r="Z135" s="149">
        <f>-INDEX(Parameters!$B:$B,MATCH(Z$3,Parameters!$A:$A,0))*$X135</f>
        <v>0</v>
      </c>
      <c r="AA135" s="148">
        <f t="shared" si="90"/>
        <v>1000</v>
      </c>
      <c r="AB135" s="148">
        <f>AA135/INDEX(Parameters!$B:$B,MATCH("AfschrijftermijnVVE"&amp;12*$C135,Parameters!$A:$A,0))</f>
        <v>27.777777777777779</v>
      </c>
      <c r="AC135" s="148">
        <f>INDEX('Tarieven ZM'!$G:$G,$W135)</f>
        <v>1000</v>
      </c>
      <c r="AD135" s="161">
        <f>-INDEX(Parameters!$B:$B,MATCH(AD$3,Parameters!$A:$A,0))*$AC135</f>
        <v>0</v>
      </c>
      <c r="AE135" s="161">
        <f>-INDEX(Parameters!$B:$B,MATCH(AE$3,Parameters!$A:$A,0))*$AC135</f>
        <v>0</v>
      </c>
      <c r="AF135" s="148">
        <f t="shared" si="91"/>
        <v>1000</v>
      </c>
      <c r="AG135" s="151">
        <f t="shared" si="82"/>
        <v>1027.7777777777778</v>
      </c>
      <c r="AH135" s="123"/>
      <c r="AI135" s="147">
        <f>IF(R135&lt;&gt;"n.a.",MATCH($U135,'Tarieven W&amp;O'!$B:$B,0),"nvt")</f>
        <v>119</v>
      </c>
      <c r="AJ135" s="148">
        <f>IF(AI135&lt;&gt;"nvt",INDEX('Tarieven W&amp;O'!$H:$H,$AI135),0)</f>
        <v>0</v>
      </c>
      <c r="AK135" s="148">
        <f>IF(AI135&lt;&gt;"nvt",INDEX('Tarieven W&amp;O'!$I:$I,$AI135),0)</f>
        <v>5</v>
      </c>
      <c r="AL135" s="277">
        <f>IF(AI135&lt;&gt;"nvt",-INDEX(Parameters!$B:$B,MATCH(AL$3&amp;$M135,Parameters!$A:$A,0))*(AJ135+AK135),0)</f>
        <v>0</v>
      </c>
      <c r="AM135" s="442"/>
      <c r="AN135" s="262">
        <f t="shared" si="92"/>
        <v>5</v>
      </c>
      <c r="AO135" s="262">
        <f>AN135/INDEX(Parameters!$B:$B,MATCH("AfschrijftermijnVVE"&amp;12*$C135,Parameters!$A:$A,0))</f>
        <v>0.1388888888888889</v>
      </c>
      <c r="AP135" s="179">
        <f t="shared" si="93"/>
        <v>119</v>
      </c>
      <c r="AQ135" s="202">
        <f>IF(AP135&lt;&gt;"nvt",INDEX('Tarieven W&amp;O'!$G:$G,$AP135),0)</f>
        <v>3.02</v>
      </c>
      <c r="AR135" s="277">
        <f>-INDEX(Parameters!$B:$B,MATCH(AR$3&amp;$M135&amp;O135,Parameters!$A:$A,0))*(AQ135)</f>
        <v>-0.30200000000000005</v>
      </c>
      <c r="AS135" s="262">
        <f>Parameters!$D$54</f>
        <v>2</v>
      </c>
      <c r="AT135" s="442">
        <f>IF(M135="WBA CM Ethernet",0,'EDC Minus'!$H$27)</f>
        <v>0</v>
      </c>
      <c r="AU135" s="150">
        <f t="shared" si="83"/>
        <v>4.718</v>
      </c>
      <c r="AV135" s="150">
        <f t="shared" si="84"/>
        <v>4.8568888888888893</v>
      </c>
      <c r="AW135" s="150"/>
      <c r="AX135" s="150">
        <f>Parameters!$B$6*AV135</f>
        <v>4.8568888888888891E-2</v>
      </c>
      <c r="AY135" s="202">
        <v>0</v>
      </c>
      <c r="AZ135" s="202"/>
      <c r="BA135" s="150">
        <f t="shared" si="85"/>
        <v>4.8568888888888891E-2</v>
      </c>
      <c r="BB135" s="150"/>
      <c r="BC135" s="151">
        <f t="shared" si="86"/>
        <v>4.9054577777777784</v>
      </c>
      <c r="BD135" s="209"/>
      <c r="BE135" s="140">
        <f t="shared" si="79"/>
        <v>1022.8723200000001</v>
      </c>
      <c r="BF135" s="141">
        <f t="shared" si="80"/>
        <v>0.99522712216216214</v>
      </c>
      <c r="BG135" s="142" t="b">
        <f t="shared" si="94"/>
        <v>0</v>
      </c>
      <c r="BH135" s="148"/>
      <c r="BI135" s="188" t="s">
        <v>538</v>
      </c>
      <c r="BJ135" s="189"/>
      <c r="BK135">
        <f>VLOOKUP(J135,'Tarieven ZM'!$B$7:$I$146,8,0)</f>
        <v>0</v>
      </c>
      <c r="BL135" s="179" t="str">
        <f>INDEX(Mapping!$M:$M,MATCH($J135,Mapping!$B:$B,0))</f>
        <v>nvt</v>
      </c>
      <c r="BM135" s="282">
        <v>0</v>
      </c>
      <c r="BN135" s="262">
        <f>BM135/INDEX(Parameters!$B:$B,MATCH("AfschrijftermijnVVE"&amp;12*$C135,Parameters!$A:$A,0))</f>
        <v>0</v>
      </c>
      <c r="BO135" s="262">
        <f>Parameters!$D$59+INDEX('inkoop ULL tbv Epacity'!I:I,MATCH($BL135,'inkoop ULL tbv Epacity'!H:H,0))</f>
        <v>1</v>
      </c>
      <c r="BP135" s="263">
        <f t="shared" si="95"/>
        <v>1</v>
      </c>
      <c r="BQ135" s="203"/>
      <c r="BR135" s="262">
        <f>Parameters!$B$12*AG135</f>
        <v>102.77777777777779</v>
      </c>
      <c r="BS135" s="262">
        <f>SUM(Distributievergoedingen!$F$12,Distributievergoedingen!$I$12,Distributievergoedingen!$L$12,Distributievergoedingen!$O$12)*AF135+SUM(Distributievergoedingen!$O$12*AA135+Distributievergoedingen!$R$12+Distributievergoedingen!$U$12+Distributievergoedingen!$X$12)/(MAX(36,12*L135))</f>
        <v>112.77777777777777</v>
      </c>
      <c r="BT135" s="202"/>
      <c r="BU135" s="202">
        <f t="shared" si="96"/>
        <v>215.55555555555554</v>
      </c>
      <c r="BW135" s="151">
        <f t="shared" si="97"/>
        <v>216.55555555555554</v>
      </c>
      <c r="BY135" s="140">
        <f t="shared" si="98"/>
        <v>811.22222222222229</v>
      </c>
      <c r="BZ135" s="141">
        <f t="shared" si="99"/>
        <v>0.78929729729729736</v>
      </c>
      <c r="CA135" s="142" t="b">
        <f t="shared" si="100"/>
        <v>0</v>
      </c>
    </row>
    <row r="136" spans="1:79">
      <c r="A136" s="160" t="str">
        <f t="shared" si="87"/>
        <v>3VDSLEntrynationaal30372/3072</v>
      </c>
      <c r="B136" s="142" t="str">
        <f t="shared" si="81"/>
        <v>3VDSL30372/3072Entry</v>
      </c>
      <c r="C136" s="198">
        <v>3</v>
      </c>
      <c r="D136" s="198" t="s">
        <v>77</v>
      </c>
      <c r="E136" s="198" t="s">
        <v>78</v>
      </c>
      <c r="F136" s="198" t="s">
        <v>115</v>
      </c>
      <c r="G136" s="199" t="s">
        <v>113</v>
      </c>
      <c r="H136" s="198" t="s">
        <v>87</v>
      </c>
      <c r="J136" s="142" t="str">
        <f t="shared" si="88"/>
        <v>VDSL30372/3072Entry</v>
      </c>
      <c r="L136" s="160">
        <f>INDEX(Mapping!$J:$J,MATCH(C$3&amp;C136,Mapping!$B:$B,0))</f>
        <v>1</v>
      </c>
      <c r="M136" s="148" t="str">
        <f>INDEX(Mapping!$H:$H,MATCH($E136,Mapping!$B:$B,0))</f>
        <v>WBA CM Ethernet</v>
      </c>
      <c r="N136" s="148" t="str">
        <f>INDEX(Mapping!$I:$I,MATCH($E136&amp;$G136,Mapping!$B:$B,0))</f>
        <v>entry</v>
      </c>
      <c r="O136" s="148" t="str">
        <f>INDEX(Mapping!$I:$I,MATCH($D136,Mapping!$B:$B,0))</f>
        <v>VDSL</v>
      </c>
      <c r="P136" s="148" t="str">
        <f>INDEX(Mapping!$H:$H,MATCH($F136,Mapping!$B:$B,0))</f>
        <v>nvt</v>
      </c>
      <c r="Q136" s="148" t="str">
        <f>INDEX(Mapping!$J:$J,MATCH($E136&amp;$G136,Mapping!$B:$B,0))</f>
        <v>national</v>
      </c>
      <c r="R136" s="148" t="str">
        <f>INDEX(Mapping!$I:$I,MATCH($J136,Mapping!$B:$B,0))</f>
        <v>&lt;= 30 Mbps/&lt;= 3 Mbps</v>
      </c>
      <c r="T136" s="148" t="str">
        <f>INDEX(Mapping!$K:$K,MATCH($E136&amp;$G136,Mapping!$B:$B,0))</f>
        <v>nvt</v>
      </c>
      <c r="U136" s="142" t="str">
        <f t="shared" si="89"/>
        <v>WBA CM Ethernet&lt;= 30 Mbps/&lt;= 3 Mbpsentrynational</v>
      </c>
      <c r="W136" s="160">
        <f>MATCH($J136,'Tarieven ZM'!$B:$B,0)</f>
        <v>36</v>
      </c>
      <c r="X136" s="148">
        <f>INDEX('Tarieven ZM'!$H:$H,$W136)</f>
        <v>1000</v>
      </c>
      <c r="Y136" s="161">
        <f>-INDEX(Parameters!$B:$B,MATCH(Y$3,Parameters!$A:$A,0))*$X136</f>
        <v>0</v>
      </c>
      <c r="Z136" s="149">
        <f>-INDEX(Parameters!$B:$B,MATCH(Z$3,Parameters!$A:$A,0))*$X136</f>
        <v>0</v>
      </c>
      <c r="AA136" s="148">
        <f t="shared" si="90"/>
        <v>1000</v>
      </c>
      <c r="AB136" s="148">
        <f>AA136/INDEX(Parameters!$B:$B,MATCH("AfschrijftermijnVVE"&amp;12*$C136,Parameters!$A:$A,0))</f>
        <v>27.777777777777779</v>
      </c>
      <c r="AC136" s="148">
        <f>INDEX('Tarieven ZM'!$G:$G,$W136)</f>
        <v>1000</v>
      </c>
      <c r="AD136" s="161">
        <f>-INDEX(Parameters!$B:$B,MATCH(AD$3,Parameters!$A:$A,0))*$AC136</f>
        <v>0</v>
      </c>
      <c r="AE136" s="161">
        <f>-INDEX(Parameters!$B:$B,MATCH(AE$3,Parameters!$A:$A,0))*$AC136</f>
        <v>0</v>
      </c>
      <c r="AF136" s="148">
        <f t="shared" si="91"/>
        <v>1000</v>
      </c>
      <c r="AG136" s="151">
        <f t="shared" si="82"/>
        <v>1027.7777777777778</v>
      </c>
      <c r="AH136" s="123"/>
      <c r="AI136" s="147">
        <f>IF(R136&lt;&gt;"n.a.",MATCH($U136,'Tarieven W&amp;O'!$B:$B,0),"nvt")</f>
        <v>121</v>
      </c>
      <c r="AJ136" s="148">
        <f>IF(AI136&lt;&gt;"nvt",INDEX('Tarieven W&amp;O'!$H:$H,$AI136),0)</f>
        <v>0</v>
      </c>
      <c r="AK136" s="148">
        <f>IF(AI136&lt;&gt;"nvt",INDEX('Tarieven W&amp;O'!$I:$I,$AI136),0)</f>
        <v>5</v>
      </c>
      <c r="AL136" s="277">
        <f>IF(AI136&lt;&gt;"nvt",-INDEX(Parameters!$B:$B,MATCH(AL$3&amp;$M136,Parameters!$A:$A,0))*(AJ136+AK136),0)</f>
        <v>0</v>
      </c>
      <c r="AM136" s="442"/>
      <c r="AN136" s="262">
        <f t="shared" si="92"/>
        <v>5</v>
      </c>
      <c r="AO136" s="262">
        <f>AN136/INDEX(Parameters!$B:$B,MATCH("AfschrijftermijnVVE"&amp;12*$C136,Parameters!$A:$A,0))</f>
        <v>0.1388888888888889</v>
      </c>
      <c r="AP136" s="179">
        <f t="shared" si="93"/>
        <v>121</v>
      </c>
      <c r="AQ136" s="202">
        <f>IF(AP136&lt;&gt;"nvt",INDEX('Tarieven W&amp;O'!$G:$G,$AP136),0)</f>
        <v>3.02</v>
      </c>
      <c r="AR136" s="277">
        <f>-INDEX(Parameters!$B:$B,MATCH(AR$3&amp;$M136&amp;O136,Parameters!$A:$A,0))*(AQ136)</f>
        <v>-0.30200000000000005</v>
      </c>
      <c r="AS136" s="262">
        <f>Parameters!$D$54</f>
        <v>2</v>
      </c>
      <c r="AT136" s="442">
        <f>IF(M136="WBA CM Ethernet",0,'EDC Minus'!$H$27)</f>
        <v>0</v>
      </c>
      <c r="AU136" s="150">
        <f t="shared" si="83"/>
        <v>4.718</v>
      </c>
      <c r="AV136" s="150">
        <f t="shared" si="84"/>
        <v>4.8568888888888893</v>
      </c>
      <c r="AW136" s="150"/>
      <c r="AX136" s="150">
        <f>Parameters!$B$6*AV136</f>
        <v>4.8568888888888891E-2</v>
      </c>
      <c r="AY136" s="202">
        <v>0</v>
      </c>
      <c r="AZ136" s="202"/>
      <c r="BA136" s="150">
        <f t="shared" si="85"/>
        <v>4.8568888888888891E-2</v>
      </c>
      <c r="BB136" s="150"/>
      <c r="BC136" s="151">
        <f t="shared" si="86"/>
        <v>4.9054577777777784</v>
      </c>
      <c r="BD136" s="209"/>
      <c r="BE136" s="140">
        <f t="shared" ref="BE136:BE159" si="101">AG136-BC136</f>
        <v>1022.8723200000001</v>
      </c>
      <c r="BF136" s="141">
        <f t="shared" ref="BF136:BF159" si="102">IF(AG136=0,-999%,BE136/AG136)</f>
        <v>0.99522712216216214</v>
      </c>
      <c r="BG136" s="142" t="b">
        <f t="shared" si="94"/>
        <v>0</v>
      </c>
      <c r="BH136" s="148"/>
      <c r="BI136" s="188" t="s">
        <v>538</v>
      </c>
      <c r="BJ136" s="189"/>
      <c r="BK136">
        <f>VLOOKUP(J136,'Tarieven ZM'!$B$7:$I$146,8,0)</f>
        <v>0</v>
      </c>
      <c r="BL136" s="179" t="str">
        <f>INDEX(Mapping!$M:$M,MATCH($J136,Mapping!$B:$B,0))</f>
        <v>nvt</v>
      </c>
      <c r="BM136" s="282">
        <v>0</v>
      </c>
      <c r="BN136" s="262">
        <f>BM136/INDEX(Parameters!$B:$B,MATCH("AfschrijftermijnVVE"&amp;12*$C136,Parameters!$A:$A,0))</f>
        <v>0</v>
      </c>
      <c r="BO136" s="262">
        <f>Parameters!$D$59+INDEX('inkoop ULL tbv Epacity'!I:I,MATCH($BL136,'inkoop ULL tbv Epacity'!H:H,0))</f>
        <v>1</v>
      </c>
      <c r="BP136" s="263">
        <f t="shared" si="95"/>
        <v>1</v>
      </c>
      <c r="BQ136" s="203"/>
      <c r="BR136" s="262">
        <f>Parameters!$B$12*AG136</f>
        <v>102.77777777777779</v>
      </c>
      <c r="BS136" s="262">
        <f>SUM(Distributievergoedingen!$F$12,Distributievergoedingen!$I$12,Distributievergoedingen!$L$12,Distributievergoedingen!$O$12)*AF136+SUM(Distributievergoedingen!$O$12*AA136+Distributievergoedingen!$R$12+Distributievergoedingen!$U$12+Distributievergoedingen!$X$12)/(MAX(36,12*L136))</f>
        <v>112.77777777777777</v>
      </c>
      <c r="BT136" s="202"/>
      <c r="BU136" s="202">
        <f t="shared" si="96"/>
        <v>215.55555555555554</v>
      </c>
      <c r="BW136" s="151">
        <f t="shared" si="97"/>
        <v>216.55555555555554</v>
      </c>
      <c r="BY136" s="140">
        <f t="shared" si="98"/>
        <v>811.22222222222229</v>
      </c>
      <c r="BZ136" s="141">
        <f t="shared" si="99"/>
        <v>0.78929729729729736</v>
      </c>
      <c r="CA136" s="142" t="b">
        <f t="shared" si="100"/>
        <v>0</v>
      </c>
    </row>
    <row r="137" spans="1:79">
      <c r="A137" s="160" t="str">
        <f t="shared" si="87"/>
        <v>3VDSLEntrynationaal51200/5120</v>
      </c>
      <c r="B137" s="142" t="str">
        <f t="shared" ref="B137:B159" si="103">C137&amp;D137&amp;H137&amp;E137</f>
        <v>3VDSL51200/5120Entry</v>
      </c>
      <c r="C137" s="198">
        <v>3</v>
      </c>
      <c r="D137" s="198" t="s">
        <v>77</v>
      </c>
      <c r="E137" s="198" t="s">
        <v>78</v>
      </c>
      <c r="F137" s="198" t="s">
        <v>115</v>
      </c>
      <c r="G137" s="199" t="s">
        <v>113</v>
      </c>
      <c r="H137" s="198" t="s">
        <v>88</v>
      </c>
      <c r="J137" s="142" t="str">
        <f t="shared" si="88"/>
        <v>VDSL51200/5120Entry</v>
      </c>
      <c r="L137" s="160">
        <f>INDEX(Mapping!$J:$J,MATCH(C$3&amp;C137,Mapping!$B:$B,0))</f>
        <v>1</v>
      </c>
      <c r="M137" s="148" t="str">
        <f>INDEX(Mapping!$H:$H,MATCH($E137,Mapping!$B:$B,0))</f>
        <v>WBA CM Ethernet</v>
      </c>
      <c r="N137" s="148" t="str">
        <f>INDEX(Mapping!$I:$I,MATCH($E137&amp;$G137,Mapping!$B:$B,0))</f>
        <v>entry</v>
      </c>
      <c r="O137" s="148" t="str">
        <f>INDEX(Mapping!$I:$I,MATCH($D137,Mapping!$B:$B,0))</f>
        <v>VDSL</v>
      </c>
      <c r="P137" s="148" t="str">
        <f>INDEX(Mapping!$H:$H,MATCH($F137,Mapping!$B:$B,0))</f>
        <v>nvt</v>
      </c>
      <c r="Q137" s="148" t="str">
        <f>INDEX(Mapping!$J:$J,MATCH($E137&amp;$G137,Mapping!$B:$B,0))</f>
        <v>national</v>
      </c>
      <c r="R137" s="148" t="str">
        <f>INDEX(Mapping!$I:$I,MATCH($J137,Mapping!$B:$B,0))</f>
        <v>&lt;= 50 Mbps/&lt;= 10 Mbps</v>
      </c>
      <c r="T137" s="148" t="str">
        <f>INDEX(Mapping!$K:$K,MATCH($E137&amp;$G137,Mapping!$B:$B,0))</f>
        <v>nvt</v>
      </c>
      <c r="U137" s="142" t="str">
        <f t="shared" si="89"/>
        <v>WBA CM Ethernet&lt;= 50 Mbps/&lt;= 10 Mbpsentrynational</v>
      </c>
      <c r="W137" s="160">
        <f>MATCH($J137,'Tarieven ZM'!$B:$B,0)</f>
        <v>37</v>
      </c>
      <c r="X137" s="148">
        <f>INDEX('Tarieven ZM'!$H:$H,$W137)</f>
        <v>1000</v>
      </c>
      <c r="Y137" s="161">
        <f>-INDEX(Parameters!$B:$B,MATCH(Y$3,Parameters!$A:$A,0))*$X137</f>
        <v>0</v>
      </c>
      <c r="Z137" s="149">
        <f>-INDEX(Parameters!$B:$B,MATCH(Z$3,Parameters!$A:$A,0))*$X137</f>
        <v>0</v>
      </c>
      <c r="AA137" s="148">
        <f t="shared" si="90"/>
        <v>1000</v>
      </c>
      <c r="AB137" s="148">
        <f>AA137/INDEX(Parameters!$B:$B,MATCH("AfschrijftermijnVVE"&amp;12*$C137,Parameters!$A:$A,0))</f>
        <v>27.777777777777779</v>
      </c>
      <c r="AC137" s="148">
        <f>INDEX('Tarieven ZM'!$G:$G,$W137)</f>
        <v>1000</v>
      </c>
      <c r="AD137" s="161">
        <f>-INDEX(Parameters!$B:$B,MATCH(AD$3,Parameters!$A:$A,0))*$AC137</f>
        <v>0</v>
      </c>
      <c r="AE137" s="161">
        <f>-INDEX(Parameters!$B:$B,MATCH(AE$3,Parameters!$A:$A,0))*$AC137</f>
        <v>0</v>
      </c>
      <c r="AF137" s="148">
        <f t="shared" si="91"/>
        <v>1000</v>
      </c>
      <c r="AG137" s="151">
        <f t="shared" ref="AG137:AG159" si="104">SUM(AB137,AF137)</f>
        <v>1027.7777777777778</v>
      </c>
      <c r="AH137" s="123"/>
      <c r="AI137" s="147">
        <f>IF(R137&lt;&gt;"n.a.",MATCH($U137,'Tarieven W&amp;O'!$B:$B,0),"nvt")</f>
        <v>122</v>
      </c>
      <c r="AJ137" s="148">
        <f>IF(AI137&lt;&gt;"nvt",INDEX('Tarieven W&amp;O'!$H:$H,$AI137),0)</f>
        <v>0</v>
      </c>
      <c r="AK137" s="148">
        <f>IF(AI137&lt;&gt;"nvt",INDEX('Tarieven W&amp;O'!$I:$I,$AI137),0)</f>
        <v>5</v>
      </c>
      <c r="AL137" s="277">
        <f>IF(AI137&lt;&gt;"nvt",-INDEX(Parameters!$B:$B,MATCH(AL$3&amp;$M137,Parameters!$A:$A,0))*(AJ137+AK137),0)</f>
        <v>0</v>
      </c>
      <c r="AM137" s="442"/>
      <c r="AN137" s="262">
        <f t="shared" si="92"/>
        <v>5</v>
      </c>
      <c r="AO137" s="262">
        <f>AN137/INDEX(Parameters!$B:$B,MATCH("AfschrijftermijnVVE"&amp;12*$C137,Parameters!$A:$A,0))</f>
        <v>0.1388888888888889</v>
      </c>
      <c r="AP137" s="179">
        <f t="shared" si="93"/>
        <v>122</v>
      </c>
      <c r="AQ137" s="202">
        <f>IF(AP137&lt;&gt;"nvt",INDEX('Tarieven W&amp;O'!$G:$G,$AP137),0)</f>
        <v>3.52</v>
      </c>
      <c r="AR137" s="277">
        <f>-INDEX(Parameters!$B:$B,MATCH(AR$3&amp;$M137&amp;O137,Parameters!$A:$A,0))*(AQ137)</f>
        <v>-0.35200000000000004</v>
      </c>
      <c r="AS137" s="262">
        <f>Parameters!$D$54</f>
        <v>2</v>
      </c>
      <c r="AT137" s="442">
        <f>IF(M137="WBA CM Ethernet",0,'EDC Minus'!$H$27)</f>
        <v>0</v>
      </c>
      <c r="AU137" s="150">
        <f t="shared" ref="AU137:AU159" si="105">SUM(AQ137:AT137)</f>
        <v>5.1680000000000001</v>
      </c>
      <c r="AV137" s="150">
        <f t="shared" ref="AV137:AV159" si="106">SUM(AO137,AU137)</f>
        <v>5.3068888888888894</v>
      </c>
      <c r="AW137" s="150"/>
      <c r="AX137" s="150">
        <f>Parameters!$B$6*AV137</f>
        <v>5.3068888888888895E-2</v>
      </c>
      <c r="AY137" s="202">
        <v>0</v>
      </c>
      <c r="AZ137" s="202"/>
      <c r="BA137" s="150">
        <f t="shared" ref="BA137:BA159" si="107">SUM(AX137:AZ137)</f>
        <v>5.3068888888888895E-2</v>
      </c>
      <c r="BB137" s="150"/>
      <c r="BC137" s="151">
        <f t="shared" ref="BC137:BC159" si="108">SUM(AV137,BA137)</f>
        <v>5.3599577777777787</v>
      </c>
      <c r="BD137" s="209"/>
      <c r="BE137" s="140">
        <f t="shared" si="101"/>
        <v>1022.41782</v>
      </c>
      <c r="BF137" s="141">
        <f t="shared" si="102"/>
        <v>0.99478490594594593</v>
      </c>
      <c r="BG137" s="142" t="b">
        <f t="shared" si="94"/>
        <v>0</v>
      </c>
      <c r="BH137" s="148"/>
      <c r="BI137" s="188" t="s">
        <v>538</v>
      </c>
      <c r="BJ137" s="189"/>
      <c r="BK137">
        <f>VLOOKUP(J137,'Tarieven ZM'!$B$7:$I$146,8,0)</f>
        <v>0</v>
      </c>
      <c r="BL137" s="179" t="str">
        <f>INDEX(Mapping!$M:$M,MATCH($J137,Mapping!$B:$B,0))</f>
        <v>nvt</v>
      </c>
      <c r="BM137" s="282">
        <v>0</v>
      </c>
      <c r="BN137" s="262">
        <f>BM137/INDEX(Parameters!$B:$B,MATCH("AfschrijftermijnVVE"&amp;12*$C137,Parameters!$A:$A,0))</f>
        <v>0</v>
      </c>
      <c r="BO137" s="262">
        <f>Parameters!$D$59+INDEX('inkoop ULL tbv Epacity'!I:I,MATCH($BL137,'inkoop ULL tbv Epacity'!H:H,0))</f>
        <v>1</v>
      </c>
      <c r="BP137" s="263">
        <f t="shared" si="95"/>
        <v>1</v>
      </c>
      <c r="BQ137" s="203"/>
      <c r="BR137" s="262">
        <f>Parameters!$B$12*AG137</f>
        <v>102.77777777777779</v>
      </c>
      <c r="BS137" s="262">
        <f>SUM(Distributievergoedingen!$F$12,Distributievergoedingen!$I$12,Distributievergoedingen!$L$12,Distributievergoedingen!$O$12)*AF137+SUM(Distributievergoedingen!$O$12*AA137+Distributievergoedingen!$R$12+Distributievergoedingen!$U$12+Distributievergoedingen!$X$12)/(MAX(36,12*L137))</f>
        <v>112.77777777777777</v>
      </c>
      <c r="BT137" s="202"/>
      <c r="BU137" s="202">
        <f t="shared" si="96"/>
        <v>215.55555555555554</v>
      </c>
      <c r="BW137" s="151">
        <f t="shared" si="97"/>
        <v>216.55555555555554</v>
      </c>
      <c r="BY137" s="140">
        <f t="shared" si="98"/>
        <v>811.22222222222229</v>
      </c>
      <c r="BZ137" s="141">
        <f t="shared" si="99"/>
        <v>0.78929729729729736</v>
      </c>
      <c r="CA137" s="142" t="b">
        <f t="shared" si="100"/>
        <v>0</v>
      </c>
    </row>
    <row r="138" spans="1:79">
      <c r="A138" s="160" t="str">
        <f t="shared" si="87"/>
        <v>3VDSL bondingEntrynationaal81920/8192</v>
      </c>
      <c r="B138" s="142" t="str">
        <f t="shared" si="103"/>
        <v>3VDSL bonding81920/8192Entry</v>
      </c>
      <c r="C138" s="198">
        <v>3</v>
      </c>
      <c r="D138" s="198" t="s">
        <v>222</v>
      </c>
      <c r="E138" s="198" t="s">
        <v>78</v>
      </c>
      <c r="F138" s="198" t="s">
        <v>115</v>
      </c>
      <c r="G138" s="199" t="s">
        <v>113</v>
      </c>
      <c r="H138" s="198" t="s">
        <v>89</v>
      </c>
      <c r="J138" s="142" t="str">
        <f t="shared" si="88"/>
        <v>VDSL bonding81920/8192Entry</v>
      </c>
      <c r="L138" s="160">
        <f>INDEX(Mapping!$J:$J,MATCH(C$3&amp;C138,Mapping!$B:$B,0))</f>
        <v>1</v>
      </c>
      <c r="M138" s="148" t="str">
        <f>INDEX(Mapping!$H:$H,MATCH($E138,Mapping!$B:$B,0))</f>
        <v>WBA CM Ethernet</v>
      </c>
      <c r="N138" s="148" t="str">
        <f>INDEX(Mapping!$I:$I,MATCH($E138&amp;$G138,Mapping!$B:$B,0))</f>
        <v>entry</v>
      </c>
      <c r="O138" s="148" t="str">
        <f>INDEX(Mapping!$I:$I,MATCH($D138,Mapping!$B:$B,0))</f>
        <v>VDSL Bonding</v>
      </c>
      <c r="P138" s="148" t="str">
        <f>INDEX(Mapping!$H:$H,MATCH($F138,Mapping!$B:$B,0))</f>
        <v>nvt</v>
      </c>
      <c r="Q138" s="148" t="str">
        <f>INDEX(Mapping!$J:$J,MATCH($E138&amp;$G138,Mapping!$B:$B,0))</f>
        <v>national</v>
      </c>
      <c r="R138" s="148" t="str">
        <f>INDEX(Mapping!$I:$I,MATCH($J138,Mapping!$B:$B,0))</f>
        <v>&lt;= 100 Mbps/&lt;= 30 Mbps</v>
      </c>
      <c r="T138" s="148" t="str">
        <f>INDEX(Mapping!$K:$K,MATCH($E138&amp;$G138,Mapping!$B:$B,0))</f>
        <v>nvt</v>
      </c>
      <c r="U138" s="142" t="str">
        <f t="shared" si="89"/>
        <v>WBA CM Ethernet&lt;= 100 Mbps/&lt;= 30 Mbpsentrynational</v>
      </c>
      <c r="W138" s="160">
        <f>MATCH($J138,'Tarieven ZM'!$B:$B,0)</f>
        <v>38</v>
      </c>
      <c r="X138" s="148">
        <f>INDEX('Tarieven ZM'!$H:$H,$W138)</f>
        <v>1000</v>
      </c>
      <c r="Y138" s="161">
        <f>-INDEX(Parameters!$B:$B,MATCH(Y$3,Parameters!$A:$A,0))*$X138</f>
        <v>0</v>
      </c>
      <c r="Z138" s="149">
        <f>-INDEX(Parameters!$B:$B,MATCH(Z$3,Parameters!$A:$A,0))*$X138</f>
        <v>0</v>
      </c>
      <c r="AA138" s="148">
        <f t="shared" si="90"/>
        <v>1000</v>
      </c>
      <c r="AB138" s="148">
        <f>AA138/INDEX(Parameters!$B:$B,MATCH("AfschrijftermijnVVE"&amp;12*$C138,Parameters!$A:$A,0))</f>
        <v>27.777777777777779</v>
      </c>
      <c r="AC138" s="148">
        <f>INDEX('Tarieven ZM'!$G:$G,$W138)</f>
        <v>1000</v>
      </c>
      <c r="AD138" s="161">
        <f>-INDEX(Parameters!$B:$B,MATCH(AD$3,Parameters!$A:$A,0))*$AC138</f>
        <v>0</v>
      </c>
      <c r="AE138" s="161">
        <f>-INDEX(Parameters!$B:$B,MATCH(AE$3,Parameters!$A:$A,0))*$AC138</f>
        <v>0</v>
      </c>
      <c r="AF138" s="148">
        <f t="shared" si="91"/>
        <v>1000</v>
      </c>
      <c r="AG138" s="151">
        <f t="shared" si="104"/>
        <v>1027.7777777777778</v>
      </c>
      <c r="AH138" s="123"/>
      <c r="AI138" s="147">
        <f>IF(R138&lt;&gt;"n.a.",MATCH($U138,'Tarieven W&amp;O'!$B:$B,0),"nvt")</f>
        <v>123</v>
      </c>
      <c r="AJ138" s="148">
        <f>IF(AI138&lt;&gt;"nvt",INDEX('Tarieven W&amp;O'!$H:$H,$AI138),0)</f>
        <v>0</v>
      </c>
      <c r="AK138" s="148">
        <f>IF(AI138&lt;&gt;"nvt",INDEX('Tarieven W&amp;O'!$I:$I,$AI138),0)</f>
        <v>5</v>
      </c>
      <c r="AL138" s="277">
        <f>IF(AI138&lt;&gt;"nvt",-INDEX(Parameters!$B:$B,MATCH(AL$3&amp;$M138,Parameters!$A:$A,0))*(AJ138+AK138),0)</f>
        <v>0</v>
      </c>
      <c r="AM138" s="442"/>
      <c r="AN138" s="262">
        <f t="shared" si="92"/>
        <v>5</v>
      </c>
      <c r="AO138" s="262">
        <f>AN138/INDEX(Parameters!$B:$B,MATCH("AfschrijftermijnVVE"&amp;12*$C138,Parameters!$A:$A,0))</f>
        <v>0.1388888888888889</v>
      </c>
      <c r="AP138" s="179">
        <f t="shared" si="93"/>
        <v>123</v>
      </c>
      <c r="AQ138" s="202">
        <f>IF(AP138&lt;&gt;"nvt",INDEX('Tarieven W&amp;O'!$G:$G,$AP138),0)</f>
        <v>4.03</v>
      </c>
      <c r="AR138" s="277">
        <f>-INDEX(Parameters!$B:$B,MATCH(AR$3&amp;$M138&amp;O138,Parameters!$A:$A,0))*(AQ138)</f>
        <v>-0.40300000000000002</v>
      </c>
      <c r="AS138" s="262">
        <f>Parameters!$D$54</f>
        <v>2</v>
      </c>
      <c r="AT138" s="442">
        <f>IF(M138="WBA CM Ethernet",0,'EDC Minus'!$H$27)</f>
        <v>0</v>
      </c>
      <c r="AU138" s="150">
        <f t="shared" si="105"/>
        <v>5.6270000000000007</v>
      </c>
      <c r="AV138" s="150">
        <f t="shared" si="106"/>
        <v>5.76588888888889</v>
      </c>
      <c r="AW138" s="150"/>
      <c r="AX138" s="150">
        <f>Parameters!$B$6*AV138</f>
        <v>5.7658888888888898E-2</v>
      </c>
      <c r="AY138" s="202">
        <v>0</v>
      </c>
      <c r="AZ138" s="202"/>
      <c r="BA138" s="150">
        <f t="shared" si="107"/>
        <v>5.7658888888888898E-2</v>
      </c>
      <c r="BB138" s="150"/>
      <c r="BC138" s="151">
        <f t="shared" si="108"/>
        <v>5.8235477777777787</v>
      </c>
      <c r="BD138" s="209"/>
      <c r="BE138" s="140">
        <f t="shared" si="101"/>
        <v>1021.9542300000001</v>
      </c>
      <c r="BF138" s="141">
        <f t="shared" si="102"/>
        <v>0.99433384540540537</v>
      </c>
      <c r="BG138" s="142" t="b">
        <f t="shared" si="94"/>
        <v>0</v>
      </c>
      <c r="BH138" s="148"/>
      <c r="BI138" s="188" t="s">
        <v>538</v>
      </c>
      <c r="BJ138" s="189"/>
      <c r="BK138" t="str">
        <f>VLOOKUP(J138,'Tarieven ZM'!$B$7:$I$146,8,0)</f>
        <v>kan alleen met bonding</v>
      </c>
      <c r="BL138" s="179" t="str">
        <f>INDEX(Mapping!$M:$M,MATCH($J138,Mapping!$B:$B,0))</f>
        <v>nvt</v>
      </c>
      <c r="BM138" s="282">
        <v>0</v>
      </c>
      <c r="BN138" s="262">
        <f>BM138/INDEX(Parameters!$B:$B,MATCH("AfschrijftermijnVVE"&amp;12*$C138,Parameters!$A:$A,0))</f>
        <v>0</v>
      </c>
      <c r="BO138" s="262">
        <f>Parameters!$D$59+INDEX('inkoop ULL tbv Epacity'!I:I,MATCH($BL138,'inkoop ULL tbv Epacity'!H:H,0))</f>
        <v>1</v>
      </c>
      <c r="BP138" s="263">
        <f t="shared" si="95"/>
        <v>1</v>
      </c>
      <c r="BQ138" s="203"/>
      <c r="BR138" s="262">
        <f>Parameters!$B$12*AG138</f>
        <v>102.77777777777779</v>
      </c>
      <c r="BS138" s="262">
        <f>SUM(Distributievergoedingen!$F$12,Distributievergoedingen!$I$12,Distributievergoedingen!$L$12,Distributievergoedingen!$O$12)*AF138+SUM(Distributievergoedingen!$O$12*AA138+Distributievergoedingen!$R$12+Distributievergoedingen!$U$12+Distributievergoedingen!$X$12)/(MAX(36,12*L138))</f>
        <v>112.77777777777777</v>
      </c>
      <c r="BT138" s="202"/>
      <c r="BU138" s="202">
        <f t="shared" si="96"/>
        <v>215.55555555555554</v>
      </c>
      <c r="BW138" s="151">
        <f t="shared" si="97"/>
        <v>216.55555555555554</v>
      </c>
      <c r="BY138" s="140">
        <f t="shared" si="98"/>
        <v>811.22222222222229</v>
      </c>
      <c r="BZ138" s="141">
        <f t="shared" si="99"/>
        <v>0.78929729729729736</v>
      </c>
      <c r="CA138" s="142" t="b">
        <f t="shared" si="100"/>
        <v>0</v>
      </c>
    </row>
    <row r="139" spans="1:79">
      <c r="A139" s="160" t="str">
        <f t="shared" si="87"/>
        <v>3VDSLPremiumnationaal128/128</v>
      </c>
      <c r="B139" s="142" t="str">
        <f t="shared" si="103"/>
        <v>3VDSL128/128Premium</v>
      </c>
      <c r="C139" s="198">
        <v>3</v>
      </c>
      <c r="D139" s="198" t="s">
        <v>77</v>
      </c>
      <c r="E139" s="198" t="s">
        <v>70</v>
      </c>
      <c r="F139" s="198" t="s">
        <v>115</v>
      </c>
      <c r="G139" s="199" t="s">
        <v>113</v>
      </c>
      <c r="H139" s="198" t="s">
        <v>43</v>
      </c>
      <c r="J139" s="142" t="str">
        <f t="shared" si="88"/>
        <v>VDSL128/128Premium</v>
      </c>
      <c r="L139" s="160">
        <f>INDEX(Mapping!$J:$J,MATCH(C$3&amp;C139,Mapping!$B:$B,0))</f>
        <v>1</v>
      </c>
      <c r="M139" s="148" t="str">
        <f>INDEX(Mapping!$H:$H,MATCH($E139,Mapping!$B:$B,0))</f>
        <v>WBA ZM Ethernet</v>
      </c>
      <c r="N139" s="148" t="str">
        <f>INDEX(Mapping!$I:$I,MATCH($E139&amp;$G139,Mapping!$B:$B,0))</f>
        <v>premium</v>
      </c>
      <c r="O139" s="148" t="str">
        <f>INDEX(Mapping!$I:$I,MATCH($D139,Mapping!$B:$B,0))</f>
        <v>VDSL</v>
      </c>
      <c r="P139" s="148" t="str">
        <f>INDEX(Mapping!$H:$H,MATCH($F139,Mapping!$B:$B,0))</f>
        <v>nvt</v>
      </c>
      <c r="Q139" s="148" t="str">
        <f>INDEX(Mapping!$J:$J,MATCH($E139&amp;$G139,Mapping!$B:$B,0))</f>
        <v>metro</v>
      </c>
      <c r="R139" s="148" t="str">
        <f>INDEX(Mapping!$I:$I,MATCH($J139,Mapping!$B:$B,0))</f>
        <v>&lt;=256 kbps/&lt;=256 kbps</v>
      </c>
      <c r="T139" s="148" t="str">
        <f>INDEX(Mapping!$K:$K,MATCH($E139&amp;$G139,Mapping!$B:$B,0))</f>
        <v>metro-nationaal</v>
      </c>
      <c r="U139" s="142" t="str">
        <f t="shared" si="89"/>
        <v>WBA ZM Ethernet&lt;=256 kbps/&lt;=256 kbpspremiummetro</v>
      </c>
      <c r="W139" s="160">
        <f>MATCH($J139,'Tarieven ZM'!$B:$B,0)</f>
        <v>39</v>
      </c>
      <c r="X139" s="148">
        <f>INDEX('Tarieven ZM'!$H:$H,$W139)</f>
        <v>1000</v>
      </c>
      <c r="Y139" s="161">
        <f>-INDEX(Parameters!$B:$B,MATCH(Y$3,Parameters!$A:$A,0))*$X139</f>
        <v>0</v>
      </c>
      <c r="Z139" s="149">
        <f>-INDEX(Parameters!$B:$B,MATCH(Z$3,Parameters!$A:$A,0))*$X139</f>
        <v>0</v>
      </c>
      <c r="AA139" s="148">
        <f t="shared" si="90"/>
        <v>1000</v>
      </c>
      <c r="AB139" s="148">
        <f>AA139/INDEX(Parameters!$B:$B,MATCH("AfschrijftermijnVVE"&amp;12*$C139,Parameters!$A:$A,0))</f>
        <v>27.777777777777779</v>
      </c>
      <c r="AC139" s="148">
        <f>INDEX('Tarieven ZM'!$G:$G,$W139)</f>
        <v>1000</v>
      </c>
      <c r="AD139" s="161">
        <f>-INDEX(Parameters!$B:$B,MATCH(AD$3,Parameters!$A:$A,0))*$AC139</f>
        <v>0</v>
      </c>
      <c r="AE139" s="161">
        <f>-INDEX(Parameters!$B:$B,MATCH(AE$3,Parameters!$A:$A,0))*$AC139</f>
        <v>0</v>
      </c>
      <c r="AF139" s="148">
        <f t="shared" si="91"/>
        <v>1000</v>
      </c>
      <c r="AG139" s="151">
        <f t="shared" si="104"/>
        <v>1027.7777777777778</v>
      </c>
      <c r="AH139" s="123"/>
      <c r="AI139" s="147">
        <f>IF(R139&lt;&gt;"n.a.",MATCH($U139,'Tarieven W&amp;O'!$B:$B,0),"nvt")</f>
        <v>137</v>
      </c>
      <c r="AJ139" s="148">
        <f>IF(AI139&lt;&gt;"nvt",INDEX('Tarieven W&amp;O'!$H:$H,$AI139),0)</f>
        <v>0</v>
      </c>
      <c r="AK139" s="148">
        <f>IF(AI139&lt;&gt;"nvt",INDEX('Tarieven W&amp;O'!$I:$I,$AI139),0)</f>
        <v>5</v>
      </c>
      <c r="AL139" s="277">
        <f>IF(AI139&lt;&gt;"nvt",-INDEX(Parameters!$B:$B,MATCH(AL$3&amp;$M139,Parameters!$A:$A,0))*(AJ139+AK139),0)</f>
        <v>0</v>
      </c>
      <c r="AM139" s="442"/>
      <c r="AN139" s="262">
        <f t="shared" si="92"/>
        <v>5</v>
      </c>
      <c r="AO139" s="262">
        <f>AN139/INDEX(Parameters!$B:$B,MATCH("AfschrijftermijnVVE"&amp;12*$C139,Parameters!$A:$A,0))</f>
        <v>0.1388888888888889</v>
      </c>
      <c r="AP139" s="179">
        <f t="shared" si="93"/>
        <v>137</v>
      </c>
      <c r="AQ139" s="202">
        <f>IF(AP139&lt;&gt;"nvt",INDEX('Tarieven W&amp;O'!$G:$G,$AP139),0)</f>
        <v>7.41</v>
      </c>
      <c r="AR139" s="277">
        <f>-INDEX(Parameters!$B:$B,MATCH(AR$3&amp;$M139&amp;O139,Parameters!$A:$A,0))*(AQ139)</f>
        <v>0</v>
      </c>
      <c r="AS139" s="262">
        <f>Parameters!$D$54</f>
        <v>2</v>
      </c>
      <c r="AT139" s="442">
        <f>IF(M139="WBA CM Ethernet",0,'EDC Minus'!$H$27)</f>
        <v>1</v>
      </c>
      <c r="AU139" s="150">
        <f t="shared" si="105"/>
        <v>10.41</v>
      </c>
      <c r="AV139" s="150">
        <f t="shared" si="106"/>
        <v>10.548888888888889</v>
      </c>
      <c r="AW139" s="150"/>
      <c r="AX139" s="150">
        <f>Parameters!$B$6*AV139</f>
        <v>0.1054888888888889</v>
      </c>
      <c r="AY139" s="202">
        <v>0</v>
      </c>
      <c r="AZ139" s="202"/>
      <c r="BA139" s="150">
        <f t="shared" si="107"/>
        <v>0.1054888888888889</v>
      </c>
      <c r="BB139" s="150"/>
      <c r="BC139" s="151">
        <f t="shared" si="108"/>
        <v>10.654377777777778</v>
      </c>
      <c r="BD139" s="209"/>
      <c r="BE139" s="140">
        <f t="shared" si="101"/>
        <v>1017.1234000000001</v>
      </c>
      <c r="BF139" s="141">
        <f t="shared" si="102"/>
        <v>0.9896335783783784</v>
      </c>
      <c r="BG139" s="142" t="b">
        <f t="shared" si="94"/>
        <v>0</v>
      </c>
      <c r="BH139" s="148"/>
      <c r="BI139" s="188" t="s">
        <v>538</v>
      </c>
      <c r="BJ139" s="189"/>
      <c r="BK139">
        <f>VLOOKUP(J139,'Tarieven ZM'!$B$7:$I$146,8,0)</f>
        <v>0</v>
      </c>
      <c r="BL139" s="179" t="str">
        <f>INDEX(Mapping!$M:$M,MATCH($J139,Mapping!$B:$B,0))</f>
        <v>nvt</v>
      </c>
      <c r="BM139" s="282">
        <v>0</v>
      </c>
      <c r="BN139" s="262">
        <f>BM139/INDEX(Parameters!$B:$B,MATCH("AfschrijftermijnVVE"&amp;12*$C139,Parameters!$A:$A,0))</f>
        <v>0</v>
      </c>
      <c r="BO139" s="262">
        <f>Parameters!$D$59+INDEX('inkoop ULL tbv Epacity'!I:I,MATCH($BL139,'inkoop ULL tbv Epacity'!H:H,0))</f>
        <v>1</v>
      </c>
      <c r="BP139" s="263">
        <f t="shared" si="95"/>
        <v>1</v>
      </c>
      <c r="BQ139" s="203"/>
      <c r="BR139" s="262">
        <f>Parameters!$B$12*AG139</f>
        <v>102.77777777777779</v>
      </c>
      <c r="BS139" s="262">
        <f>SUM(Distributievergoedingen!$F$12,Distributievergoedingen!$I$12,Distributievergoedingen!$L$12,Distributievergoedingen!$O$12)*AF139+SUM(Distributievergoedingen!$O$12*AA139+Distributievergoedingen!$R$12+Distributievergoedingen!$U$12+Distributievergoedingen!$X$12)/(MAX(36,12*L139))</f>
        <v>112.77777777777777</v>
      </c>
      <c r="BT139" s="202"/>
      <c r="BU139" s="202">
        <f t="shared" si="96"/>
        <v>215.55555555555554</v>
      </c>
      <c r="BW139" s="151">
        <f t="shared" si="97"/>
        <v>216.55555555555554</v>
      </c>
      <c r="BY139" s="140">
        <f t="shared" si="98"/>
        <v>811.22222222222229</v>
      </c>
      <c r="BZ139" s="141">
        <f t="shared" si="99"/>
        <v>0.78929729729729736</v>
      </c>
      <c r="CA139" s="142" t="b">
        <f t="shared" si="100"/>
        <v>0</v>
      </c>
    </row>
    <row r="140" spans="1:79">
      <c r="A140" s="160" t="str">
        <f t="shared" si="87"/>
        <v>3VDSLPremiumnationaal256/256</v>
      </c>
      <c r="B140" s="142" t="str">
        <f t="shared" si="103"/>
        <v>3VDSL256/256Premium</v>
      </c>
      <c r="C140" s="198">
        <v>3</v>
      </c>
      <c r="D140" s="198" t="s">
        <v>77</v>
      </c>
      <c r="E140" s="198" t="s">
        <v>70</v>
      </c>
      <c r="F140" s="198" t="s">
        <v>115</v>
      </c>
      <c r="G140" s="199" t="s">
        <v>113</v>
      </c>
      <c r="H140" s="198" t="s">
        <v>48</v>
      </c>
      <c r="J140" s="142" t="str">
        <f t="shared" si="88"/>
        <v>VDSL256/256Premium</v>
      </c>
      <c r="L140" s="160">
        <f>INDEX(Mapping!$J:$J,MATCH(C$3&amp;C140,Mapping!$B:$B,0))</f>
        <v>1</v>
      </c>
      <c r="M140" s="148" t="str">
        <f>INDEX(Mapping!$H:$H,MATCH($E140,Mapping!$B:$B,0))</f>
        <v>WBA ZM Ethernet</v>
      </c>
      <c r="N140" s="148" t="str">
        <f>INDEX(Mapping!$I:$I,MATCH($E140&amp;$G140,Mapping!$B:$B,0))</f>
        <v>premium</v>
      </c>
      <c r="O140" s="148" t="str">
        <f>INDEX(Mapping!$I:$I,MATCH($D140,Mapping!$B:$B,0))</f>
        <v>VDSL</v>
      </c>
      <c r="P140" s="148" t="str">
        <f>INDEX(Mapping!$H:$H,MATCH($F140,Mapping!$B:$B,0))</f>
        <v>nvt</v>
      </c>
      <c r="Q140" s="148" t="str">
        <f>INDEX(Mapping!$J:$J,MATCH($E140&amp;$G140,Mapping!$B:$B,0))</f>
        <v>metro</v>
      </c>
      <c r="R140" s="148" t="str">
        <f>INDEX(Mapping!$I:$I,MATCH($J140,Mapping!$B:$B,0))</f>
        <v>&lt;=256 kbps/&lt;=256 kbps</v>
      </c>
      <c r="T140" s="148" t="str">
        <f>INDEX(Mapping!$K:$K,MATCH($E140&amp;$G140,Mapping!$B:$B,0))</f>
        <v>metro-nationaal</v>
      </c>
      <c r="U140" s="142" t="str">
        <f t="shared" si="89"/>
        <v>WBA ZM Ethernet&lt;=256 kbps/&lt;=256 kbpspremiummetro</v>
      </c>
      <c r="W140" s="160">
        <f>MATCH($J140,'Tarieven ZM'!$B:$B,0)</f>
        <v>40</v>
      </c>
      <c r="X140" s="148">
        <f>INDEX('Tarieven ZM'!$H:$H,$W140)</f>
        <v>1000</v>
      </c>
      <c r="Y140" s="161">
        <f>-INDEX(Parameters!$B:$B,MATCH(Y$3,Parameters!$A:$A,0))*$X140</f>
        <v>0</v>
      </c>
      <c r="Z140" s="149">
        <f>-INDEX(Parameters!$B:$B,MATCH(Z$3,Parameters!$A:$A,0))*$X140</f>
        <v>0</v>
      </c>
      <c r="AA140" s="148">
        <f t="shared" si="90"/>
        <v>1000</v>
      </c>
      <c r="AB140" s="148">
        <f>AA140/INDEX(Parameters!$B:$B,MATCH("AfschrijftermijnVVE"&amp;12*$C140,Parameters!$A:$A,0))</f>
        <v>27.777777777777779</v>
      </c>
      <c r="AC140" s="148">
        <f>INDEX('Tarieven ZM'!$G:$G,$W140)</f>
        <v>1000</v>
      </c>
      <c r="AD140" s="161">
        <f>-INDEX(Parameters!$B:$B,MATCH(AD$3,Parameters!$A:$A,0))*$AC140</f>
        <v>0</v>
      </c>
      <c r="AE140" s="161">
        <f>-INDEX(Parameters!$B:$B,MATCH(AE$3,Parameters!$A:$A,0))*$AC140</f>
        <v>0</v>
      </c>
      <c r="AF140" s="148">
        <f t="shared" si="91"/>
        <v>1000</v>
      </c>
      <c r="AG140" s="151">
        <f t="shared" si="104"/>
        <v>1027.7777777777778</v>
      </c>
      <c r="AH140" s="123"/>
      <c r="AI140" s="147">
        <f>IF(R140&lt;&gt;"n.a.",MATCH($U140,'Tarieven W&amp;O'!$B:$B,0),"nvt")</f>
        <v>137</v>
      </c>
      <c r="AJ140" s="148">
        <f>IF(AI140&lt;&gt;"nvt",INDEX('Tarieven W&amp;O'!$H:$H,$AI140),0)</f>
        <v>0</v>
      </c>
      <c r="AK140" s="148">
        <f>IF(AI140&lt;&gt;"nvt",INDEX('Tarieven W&amp;O'!$I:$I,$AI140),0)</f>
        <v>5</v>
      </c>
      <c r="AL140" s="277">
        <f>IF(AI140&lt;&gt;"nvt",-INDEX(Parameters!$B:$B,MATCH(AL$3&amp;$M140,Parameters!$A:$A,0))*(AJ140+AK140),0)</f>
        <v>0</v>
      </c>
      <c r="AM140" s="442"/>
      <c r="AN140" s="262">
        <f t="shared" si="92"/>
        <v>5</v>
      </c>
      <c r="AO140" s="262">
        <f>AN140/INDEX(Parameters!$B:$B,MATCH("AfschrijftermijnVVE"&amp;12*$C140,Parameters!$A:$A,0))</f>
        <v>0.1388888888888889</v>
      </c>
      <c r="AP140" s="179">
        <f t="shared" si="93"/>
        <v>137</v>
      </c>
      <c r="AQ140" s="202">
        <f>IF(AP140&lt;&gt;"nvt",INDEX('Tarieven W&amp;O'!$G:$G,$AP140),0)</f>
        <v>7.41</v>
      </c>
      <c r="AR140" s="277">
        <f>-INDEX(Parameters!$B:$B,MATCH(AR$3&amp;$M140&amp;O140,Parameters!$A:$A,0))*(AQ140)</f>
        <v>0</v>
      </c>
      <c r="AS140" s="262">
        <f>Parameters!$D$54</f>
        <v>2</v>
      </c>
      <c r="AT140" s="442">
        <f>IF(M140="WBA CM Ethernet",0,'EDC Minus'!$H$27)</f>
        <v>1</v>
      </c>
      <c r="AU140" s="150">
        <f t="shared" si="105"/>
        <v>10.41</v>
      </c>
      <c r="AV140" s="150">
        <f t="shared" si="106"/>
        <v>10.548888888888889</v>
      </c>
      <c r="AW140" s="150"/>
      <c r="AX140" s="150">
        <f>Parameters!$B$6*AV140</f>
        <v>0.1054888888888889</v>
      </c>
      <c r="AY140" s="202">
        <v>0</v>
      </c>
      <c r="AZ140" s="202"/>
      <c r="BA140" s="150">
        <f t="shared" si="107"/>
        <v>0.1054888888888889</v>
      </c>
      <c r="BB140" s="150"/>
      <c r="BC140" s="151">
        <f t="shared" si="108"/>
        <v>10.654377777777778</v>
      </c>
      <c r="BD140" s="209"/>
      <c r="BE140" s="140">
        <f t="shared" si="101"/>
        <v>1017.1234000000001</v>
      </c>
      <c r="BF140" s="141">
        <f t="shared" si="102"/>
        <v>0.9896335783783784</v>
      </c>
      <c r="BG140" s="142" t="b">
        <f t="shared" si="94"/>
        <v>0</v>
      </c>
      <c r="BH140" s="148"/>
      <c r="BI140" s="188" t="s">
        <v>538</v>
      </c>
      <c r="BJ140" s="189"/>
      <c r="BK140">
        <f>VLOOKUP(J140,'Tarieven ZM'!$B$7:$I$146,8,0)</f>
        <v>0</v>
      </c>
      <c r="BL140" s="179" t="str">
        <f>INDEX(Mapping!$M:$M,MATCH($J140,Mapping!$B:$B,0))</f>
        <v>nvt</v>
      </c>
      <c r="BM140" s="282">
        <v>0</v>
      </c>
      <c r="BN140" s="262">
        <f>BM140/INDEX(Parameters!$B:$B,MATCH("AfschrijftermijnVVE"&amp;12*$C140,Parameters!$A:$A,0))</f>
        <v>0</v>
      </c>
      <c r="BO140" s="262">
        <f>Parameters!$D$59+INDEX('inkoop ULL tbv Epacity'!I:I,MATCH($BL140,'inkoop ULL tbv Epacity'!H:H,0))</f>
        <v>1</v>
      </c>
      <c r="BP140" s="263">
        <f t="shared" si="95"/>
        <v>1</v>
      </c>
      <c r="BQ140" s="203"/>
      <c r="BR140" s="262">
        <f>Parameters!$B$12*AG140</f>
        <v>102.77777777777779</v>
      </c>
      <c r="BS140" s="262">
        <f>SUM(Distributievergoedingen!$F$12,Distributievergoedingen!$I$12,Distributievergoedingen!$L$12,Distributievergoedingen!$O$12)*AF140+SUM(Distributievergoedingen!$O$12*AA140+Distributievergoedingen!$R$12+Distributievergoedingen!$U$12+Distributievergoedingen!$X$12)/(MAX(36,12*L140))</f>
        <v>112.77777777777777</v>
      </c>
      <c r="BT140" s="202"/>
      <c r="BU140" s="202">
        <f t="shared" si="96"/>
        <v>215.55555555555554</v>
      </c>
      <c r="BW140" s="151">
        <f t="shared" si="97"/>
        <v>216.55555555555554</v>
      </c>
      <c r="BY140" s="140">
        <f t="shared" si="98"/>
        <v>811.22222222222229</v>
      </c>
      <c r="BZ140" s="141">
        <f t="shared" si="99"/>
        <v>0.78929729729729736</v>
      </c>
      <c r="CA140" s="142" t="b">
        <f t="shared" si="100"/>
        <v>0</v>
      </c>
    </row>
    <row r="141" spans="1:79">
      <c r="A141" s="160" t="str">
        <f t="shared" si="87"/>
        <v>3VDSLPremiumnationaal448/448</v>
      </c>
      <c r="B141" s="142" t="str">
        <f t="shared" si="103"/>
        <v>3VDSL448/448Premium</v>
      </c>
      <c r="C141" s="198">
        <v>3</v>
      </c>
      <c r="D141" s="198" t="s">
        <v>77</v>
      </c>
      <c r="E141" s="198" t="s">
        <v>70</v>
      </c>
      <c r="F141" s="198" t="s">
        <v>115</v>
      </c>
      <c r="G141" s="199" t="s">
        <v>113</v>
      </c>
      <c r="H141" s="198" t="s">
        <v>79</v>
      </c>
      <c r="J141" s="142" t="str">
        <f t="shared" si="88"/>
        <v>VDSL448/448Premium</v>
      </c>
      <c r="L141" s="160">
        <f>INDEX(Mapping!$J:$J,MATCH(C$3&amp;C141,Mapping!$B:$B,0))</f>
        <v>1</v>
      </c>
      <c r="M141" s="148" t="str">
        <f>INDEX(Mapping!$H:$H,MATCH($E141,Mapping!$B:$B,0))</f>
        <v>WBA ZM Ethernet</v>
      </c>
      <c r="N141" s="148" t="str">
        <f>INDEX(Mapping!$I:$I,MATCH($E141&amp;$G141,Mapping!$B:$B,0))</f>
        <v>premium</v>
      </c>
      <c r="O141" s="148" t="str">
        <f>INDEX(Mapping!$I:$I,MATCH($D141,Mapping!$B:$B,0))</f>
        <v>VDSL</v>
      </c>
      <c r="P141" s="148" t="str">
        <f>INDEX(Mapping!$H:$H,MATCH($F141,Mapping!$B:$B,0))</f>
        <v>nvt</v>
      </c>
      <c r="Q141" s="148" t="str">
        <f>INDEX(Mapping!$J:$J,MATCH($E141&amp;$G141,Mapping!$B:$B,0))</f>
        <v>metro</v>
      </c>
      <c r="R141" s="148" t="str">
        <f>INDEX(Mapping!$I:$I,MATCH($J141,Mapping!$B:$B,0))</f>
        <v>1 Mbps/1 Mbps</v>
      </c>
      <c r="T141" s="148" t="str">
        <f>INDEX(Mapping!$K:$K,MATCH($E141&amp;$G141,Mapping!$B:$B,0))</f>
        <v>metro-nationaal</v>
      </c>
      <c r="U141" s="142" t="str">
        <f t="shared" si="89"/>
        <v>WBA ZM Ethernet1 Mbps/1 Mbpspremiummetro</v>
      </c>
      <c r="W141" s="160">
        <f>MATCH($J141,'Tarieven ZM'!$B:$B,0)</f>
        <v>41</v>
      </c>
      <c r="X141" s="148">
        <f>INDEX('Tarieven ZM'!$H:$H,$W141)</f>
        <v>1000</v>
      </c>
      <c r="Y141" s="161">
        <f>-INDEX(Parameters!$B:$B,MATCH(Y$3,Parameters!$A:$A,0))*$X141</f>
        <v>0</v>
      </c>
      <c r="Z141" s="149">
        <f>-INDEX(Parameters!$B:$B,MATCH(Z$3,Parameters!$A:$A,0))*$X141</f>
        <v>0</v>
      </c>
      <c r="AA141" s="148">
        <f t="shared" si="90"/>
        <v>1000</v>
      </c>
      <c r="AB141" s="148">
        <f>AA141/INDEX(Parameters!$B:$B,MATCH("AfschrijftermijnVVE"&amp;12*$C141,Parameters!$A:$A,0))</f>
        <v>27.777777777777779</v>
      </c>
      <c r="AC141" s="148">
        <f>INDEX('Tarieven ZM'!$G:$G,$W141)</f>
        <v>1000</v>
      </c>
      <c r="AD141" s="161">
        <f>-INDEX(Parameters!$B:$B,MATCH(AD$3,Parameters!$A:$A,0))*$AC141</f>
        <v>0</v>
      </c>
      <c r="AE141" s="161">
        <f>-INDEX(Parameters!$B:$B,MATCH(AE$3,Parameters!$A:$A,0))*$AC141</f>
        <v>0</v>
      </c>
      <c r="AF141" s="148">
        <f t="shared" si="91"/>
        <v>1000</v>
      </c>
      <c r="AG141" s="151">
        <f t="shared" si="104"/>
        <v>1027.7777777777778</v>
      </c>
      <c r="AH141" s="123"/>
      <c r="AI141" s="147">
        <f>IF(R141&lt;&gt;"n.a.",MATCH($U141,'Tarieven W&amp;O'!$B:$B,0),"nvt")</f>
        <v>138</v>
      </c>
      <c r="AJ141" s="148">
        <f>IF(AI141&lt;&gt;"nvt",INDEX('Tarieven W&amp;O'!$H:$H,$AI141),0)</f>
        <v>0</v>
      </c>
      <c r="AK141" s="148">
        <f>IF(AI141&lt;&gt;"nvt",INDEX('Tarieven W&amp;O'!$I:$I,$AI141),0)</f>
        <v>5</v>
      </c>
      <c r="AL141" s="277">
        <f>IF(AI141&lt;&gt;"nvt",-INDEX(Parameters!$B:$B,MATCH(AL$3&amp;$M141,Parameters!$A:$A,0))*(AJ141+AK141),0)</f>
        <v>0</v>
      </c>
      <c r="AM141" s="442"/>
      <c r="AN141" s="262">
        <f t="shared" si="92"/>
        <v>5</v>
      </c>
      <c r="AO141" s="262">
        <f>AN141/INDEX(Parameters!$B:$B,MATCH("AfschrijftermijnVVE"&amp;12*$C141,Parameters!$A:$A,0))</f>
        <v>0.1388888888888889</v>
      </c>
      <c r="AP141" s="179">
        <f t="shared" si="93"/>
        <v>138</v>
      </c>
      <c r="AQ141" s="202">
        <f>IF(AP141&lt;&gt;"nvt",INDEX('Tarieven W&amp;O'!$G:$G,$AP141),0)</f>
        <v>7.41</v>
      </c>
      <c r="AR141" s="277">
        <f>-INDEX(Parameters!$B:$B,MATCH(AR$3&amp;$M141&amp;O141,Parameters!$A:$A,0))*(AQ141)</f>
        <v>0</v>
      </c>
      <c r="AS141" s="262">
        <f>Parameters!$D$54</f>
        <v>2</v>
      </c>
      <c r="AT141" s="442">
        <f>IF(M141="WBA CM Ethernet",0,'EDC Minus'!$H$27)</f>
        <v>1</v>
      </c>
      <c r="AU141" s="150">
        <f t="shared" si="105"/>
        <v>10.41</v>
      </c>
      <c r="AV141" s="150">
        <f t="shared" si="106"/>
        <v>10.548888888888889</v>
      </c>
      <c r="AW141" s="150"/>
      <c r="AX141" s="150">
        <f>Parameters!$B$6*AV141</f>
        <v>0.1054888888888889</v>
      </c>
      <c r="AY141" s="202">
        <v>0</v>
      </c>
      <c r="AZ141" s="202"/>
      <c r="BA141" s="150">
        <f t="shared" si="107"/>
        <v>0.1054888888888889</v>
      </c>
      <c r="BB141" s="150"/>
      <c r="BC141" s="151">
        <f t="shared" si="108"/>
        <v>10.654377777777778</v>
      </c>
      <c r="BD141" s="209"/>
      <c r="BE141" s="140">
        <f t="shared" si="101"/>
        <v>1017.1234000000001</v>
      </c>
      <c r="BF141" s="141">
        <f t="shared" si="102"/>
        <v>0.9896335783783784</v>
      </c>
      <c r="BG141" s="142" t="b">
        <f t="shared" si="94"/>
        <v>0</v>
      </c>
      <c r="BH141" s="148"/>
      <c r="BI141" s="188" t="s">
        <v>538</v>
      </c>
      <c r="BJ141" s="189"/>
      <c r="BK141">
        <f>VLOOKUP(J141,'Tarieven ZM'!$B$7:$I$146,8,0)</f>
        <v>0</v>
      </c>
      <c r="BL141" s="179" t="str">
        <f>INDEX(Mapping!$M:$M,MATCH($J141,Mapping!$B:$B,0))</f>
        <v>nvt</v>
      </c>
      <c r="BM141" s="282">
        <v>0</v>
      </c>
      <c r="BN141" s="262">
        <f>BM141/INDEX(Parameters!$B:$B,MATCH("AfschrijftermijnVVE"&amp;12*$C141,Parameters!$A:$A,0))</f>
        <v>0</v>
      </c>
      <c r="BO141" s="262">
        <f>Parameters!$D$59+INDEX('inkoop ULL tbv Epacity'!I:I,MATCH($BL141,'inkoop ULL tbv Epacity'!H:H,0))</f>
        <v>1</v>
      </c>
      <c r="BP141" s="263">
        <f t="shared" si="95"/>
        <v>1</v>
      </c>
      <c r="BQ141" s="203"/>
      <c r="BR141" s="262">
        <f>Parameters!$B$12*AG141</f>
        <v>102.77777777777779</v>
      </c>
      <c r="BS141" s="262">
        <f>SUM(Distributievergoedingen!$F$12,Distributievergoedingen!$I$12,Distributievergoedingen!$L$12,Distributievergoedingen!$O$12)*AF141+SUM(Distributievergoedingen!$O$12*AA141+Distributievergoedingen!$R$12+Distributievergoedingen!$U$12+Distributievergoedingen!$X$12)/(MAX(36,12*L141))</f>
        <v>112.77777777777777</v>
      </c>
      <c r="BT141" s="202"/>
      <c r="BU141" s="202">
        <f t="shared" si="96"/>
        <v>215.55555555555554</v>
      </c>
      <c r="BW141" s="151">
        <f t="shared" si="97"/>
        <v>216.55555555555554</v>
      </c>
      <c r="BY141" s="140">
        <f t="shared" si="98"/>
        <v>811.22222222222229</v>
      </c>
      <c r="BZ141" s="141">
        <f t="shared" si="99"/>
        <v>0.78929729729729736</v>
      </c>
      <c r="CA141" s="142" t="b">
        <f t="shared" si="100"/>
        <v>0</v>
      </c>
    </row>
    <row r="142" spans="1:79">
      <c r="A142" s="160" t="str">
        <f t="shared" si="87"/>
        <v>3VDSLPremiumnationaal640/640</v>
      </c>
      <c r="B142" s="142" t="str">
        <f t="shared" si="103"/>
        <v>3VDSL640/640Premium</v>
      </c>
      <c r="C142" s="198">
        <v>3</v>
      </c>
      <c r="D142" s="198" t="s">
        <v>77</v>
      </c>
      <c r="E142" s="198" t="s">
        <v>70</v>
      </c>
      <c r="F142" s="198" t="s">
        <v>115</v>
      </c>
      <c r="G142" s="199" t="s">
        <v>113</v>
      </c>
      <c r="H142" s="198" t="s">
        <v>80</v>
      </c>
      <c r="J142" s="142" t="str">
        <f t="shared" si="88"/>
        <v>VDSL640/640Premium</v>
      </c>
      <c r="L142" s="160">
        <f>INDEX(Mapping!$J:$J,MATCH(C$3&amp;C142,Mapping!$B:$B,0))</f>
        <v>1</v>
      </c>
      <c r="M142" s="148" t="str">
        <f>INDEX(Mapping!$H:$H,MATCH($E142,Mapping!$B:$B,0))</f>
        <v>WBA ZM Ethernet</v>
      </c>
      <c r="N142" s="148" t="str">
        <f>INDEX(Mapping!$I:$I,MATCH($E142&amp;$G142,Mapping!$B:$B,0))</f>
        <v>premium</v>
      </c>
      <c r="O142" s="148" t="str">
        <f>INDEX(Mapping!$I:$I,MATCH($D142,Mapping!$B:$B,0))</f>
        <v>VDSL</v>
      </c>
      <c r="P142" s="148" t="str">
        <f>INDEX(Mapping!$H:$H,MATCH($F142,Mapping!$B:$B,0))</f>
        <v>nvt</v>
      </c>
      <c r="Q142" s="148" t="str">
        <f>INDEX(Mapping!$J:$J,MATCH($E142&amp;$G142,Mapping!$B:$B,0))</f>
        <v>metro</v>
      </c>
      <c r="R142" s="148" t="str">
        <f>INDEX(Mapping!$I:$I,MATCH($J142,Mapping!$B:$B,0))</f>
        <v>1 Mbps/1 Mbps</v>
      </c>
      <c r="T142" s="148" t="str">
        <f>INDEX(Mapping!$K:$K,MATCH($E142&amp;$G142,Mapping!$B:$B,0))</f>
        <v>metro-nationaal</v>
      </c>
      <c r="U142" s="142" t="str">
        <f t="shared" si="89"/>
        <v>WBA ZM Ethernet1 Mbps/1 Mbpspremiummetro</v>
      </c>
      <c r="W142" s="160">
        <f>MATCH($J142,'Tarieven ZM'!$B:$B,0)</f>
        <v>42</v>
      </c>
      <c r="X142" s="148">
        <f>INDEX('Tarieven ZM'!$H:$H,$W142)</f>
        <v>1000</v>
      </c>
      <c r="Y142" s="161">
        <f>-INDEX(Parameters!$B:$B,MATCH(Y$3,Parameters!$A:$A,0))*$X142</f>
        <v>0</v>
      </c>
      <c r="Z142" s="149">
        <f>-INDEX(Parameters!$B:$B,MATCH(Z$3,Parameters!$A:$A,0))*$X142</f>
        <v>0</v>
      </c>
      <c r="AA142" s="148">
        <f t="shared" si="90"/>
        <v>1000</v>
      </c>
      <c r="AB142" s="148">
        <f>AA142/INDEX(Parameters!$B:$B,MATCH("AfschrijftermijnVVE"&amp;12*$C142,Parameters!$A:$A,0))</f>
        <v>27.777777777777779</v>
      </c>
      <c r="AC142" s="148">
        <f>INDEX('Tarieven ZM'!$G:$G,$W142)</f>
        <v>1000</v>
      </c>
      <c r="AD142" s="161">
        <f>-INDEX(Parameters!$B:$B,MATCH(AD$3,Parameters!$A:$A,0))*$AC142</f>
        <v>0</v>
      </c>
      <c r="AE142" s="161">
        <f>-INDEX(Parameters!$B:$B,MATCH(AE$3,Parameters!$A:$A,0))*$AC142</f>
        <v>0</v>
      </c>
      <c r="AF142" s="148">
        <f t="shared" si="91"/>
        <v>1000</v>
      </c>
      <c r="AG142" s="151">
        <f t="shared" si="104"/>
        <v>1027.7777777777778</v>
      </c>
      <c r="AH142" s="123"/>
      <c r="AI142" s="147">
        <f>IF(R142&lt;&gt;"n.a.",MATCH($U142,'Tarieven W&amp;O'!$B:$B,0),"nvt")</f>
        <v>138</v>
      </c>
      <c r="AJ142" s="148">
        <f>IF(AI142&lt;&gt;"nvt",INDEX('Tarieven W&amp;O'!$H:$H,$AI142),0)</f>
        <v>0</v>
      </c>
      <c r="AK142" s="148">
        <f>IF(AI142&lt;&gt;"nvt",INDEX('Tarieven W&amp;O'!$I:$I,$AI142),0)</f>
        <v>5</v>
      </c>
      <c r="AL142" s="277">
        <f>IF(AI142&lt;&gt;"nvt",-INDEX(Parameters!$B:$B,MATCH(AL$3&amp;$M142,Parameters!$A:$A,0))*(AJ142+AK142),0)</f>
        <v>0</v>
      </c>
      <c r="AM142" s="442"/>
      <c r="AN142" s="262">
        <f t="shared" si="92"/>
        <v>5</v>
      </c>
      <c r="AO142" s="262">
        <f>AN142/INDEX(Parameters!$B:$B,MATCH("AfschrijftermijnVVE"&amp;12*$C142,Parameters!$A:$A,0))</f>
        <v>0.1388888888888889</v>
      </c>
      <c r="AP142" s="179">
        <f t="shared" si="93"/>
        <v>138</v>
      </c>
      <c r="AQ142" s="202">
        <f>IF(AP142&lt;&gt;"nvt",INDEX('Tarieven W&amp;O'!$G:$G,$AP142),0)</f>
        <v>7.41</v>
      </c>
      <c r="AR142" s="277">
        <f>-INDEX(Parameters!$B:$B,MATCH(AR$3&amp;$M142&amp;O142,Parameters!$A:$A,0))*(AQ142)</f>
        <v>0</v>
      </c>
      <c r="AS142" s="262">
        <f>Parameters!$D$54</f>
        <v>2</v>
      </c>
      <c r="AT142" s="442">
        <f>IF(M142="WBA CM Ethernet",0,'EDC Minus'!$H$27)</f>
        <v>1</v>
      </c>
      <c r="AU142" s="150">
        <f t="shared" si="105"/>
        <v>10.41</v>
      </c>
      <c r="AV142" s="150">
        <f t="shared" si="106"/>
        <v>10.548888888888889</v>
      </c>
      <c r="AW142" s="150"/>
      <c r="AX142" s="150">
        <f>Parameters!$B$6*AV142</f>
        <v>0.1054888888888889</v>
      </c>
      <c r="AY142" s="202">
        <v>0</v>
      </c>
      <c r="AZ142" s="202"/>
      <c r="BA142" s="150">
        <f t="shared" si="107"/>
        <v>0.1054888888888889</v>
      </c>
      <c r="BB142" s="150"/>
      <c r="BC142" s="151">
        <f t="shared" si="108"/>
        <v>10.654377777777778</v>
      </c>
      <c r="BD142" s="209"/>
      <c r="BE142" s="140">
        <f t="shared" si="101"/>
        <v>1017.1234000000001</v>
      </c>
      <c r="BF142" s="141">
        <f t="shared" si="102"/>
        <v>0.9896335783783784</v>
      </c>
      <c r="BG142" s="142" t="b">
        <f t="shared" si="94"/>
        <v>0</v>
      </c>
      <c r="BH142" s="148"/>
      <c r="BI142" s="188" t="s">
        <v>538</v>
      </c>
      <c r="BJ142" s="189"/>
      <c r="BK142">
        <f>VLOOKUP(J142,'Tarieven ZM'!$B$7:$I$146,8,0)</f>
        <v>0</v>
      </c>
      <c r="BL142" s="179" t="str">
        <f>INDEX(Mapping!$M:$M,MATCH($J142,Mapping!$B:$B,0))</f>
        <v>nvt</v>
      </c>
      <c r="BM142" s="282">
        <v>0</v>
      </c>
      <c r="BN142" s="262">
        <f>BM142/INDEX(Parameters!$B:$B,MATCH("AfschrijftermijnVVE"&amp;12*$C142,Parameters!$A:$A,0))</f>
        <v>0</v>
      </c>
      <c r="BO142" s="262">
        <f>Parameters!$D$59+INDEX('inkoop ULL tbv Epacity'!I:I,MATCH($BL142,'inkoop ULL tbv Epacity'!H:H,0))</f>
        <v>1</v>
      </c>
      <c r="BP142" s="263">
        <f t="shared" si="95"/>
        <v>1</v>
      </c>
      <c r="BQ142" s="203"/>
      <c r="BR142" s="262">
        <f>Parameters!$B$12*AG142</f>
        <v>102.77777777777779</v>
      </c>
      <c r="BS142" s="262">
        <f>SUM(Distributievergoedingen!$F$12,Distributievergoedingen!$I$12,Distributievergoedingen!$L$12,Distributievergoedingen!$O$12)*AF142+SUM(Distributievergoedingen!$O$12*AA142+Distributievergoedingen!$R$12+Distributievergoedingen!$U$12+Distributievergoedingen!$X$12)/(MAX(36,12*L142))</f>
        <v>112.77777777777777</v>
      </c>
      <c r="BT142" s="202"/>
      <c r="BU142" s="202">
        <f t="shared" si="96"/>
        <v>215.55555555555554</v>
      </c>
      <c r="BW142" s="151">
        <f t="shared" si="97"/>
        <v>216.55555555555554</v>
      </c>
      <c r="BY142" s="140">
        <f t="shared" si="98"/>
        <v>811.22222222222229</v>
      </c>
      <c r="BZ142" s="141">
        <f t="shared" si="99"/>
        <v>0.78929729729729736</v>
      </c>
      <c r="CA142" s="142" t="b">
        <f t="shared" si="100"/>
        <v>0</v>
      </c>
    </row>
    <row r="143" spans="1:79">
      <c r="A143" s="160" t="str">
        <f t="shared" si="87"/>
        <v>3VDSLPremiumnationaal1024/1024</v>
      </c>
      <c r="B143" s="142" t="str">
        <f t="shared" si="103"/>
        <v>3VDSL1024/1024Premium</v>
      </c>
      <c r="C143" s="198">
        <v>3</v>
      </c>
      <c r="D143" s="198" t="s">
        <v>77</v>
      </c>
      <c r="E143" s="198" t="s">
        <v>70</v>
      </c>
      <c r="F143" s="198" t="s">
        <v>115</v>
      </c>
      <c r="G143" s="199" t="s">
        <v>113</v>
      </c>
      <c r="H143" s="198" t="s">
        <v>66</v>
      </c>
      <c r="J143" s="142" t="str">
        <f t="shared" si="88"/>
        <v>VDSL1024/1024Premium</v>
      </c>
      <c r="L143" s="160">
        <f>INDEX(Mapping!$J:$J,MATCH(C$3&amp;C143,Mapping!$B:$B,0))</f>
        <v>1</v>
      </c>
      <c r="M143" s="148" t="str">
        <f>INDEX(Mapping!$H:$H,MATCH($E143,Mapping!$B:$B,0))</f>
        <v>WBA ZM Ethernet</v>
      </c>
      <c r="N143" s="148" t="str">
        <f>INDEX(Mapping!$I:$I,MATCH($E143&amp;$G143,Mapping!$B:$B,0))</f>
        <v>premium</v>
      </c>
      <c r="O143" s="148" t="str">
        <f>INDEX(Mapping!$I:$I,MATCH($D143,Mapping!$B:$B,0))</f>
        <v>VDSL</v>
      </c>
      <c r="P143" s="148" t="str">
        <f>INDEX(Mapping!$H:$H,MATCH($F143,Mapping!$B:$B,0))</f>
        <v>nvt</v>
      </c>
      <c r="Q143" s="148" t="str">
        <f>INDEX(Mapping!$J:$J,MATCH($E143&amp;$G143,Mapping!$B:$B,0))</f>
        <v>metro</v>
      </c>
      <c r="R143" s="148" t="str">
        <f>INDEX(Mapping!$I:$I,MATCH($J143,Mapping!$B:$B,0))</f>
        <v>1 Mbps/1 Mbps</v>
      </c>
      <c r="T143" s="148" t="str">
        <f>INDEX(Mapping!$K:$K,MATCH($E143&amp;$G143,Mapping!$B:$B,0))</f>
        <v>metro-nationaal</v>
      </c>
      <c r="U143" s="142" t="str">
        <f t="shared" si="89"/>
        <v>WBA ZM Ethernet1 Mbps/1 Mbpspremiummetro</v>
      </c>
      <c r="W143" s="160">
        <f>MATCH($J143,'Tarieven ZM'!$B:$B,0)</f>
        <v>43</v>
      </c>
      <c r="X143" s="148">
        <f>INDEX('Tarieven ZM'!$H:$H,$W143)</f>
        <v>1000</v>
      </c>
      <c r="Y143" s="161">
        <f>-INDEX(Parameters!$B:$B,MATCH(Y$3,Parameters!$A:$A,0))*$X143</f>
        <v>0</v>
      </c>
      <c r="Z143" s="149">
        <f>-INDEX(Parameters!$B:$B,MATCH(Z$3,Parameters!$A:$A,0))*$X143</f>
        <v>0</v>
      </c>
      <c r="AA143" s="148">
        <f t="shared" si="90"/>
        <v>1000</v>
      </c>
      <c r="AB143" s="148">
        <f>AA143/INDEX(Parameters!$B:$B,MATCH("AfschrijftermijnVVE"&amp;12*$C143,Parameters!$A:$A,0))</f>
        <v>27.777777777777779</v>
      </c>
      <c r="AC143" s="148">
        <f>INDEX('Tarieven ZM'!$G:$G,$W143)</f>
        <v>1000</v>
      </c>
      <c r="AD143" s="161">
        <f>-INDEX(Parameters!$B:$B,MATCH(AD$3,Parameters!$A:$A,0))*$AC143</f>
        <v>0</v>
      </c>
      <c r="AE143" s="161">
        <f>-INDEX(Parameters!$B:$B,MATCH(AE$3,Parameters!$A:$A,0))*$AC143</f>
        <v>0</v>
      </c>
      <c r="AF143" s="148">
        <f t="shared" si="91"/>
        <v>1000</v>
      </c>
      <c r="AG143" s="151">
        <f t="shared" si="104"/>
        <v>1027.7777777777778</v>
      </c>
      <c r="AH143" s="123"/>
      <c r="AI143" s="147">
        <f>IF(R143&lt;&gt;"n.a.",MATCH($U143,'Tarieven W&amp;O'!$B:$B,0),"nvt")</f>
        <v>138</v>
      </c>
      <c r="AJ143" s="148">
        <f>IF(AI143&lt;&gt;"nvt",INDEX('Tarieven W&amp;O'!$H:$H,$AI143),0)</f>
        <v>0</v>
      </c>
      <c r="AK143" s="148">
        <f>IF(AI143&lt;&gt;"nvt",INDEX('Tarieven W&amp;O'!$I:$I,$AI143),0)</f>
        <v>5</v>
      </c>
      <c r="AL143" s="277">
        <f>IF(AI143&lt;&gt;"nvt",-INDEX(Parameters!$B:$B,MATCH(AL$3&amp;$M143,Parameters!$A:$A,0))*(AJ143+AK143),0)</f>
        <v>0</v>
      </c>
      <c r="AM143" s="442"/>
      <c r="AN143" s="262">
        <f t="shared" si="92"/>
        <v>5</v>
      </c>
      <c r="AO143" s="262">
        <f>AN143/INDEX(Parameters!$B:$B,MATCH("AfschrijftermijnVVE"&amp;12*$C143,Parameters!$A:$A,0))</f>
        <v>0.1388888888888889</v>
      </c>
      <c r="AP143" s="179">
        <f t="shared" si="93"/>
        <v>138</v>
      </c>
      <c r="AQ143" s="202">
        <f>IF(AP143&lt;&gt;"nvt",INDEX('Tarieven W&amp;O'!$G:$G,$AP143),0)</f>
        <v>7.41</v>
      </c>
      <c r="AR143" s="277">
        <f>-INDEX(Parameters!$B:$B,MATCH(AR$3&amp;$M143&amp;O143,Parameters!$A:$A,0))*(AQ143)</f>
        <v>0</v>
      </c>
      <c r="AS143" s="262">
        <f>Parameters!$D$54</f>
        <v>2</v>
      </c>
      <c r="AT143" s="442">
        <f>IF(M143="WBA CM Ethernet",0,'EDC Minus'!$H$27)</f>
        <v>1</v>
      </c>
      <c r="AU143" s="150">
        <f t="shared" si="105"/>
        <v>10.41</v>
      </c>
      <c r="AV143" s="150">
        <f t="shared" si="106"/>
        <v>10.548888888888889</v>
      </c>
      <c r="AW143" s="150"/>
      <c r="AX143" s="150">
        <f>Parameters!$B$6*AV143</f>
        <v>0.1054888888888889</v>
      </c>
      <c r="AY143" s="202">
        <v>0</v>
      </c>
      <c r="AZ143" s="202"/>
      <c r="BA143" s="150">
        <f t="shared" si="107"/>
        <v>0.1054888888888889</v>
      </c>
      <c r="BB143" s="150"/>
      <c r="BC143" s="151">
        <f t="shared" si="108"/>
        <v>10.654377777777778</v>
      </c>
      <c r="BD143" s="209"/>
      <c r="BE143" s="140">
        <f t="shared" si="101"/>
        <v>1017.1234000000001</v>
      </c>
      <c r="BF143" s="141">
        <f t="shared" si="102"/>
        <v>0.9896335783783784</v>
      </c>
      <c r="BG143" s="142" t="b">
        <f t="shared" si="94"/>
        <v>0</v>
      </c>
      <c r="BH143" s="148"/>
      <c r="BI143" s="188" t="s">
        <v>538</v>
      </c>
      <c r="BJ143" s="189"/>
      <c r="BK143">
        <f>VLOOKUP(J143,'Tarieven ZM'!$B$7:$I$146,8,0)</f>
        <v>0</v>
      </c>
      <c r="BL143" s="179" t="str">
        <f>INDEX(Mapping!$M:$M,MATCH($J143,Mapping!$B:$B,0))</f>
        <v>nvt</v>
      </c>
      <c r="BM143" s="282">
        <v>0</v>
      </c>
      <c r="BN143" s="262">
        <f>BM143/INDEX(Parameters!$B:$B,MATCH("AfschrijftermijnVVE"&amp;12*$C143,Parameters!$A:$A,0))</f>
        <v>0</v>
      </c>
      <c r="BO143" s="262">
        <f>Parameters!$D$59+INDEX('inkoop ULL tbv Epacity'!I:I,MATCH($BL143,'inkoop ULL tbv Epacity'!H:H,0))</f>
        <v>1</v>
      </c>
      <c r="BP143" s="263">
        <f t="shared" si="95"/>
        <v>1</v>
      </c>
      <c r="BQ143" s="203"/>
      <c r="BR143" s="262">
        <f>Parameters!$B$12*AG143</f>
        <v>102.77777777777779</v>
      </c>
      <c r="BS143" s="262">
        <f>SUM(Distributievergoedingen!$F$12,Distributievergoedingen!$I$12,Distributievergoedingen!$L$12,Distributievergoedingen!$O$12)*AF143+SUM(Distributievergoedingen!$O$12*AA143+Distributievergoedingen!$R$12+Distributievergoedingen!$U$12+Distributievergoedingen!$X$12)/(MAX(36,12*L143))</f>
        <v>112.77777777777777</v>
      </c>
      <c r="BT143" s="202"/>
      <c r="BU143" s="202">
        <f t="shared" si="96"/>
        <v>215.55555555555554</v>
      </c>
      <c r="BW143" s="151">
        <f t="shared" si="97"/>
        <v>216.55555555555554</v>
      </c>
      <c r="BY143" s="140">
        <f t="shared" si="98"/>
        <v>811.22222222222229</v>
      </c>
      <c r="BZ143" s="141">
        <f t="shared" si="99"/>
        <v>0.78929729729729736</v>
      </c>
      <c r="CA143" s="142" t="b">
        <f t="shared" si="100"/>
        <v>0</v>
      </c>
    </row>
    <row r="144" spans="1:79">
      <c r="A144" s="160" t="str">
        <f t="shared" si="87"/>
        <v>3VDSLPremiumnationaal2048/2048</v>
      </c>
      <c r="B144" s="142" t="str">
        <f t="shared" si="103"/>
        <v>3VDSL2048/2048Premium</v>
      </c>
      <c r="C144" s="198">
        <v>3</v>
      </c>
      <c r="D144" s="198" t="s">
        <v>77</v>
      </c>
      <c r="E144" s="198" t="s">
        <v>70</v>
      </c>
      <c r="F144" s="198" t="s">
        <v>115</v>
      </c>
      <c r="G144" s="199" t="s">
        <v>113</v>
      </c>
      <c r="H144" s="198" t="s">
        <v>68</v>
      </c>
      <c r="J144" s="142" t="str">
        <f t="shared" si="88"/>
        <v>VDSL2048/2048Premium</v>
      </c>
      <c r="L144" s="160">
        <f>INDEX(Mapping!$J:$J,MATCH(C$3&amp;C144,Mapping!$B:$B,0))</f>
        <v>1</v>
      </c>
      <c r="M144" s="148" t="str">
        <f>INDEX(Mapping!$H:$H,MATCH($E144,Mapping!$B:$B,0))</f>
        <v>WBA ZM Ethernet</v>
      </c>
      <c r="N144" s="148" t="str">
        <f>INDEX(Mapping!$I:$I,MATCH($E144&amp;$G144,Mapping!$B:$B,0))</f>
        <v>premium</v>
      </c>
      <c r="O144" s="148" t="str">
        <f>INDEX(Mapping!$I:$I,MATCH($D144,Mapping!$B:$B,0))</f>
        <v>VDSL</v>
      </c>
      <c r="P144" s="148" t="str">
        <f>INDEX(Mapping!$H:$H,MATCH($F144,Mapping!$B:$B,0))</f>
        <v>nvt</v>
      </c>
      <c r="Q144" s="148" t="str">
        <f>INDEX(Mapping!$J:$J,MATCH($E144&amp;$G144,Mapping!$B:$B,0))</f>
        <v>metro</v>
      </c>
      <c r="R144" s="148" t="str">
        <f>INDEX(Mapping!$I:$I,MATCH($J144,Mapping!$B:$B,0))</f>
        <v>2 Mbps/2 Mbps</v>
      </c>
      <c r="T144" s="148" t="str">
        <f>INDEX(Mapping!$K:$K,MATCH($E144&amp;$G144,Mapping!$B:$B,0))</f>
        <v>metro-nationaal</v>
      </c>
      <c r="U144" s="142" t="str">
        <f t="shared" si="89"/>
        <v>WBA ZM Ethernet2 Mbps/2 Mbpspremiummetro</v>
      </c>
      <c r="W144" s="160">
        <f>MATCH($J144,'Tarieven ZM'!$B:$B,0)</f>
        <v>44</v>
      </c>
      <c r="X144" s="148">
        <f>INDEX('Tarieven ZM'!$H:$H,$W144)</f>
        <v>1000</v>
      </c>
      <c r="Y144" s="161">
        <f>-INDEX(Parameters!$B:$B,MATCH(Y$3,Parameters!$A:$A,0))*$X144</f>
        <v>0</v>
      </c>
      <c r="Z144" s="149">
        <f>-INDEX(Parameters!$B:$B,MATCH(Z$3,Parameters!$A:$A,0))*$X144</f>
        <v>0</v>
      </c>
      <c r="AA144" s="148">
        <f t="shared" si="90"/>
        <v>1000</v>
      </c>
      <c r="AB144" s="148">
        <f>AA144/INDEX(Parameters!$B:$B,MATCH("AfschrijftermijnVVE"&amp;12*$C144,Parameters!$A:$A,0))</f>
        <v>27.777777777777779</v>
      </c>
      <c r="AC144" s="148">
        <f>INDEX('Tarieven ZM'!$G:$G,$W144)</f>
        <v>1000</v>
      </c>
      <c r="AD144" s="161">
        <f>-INDEX(Parameters!$B:$B,MATCH(AD$3,Parameters!$A:$A,0))*$AC144</f>
        <v>0</v>
      </c>
      <c r="AE144" s="161">
        <f>-INDEX(Parameters!$B:$B,MATCH(AE$3,Parameters!$A:$A,0))*$AC144</f>
        <v>0</v>
      </c>
      <c r="AF144" s="148">
        <f t="shared" si="91"/>
        <v>1000</v>
      </c>
      <c r="AG144" s="151">
        <f t="shared" si="104"/>
        <v>1027.7777777777778</v>
      </c>
      <c r="AH144" s="123"/>
      <c r="AI144" s="147">
        <f>IF(R144&lt;&gt;"n.a.",MATCH($U144,'Tarieven W&amp;O'!$B:$B,0),"nvt")</f>
        <v>139</v>
      </c>
      <c r="AJ144" s="148">
        <f>IF(AI144&lt;&gt;"nvt",INDEX('Tarieven W&amp;O'!$H:$H,$AI144),0)</f>
        <v>0</v>
      </c>
      <c r="AK144" s="148">
        <f>IF(AI144&lt;&gt;"nvt",INDEX('Tarieven W&amp;O'!$I:$I,$AI144),0)</f>
        <v>5</v>
      </c>
      <c r="AL144" s="277">
        <f>IF(AI144&lt;&gt;"nvt",-INDEX(Parameters!$B:$B,MATCH(AL$3&amp;$M144,Parameters!$A:$A,0))*(AJ144+AK144),0)</f>
        <v>0</v>
      </c>
      <c r="AM144" s="442"/>
      <c r="AN144" s="262">
        <f t="shared" si="92"/>
        <v>5</v>
      </c>
      <c r="AO144" s="262">
        <f>AN144/INDEX(Parameters!$B:$B,MATCH("AfschrijftermijnVVE"&amp;12*$C144,Parameters!$A:$A,0))</f>
        <v>0.1388888888888889</v>
      </c>
      <c r="AP144" s="179">
        <f t="shared" si="93"/>
        <v>139</v>
      </c>
      <c r="AQ144" s="202">
        <f>IF(AP144&lt;&gt;"nvt",INDEX('Tarieven W&amp;O'!$G:$G,$AP144),0)</f>
        <v>14.82</v>
      </c>
      <c r="AR144" s="277">
        <f>-INDEX(Parameters!$B:$B,MATCH(AR$3&amp;$M144&amp;O144,Parameters!$A:$A,0))*(AQ144)</f>
        <v>0</v>
      </c>
      <c r="AS144" s="262">
        <f>Parameters!$D$54</f>
        <v>2</v>
      </c>
      <c r="AT144" s="442">
        <f>IF(M144="WBA CM Ethernet",0,'EDC Minus'!$H$27)</f>
        <v>1</v>
      </c>
      <c r="AU144" s="150">
        <f t="shared" si="105"/>
        <v>17.82</v>
      </c>
      <c r="AV144" s="150">
        <f t="shared" si="106"/>
        <v>17.95888888888889</v>
      </c>
      <c r="AW144" s="150"/>
      <c r="AX144" s="150">
        <f>Parameters!$B$6*AV144</f>
        <v>0.17958888888888891</v>
      </c>
      <c r="AY144" s="202">
        <v>0</v>
      </c>
      <c r="AZ144" s="202"/>
      <c r="BA144" s="150">
        <f t="shared" si="107"/>
        <v>0.17958888888888891</v>
      </c>
      <c r="BB144" s="150"/>
      <c r="BC144" s="151">
        <f t="shared" si="108"/>
        <v>18.13847777777778</v>
      </c>
      <c r="BD144" s="209"/>
      <c r="BE144" s="140">
        <f t="shared" si="101"/>
        <v>1009.6393</v>
      </c>
      <c r="BF144" s="141">
        <f t="shared" si="102"/>
        <v>0.98235175135135133</v>
      </c>
      <c r="BG144" s="142" t="b">
        <f t="shared" si="94"/>
        <v>0</v>
      </c>
      <c r="BH144" s="148"/>
      <c r="BI144" s="188" t="s">
        <v>538</v>
      </c>
      <c r="BJ144" s="189"/>
      <c r="BK144">
        <f>VLOOKUP(J144,'Tarieven ZM'!$B$7:$I$146,8,0)</f>
        <v>0</v>
      </c>
      <c r="BL144" s="179" t="str">
        <f>INDEX(Mapping!$M:$M,MATCH($J144,Mapping!$B:$B,0))</f>
        <v>nvt</v>
      </c>
      <c r="BM144" s="282">
        <v>0</v>
      </c>
      <c r="BN144" s="262">
        <f>BM144/INDEX(Parameters!$B:$B,MATCH("AfschrijftermijnVVE"&amp;12*$C144,Parameters!$A:$A,0))</f>
        <v>0</v>
      </c>
      <c r="BO144" s="262">
        <f>Parameters!$D$59+INDEX('inkoop ULL tbv Epacity'!I:I,MATCH($BL144,'inkoop ULL tbv Epacity'!H:H,0))</f>
        <v>1</v>
      </c>
      <c r="BP144" s="263">
        <f t="shared" si="95"/>
        <v>1</v>
      </c>
      <c r="BQ144" s="203"/>
      <c r="BR144" s="262">
        <f>Parameters!$B$12*AG144</f>
        <v>102.77777777777779</v>
      </c>
      <c r="BS144" s="262">
        <f>SUM(Distributievergoedingen!$F$12,Distributievergoedingen!$I$12,Distributievergoedingen!$L$12,Distributievergoedingen!$O$12)*AF144+SUM(Distributievergoedingen!$O$12*AA144+Distributievergoedingen!$R$12+Distributievergoedingen!$U$12+Distributievergoedingen!$X$12)/(MAX(36,12*L144))</f>
        <v>112.77777777777777</v>
      </c>
      <c r="BT144" s="202"/>
      <c r="BU144" s="202">
        <f t="shared" si="96"/>
        <v>215.55555555555554</v>
      </c>
      <c r="BW144" s="151">
        <f t="shared" si="97"/>
        <v>216.55555555555554</v>
      </c>
      <c r="BY144" s="140">
        <f t="shared" si="98"/>
        <v>811.22222222222229</v>
      </c>
      <c r="BZ144" s="141">
        <f t="shared" si="99"/>
        <v>0.78929729729729736</v>
      </c>
      <c r="CA144" s="142" t="b">
        <f t="shared" si="100"/>
        <v>0</v>
      </c>
    </row>
    <row r="145" spans="1:79">
      <c r="A145" s="160" t="str">
        <f t="shared" si="87"/>
        <v>3VDSLPremiumnationaal3072/3072</v>
      </c>
      <c r="B145" s="142" t="str">
        <f t="shared" si="103"/>
        <v>3VDSL3072/3072Premium</v>
      </c>
      <c r="C145" s="198">
        <v>3</v>
      </c>
      <c r="D145" s="198" t="s">
        <v>77</v>
      </c>
      <c r="E145" s="198" t="s">
        <v>70</v>
      </c>
      <c r="F145" s="198" t="s">
        <v>115</v>
      </c>
      <c r="G145" s="199" t="s">
        <v>113</v>
      </c>
      <c r="H145" s="198" t="s">
        <v>82</v>
      </c>
      <c r="J145" s="142" t="str">
        <f t="shared" si="88"/>
        <v>VDSL3072/3072Premium</v>
      </c>
      <c r="L145" s="160">
        <f>INDEX(Mapping!$J:$J,MATCH(C$3&amp;C145,Mapping!$B:$B,0))</f>
        <v>1</v>
      </c>
      <c r="M145" s="148" t="str">
        <f>INDEX(Mapping!$H:$H,MATCH($E145,Mapping!$B:$B,0))</f>
        <v>WBA ZM Ethernet</v>
      </c>
      <c r="N145" s="148" t="str">
        <f>INDEX(Mapping!$I:$I,MATCH($E145&amp;$G145,Mapping!$B:$B,0))</f>
        <v>premium</v>
      </c>
      <c r="O145" s="148" t="str">
        <f>INDEX(Mapping!$I:$I,MATCH($D145,Mapping!$B:$B,0))</f>
        <v>VDSL</v>
      </c>
      <c r="P145" s="148" t="str">
        <f>INDEX(Mapping!$H:$H,MATCH($F145,Mapping!$B:$B,0))</f>
        <v>nvt</v>
      </c>
      <c r="Q145" s="148" t="str">
        <f>INDEX(Mapping!$J:$J,MATCH($E145&amp;$G145,Mapping!$B:$B,0))</f>
        <v>metro</v>
      </c>
      <c r="R145" s="148" t="str">
        <f>INDEX(Mapping!$I:$I,MATCH($J145,Mapping!$B:$B,0))</f>
        <v>5 Mbps/5 Mbps</v>
      </c>
      <c r="T145" s="148" t="str">
        <f>INDEX(Mapping!$K:$K,MATCH($E145&amp;$G145,Mapping!$B:$B,0))</f>
        <v>metro-nationaal</v>
      </c>
      <c r="U145" s="142" t="str">
        <f t="shared" si="89"/>
        <v>WBA ZM Ethernet5 Mbps/5 Mbpspremiummetro</v>
      </c>
      <c r="W145" s="160">
        <f>MATCH($J145,'Tarieven ZM'!$B:$B,0)</f>
        <v>45</v>
      </c>
      <c r="X145" s="148">
        <f>INDEX('Tarieven ZM'!$H:$H,$W145)</f>
        <v>1000</v>
      </c>
      <c r="Y145" s="161">
        <f>-INDEX(Parameters!$B:$B,MATCH(Y$3,Parameters!$A:$A,0))*$X145</f>
        <v>0</v>
      </c>
      <c r="Z145" s="149">
        <f>-INDEX(Parameters!$B:$B,MATCH(Z$3,Parameters!$A:$A,0))*$X145</f>
        <v>0</v>
      </c>
      <c r="AA145" s="148">
        <f t="shared" si="90"/>
        <v>1000</v>
      </c>
      <c r="AB145" s="148">
        <f>AA145/INDEX(Parameters!$B:$B,MATCH("AfschrijftermijnVVE"&amp;12*$C145,Parameters!$A:$A,0))</f>
        <v>27.777777777777779</v>
      </c>
      <c r="AC145" s="148">
        <f>INDEX('Tarieven ZM'!$G:$G,$W145)</f>
        <v>1000</v>
      </c>
      <c r="AD145" s="161">
        <f>-INDEX(Parameters!$B:$B,MATCH(AD$3,Parameters!$A:$A,0))*$AC145</f>
        <v>0</v>
      </c>
      <c r="AE145" s="161">
        <f>-INDEX(Parameters!$B:$B,MATCH(AE$3,Parameters!$A:$A,0))*$AC145</f>
        <v>0</v>
      </c>
      <c r="AF145" s="148">
        <f t="shared" si="91"/>
        <v>1000</v>
      </c>
      <c r="AG145" s="151">
        <f t="shared" si="104"/>
        <v>1027.7777777777778</v>
      </c>
      <c r="AH145" s="123"/>
      <c r="AI145" s="147">
        <f>IF(R145&lt;&gt;"n.a.",MATCH($U145,'Tarieven W&amp;O'!$B:$B,0),"nvt")</f>
        <v>140</v>
      </c>
      <c r="AJ145" s="148">
        <f>IF(AI145&lt;&gt;"nvt",INDEX('Tarieven W&amp;O'!$H:$H,$AI145),0)</f>
        <v>0</v>
      </c>
      <c r="AK145" s="148">
        <f>IF(AI145&lt;&gt;"nvt",INDEX('Tarieven W&amp;O'!$I:$I,$AI145),0)</f>
        <v>5</v>
      </c>
      <c r="AL145" s="277">
        <f>IF(AI145&lt;&gt;"nvt",-INDEX(Parameters!$B:$B,MATCH(AL$3&amp;$M145,Parameters!$A:$A,0))*(AJ145+AK145),0)</f>
        <v>0</v>
      </c>
      <c r="AM145" s="442"/>
      <c r="AN145" s="262">
        <f t="shared" si="92"/>
        <v>5</v>
      </c>
      <c r="AO145" s="262">
        <f>AN145/INDEX(Parameters!$B:$B,MATCH("AfschrijftermijnVVE"&amp;12*$C145,Parameters!$A:$A,0))</f>
        <v>0.1388888888888889</v>
      </c>
      <c r="AP145" s="179">
        <f t="shared" si="93"/>
        <v>140</v>
      </c>
      <c r="AQ145" s="202">
        <f>IF(AP145&lt;&gt;"nvt",INDEX('Tarieven W&amp;O'!$G:$G,$AP145),0)</f>
        <v>18.53</v>
      </c>
      <c r="AR145" s="277">
        <f>-INDEX(Parameters!$B:$B,MATCH(AR$3&amp;$M145&amp;O145,Parameters!$A:$A,0))*(AQ145)</f>
        <v>0</v>
      </c>
      <c r="AS145" s="262">
        <f>Parameters!$D$54</f>
        <v>2</v>
      </c>
      <c r="AT145" s="442">
        <f>IF(M145="WBA CM Ethernet",0,'EDC Minus'!$H$27)</f>
        <v>1</v>
      </c>
      <c r="AU145" s="150">
        <f t="shared" si="105"/>
        <v>21.53</v>
      </c>
      <c r="AV145" s="150">
        <f t="shared" si="106"/>
        <v>21.66888888888889</v>
      </c>
      <c r="AW145" s="150"/>
      <c r="AX145" s="150">
        <f>Parameters!$B$6*AV145</f>
        <v>0.2166888888888889</v>
      </c>
      <c r="AY145" s="202">
        <v>0</v>
      </c>
      <c r="AZ145" s="202"/>
      <c r="BA145" s="150">
        <f t="shared" si="107"/>
        <v>0.2166888888888889</v>
      </c>
      <c r="BB145" s="150"/>
      <c r="BC145" s="151">
        <f t="shared" si="108"/>
        <v>21.88557777777778</v>
      </c>
      <c r="BD145" s="209"/>
      <c r="BE145" s="140">
        <f t="shared" si="101"/>
        <v>1005.8922</v>
      </c>
      <c r="BF145" s="141">
        <f t="shared" si="102"/>
        <v>0.97870592432432424</v>
      </c>
      <c r="BG145" s="142" t="b">
        <f t="shared" si="94"/>
        <v>0</v>
      </c>
      <c r="BH145" s="148"/>
      <c r="BI145" s="188" t="s">
        <v>538</v>
      </c>
      <c r="BJ145" s="189"/>
      <c r="BK145">
        <f>VLOOKUP(J145,'Tarieven ZM'!$B$7:$I$146,8,0)</f>
        <v>0</v>
      </c>
      <c r="BL145" s="179" t="str">
        <f>INDEX(Mapping!$M:$M,MATCH($J145,Mapping!$B:$B,0))</f>
        <v>Premium &gt; 2/2Mbps</v>
      </c>
      <c r="BM145" s="282">
        <v>0</v>
      </c>
      <c r="BN145" s="262">
        <f>BM145/INDEX(Parameters!$B:$B,MATCH("AfschrijftermijnVVE"&amp;12*$C145,Parameters!$A:$A,0))</f>
        <v>0</v>
      </c>
      <c r="BO145" s="262">
        <f>Parameters!$D$59+INDEX('inkoop ULL tbv Epacity'!I:I,MATCH($BL145,'inkoop ULL tbv Epacity'!H:H,0))</f>
        <v>17.02</v>
      </c>
      <c r="BP145" s="263">
        <f t="shared" si="95"/>
        <v>17.02</v>
      </c>
      <c r="BQ145" s="203"/>
      <c r="BR145" s="262">
        <f>Parameters!$B$12*AG145</f>
        <v>102.77777777777779</v>
      </c>
      <c r="BS145" s="262">
        <f>SUM(Distributievergoedingen!$F$12,Distributievergoedingen!$I$12,Distributievergoedingen!$L$12,Distributievergoedingen!$O$12)*AF145+SUM(Distributievergoedingen!$O$12*AA145+Distributievergoedingen!$R$12+Distributievergoedingen!$U$12+Distributievergoedingen!$X$12)/(MAX(36,12*L145))</f>
        <v>112.77777777777777</v>
      </c>
      <c r="BT145" s="202"/>
      <c r="BU145" s="202">
        <f t="shared" si="96"/>
        <v>215.55555555555554</v>
      </c>
      <c r="BW145" s="151">
        <f t="shared" si="97"/>
        <v>232.57555555555555</v>
      </c>
      <c r="BY145" s="140">
        <f t="shared" si="98"/>
        <v>795.2022222222223</v>
      </c>
      <c r="BZ145" s="141">
        <f t="shared" si="99"/>
        <v>0.77371027027027028</v>
      </c>
      <c r="CA145" s="142" t="b">
        <f t="shared" si="100"/>
        <v>0</v>
      </c>
    </row>
    <row r="146" spans="1:79">
      <c r="A146" s="160" t="str">
        <f t="shared" si="87"/>
        <v>3VDSLPremiumnationaal4096/1024</v>
      </c>
      <c r="B146" s="142" t="str">
        <f t="shared" si="103"/>
        <v>3VDSL4096/1024Premium</v>
      </c>
      <c r="C146" s="198">
        <v>3</v>
      </c>
      <c r="D146" s="198" t="s">
        <v>77</v>
      </c>
      <c r="E146" s="198" t="s">
        <v>70</v>
      </c>
      <c r="F146" s="198" t="s">
        <v>115</v>
      </c>
      <c r="G146" s="199" t="s">
        <v>113</v>
      </c>
      <c r="H146" s="198" t="s">
        <v>57</v>
      </c>
      <c r="J146" s="142" t="str">
        <f t="shared" si="88"/>
        <v>VDSL4096/1024Premium</v>
      </c>
      <c r="L146" s="160">
        <f>INDEX(Mapping!$J:$J,MATCH(C$3&amp;C146,Mapping!$B:$B,0))</f>
        <v>1</v>
      </c>
      <c r="M146" s="148" t="str">
        <f>INDEX(Mapping!$H:$H,MATCH($E146,Mapping!$B:$B,0))</f>
        <v>WBA ZM Ethernet</v>
      </c>
      <c r="N146" s="148" t="str">
        <f>INDEX(Mapping!$I:$I,MATCH($E146&amp;$G146,Mapping!$B:$B,0))</f>
        <v>premium</v>
      </c>
      <c r="O146" s="148" t="str">
        <f>INDEX(Mapping!$I:$I,MATCH($D146,Mapping!$B:$B,0))</f>
        <v>VDSL</v>
      </c>
      <c r="P146" s="148" t="str">
        <f>INDEX(Mapping!$H:$H,MATCH($F146,Mapping!$B:$B,0))</f>
        <v>nvt</v>
      </c>
      <c r="Q146" s="148" t="str">
        <f>INDEX(Mapping!$J:$J,MATCH($E146&amp;$G146,Mapping!$B:$B,0))</f>
        <v>metro</v>
      </c>
      <c r="R146" s="148" t="str">
        <f>INDEX(Mapping!$I:$I,MATCH($J146,Mapping!$B:$B,0))</f>
        <v>5 Mbps/1 Mbps</v>
      </c>
      <c r="T146" s="148" t="str">
        <f>INDEX(Mapping!$K:$K,MATCH($E146&amp;$G146,Mapping!$B:$B,0))</f>
        <v>metro-nationaal</v>
      </c>
      <c r="U146" s="142" t="str">
        <f t="shared" si="89"/>
        <v>WBA ZM Ethernet5 Mbps/1 Mbpspremiummetro</v>
      </c>
      <c r="W146" s="160">
        <f>MATCH($J146,'Tarieven ZM'!$B:$B,0)</f>
        <v>46</v>
      </c>
      <c r="X146" s="148">
        <f>INDEX('Tarieven ZM'!$H:$H,$W146)</f>
        <v>1000</v>
      </c>
      <c r="Y146" s="161">
        <f>-INDEX(Parameters!$B:$B,MATCH(Y$3,Parameters!$A:$A,0))*$X146</f>
        <v>0</v>
      </c>
      <c r="Z146" s="149">
        <f>-INDEX(Parameters!$B:$B,MATCH(Z$3,Parameters!$A:$A,0))*$X146</f>
        <v>0</v>
      </c>
      <c r="AA146" s="148">
        <f t="shared" si="90"/>
        <v>1000</v>
      </c>
      <c r="AB146" s="148">
        <f>AA146/INDEX(Parameters!$B:$B,MATCH("AfschrijftermijnVVE"&amp;12*$C146,Parameters!$A:$A,0))</f>
        <v>27.777777777777779</v>
      </c>
      <c r="AC146" s="148">
        <f>INDEX('Tarieven ZM'!$G:$G,$W146)</f>
        <v>1000</v>
      </c>
      <c r="AD146" s="161">
        <f>-INDEX(Parameters!$B:$B,MATCH(AD$3,Parameters!$A:$A,0))*$AC146</f>
        <v>0</v>
      </c>
      <c r="AE146" s="161">
        <f>-INDEX(Parameters!$B:$B,MATCH(AE$3,Parameters!$A:$A,0))*$AC146</f>
        <v>0</v>
      </c>
      <c r="AF146" s="148">
        <f t="shared" si="91"/>
        <v>1000</v>
      </c>
      <c r="AG146" s="151">
        <f t="shared" si="104"/>
        <v>1027.7777777777778</v>
      </c>
      <c r="AH146" s="123"/>
      <c r="AI146" s="147">
        <f>IF(R146&lt;&gt;"n.a.",MATCH($U146,'Tarieven W&amp;O'!$B:$B,0),"nvt")</f>
        <v>144</v>
      </c>
      <c r="AJ146" s="148">
        <f>IF(AI146&lt;&gt;"nvt",INDEX('Tarieven W&amp;O'!$H:$H,$AI146),0)</f>
        <v>0</v>
      </c>
      <c r="AK146" s="148">
        <f>IF(AI146&lt;&gt;"nvt",INDEX('Tarieven W&amp;O'!$I:$I,$AI146),0)</f>
        <v>5</v>
      </c>
      <c r="AL146" s="277">
        <f>IF(AI146&lt;&gt;"nvt",-INDEX(Parameters!$B:$B,MATCH(AL$3&amp;$M146,Parameters!$A:$A,0))*(AJ146+AK146),0)</f>
        <v>0</v>
      </c>
      <c r="AM146" s="442"/>
      <c r="AN146" s="262">
        <f t="shared" si="92"/>
        <v>5</v>
      </c>
      <c r="AO146" s="262">
        <f>AN146/INDEX(Parameters!$B:$B,MATCH("AfschrijftermijnVVE"&amp;12*$C146,Parameters!$A:$A,0))</f>
        <v>0.1388888888888889</v>
      </c>
      <c r="AP146" s="179">
        <f t="shared" si="93"/>
        <v>144</v>
      </c>
      <c r="AQ146" s="202">
        <f>IF(AP146&lt;&gt;"nvt",INDEX('Tarieven W&amp;O'!$G:$G,$AP146),0)</f>
        <v>17.29</v>
      </c>
      <c r="AR146" s="277">
        <f>-INDEX(Parameters!$B:$B,MATCH(AR$3&amp;$M146&amp;O146,Parameters!$A:$A,0))*(AQ146)</f>
        <v>0</v>
      </c>
      <c r="AS146" s="262">
        <f>Parameters!$D$54</f>
        <v>2</v>
      </c>
      <c r="AT146" s="442">
        <f>IF(M146="WBA CM Ethernet",0,'EDC Minus'!$H$27)</f>
        <v>1</v>
      </c>
      <c r="AU146" s="150">
        <f t="shared" si="105"/>
        <v>20.29</v>
      </c>
      <c r="AV146" s="150">
        <f t="shared" si="106"/>
        <v>20.428888888888888</v>
      </c>
      <c r="AW146" s="150"/>
      <c r="AX146" s="150">
        <f>Parameters!$B$6*AV146</f>
        <v>0.20428888888888888</v>
      </c>
      <c r="AY146" s="202">
        <v>0</v>
      </c>
      <c r="AZ146" s="202"/>
      <c r="BA146" s="150">
        <f t="shared" si="107"/>
        <v>0.20428888888888888</v>
      </c>
      <c r="BB146" s="150"/>
      <c r="BC146" s="151">
        <f t="shared" si="108"/>
        <v>20.633177777777778</v>
      </c>
      <c r="BD146" s="209"/>
      <c r="BE146" s="140">
        <f t="shared" si="101"/>
        <v>1007.1446000000001</v>
      </c>
      <c r="BF146" s="141">
        <f t="shared" si="102"/>
        <v>0.97992447567567575</v>
      </c>
      <c r="BG146" s="142" t="b">
        <f t="shared" si="94"/>
        <v>0</v>
      </c>
      <c r="BH146" s="148"/>
      <c r="BI146" s="188" t="s">
        <v>538</v>
      </c>
      <c r="BJ146" s="189"/>
      <c r="BK146">
        <f>VLOOKUP(J146,'Tarieven ZM'!$B$7:$I$146,8,0)</f>
        <v>0</v>
      </c>
      <c r="BL146" s="179" t="str">
        <f>INDEX(Mapping!$M:$M,MATCH($J146,Mapping!$B:$B,0))</f>
        <v>Premium &gt; 2/2Mbps</v>
      </c>
      <c r="BM146" s="282">
        <v>0</v>
      </c>
      <c r="BN146" s="262">
        <f>BM146/INDEX(Parameters!$B:$B,MATCH("AfschrijftermijnVVE"&amp;12*$C146,Parameters!$A:$A,0))</f>
        <v>0</v>
      </c>
      <c r="BO146" s="262">
        <f>Parameters!$D$59+INDEX('inkoop ULL tbv Epacity'!I:I,MATCH($BL146,'inkoop ULL tbv Epacity'!H:H,0))</f>
        <v>17.02</v>
      </c>
      <c r="BP146" s="263">
        <f t="shared" si="95"/>
        <v>17.02</v>
      </c>
      <c r="BQ146" s="203"/>
      <c r="BR146" s="262">
        <f>Parameters!$B$12*AG146</f>
        <v>102.77777777777779</v>
      </c>
      <c r="BS146" s="262">
        <f>SUM(Distributievergoedingen!$F$12,Distributievergoedingen!$I$12,Distributievergoedingen!$L$12,Distributievergoedingen!$O$12)*AF146+SUM(Distributievergoedingen!$O$12*AA146+Distributievergoedingen!$R$12+Distributievergoedingen!$U$12+Distributievergoedingen!$X$12)/(MAX(36,12*L146))</f>
        <v>112.77777777777777</v>
      </c>
      <c r="BT146" s="202"/>
      <c r="BU146" s="202">
        <f t="shared" si="96"/>
        <v>215.55555555555554</v>
      </c>
      <c r="BW146" s="151">
        <f t="shared" si="97"/>
        <v>232.57555555555555</v>
      </c>
      <c r="BY146" s="140">
        <f t="shared" si="98"/>
        <v>795.2022222222223</v>
      </c>
      <c r="BZ146" s="141">
        <f t="shared" si="99"/>
        <v>0.77371027027027028</v>
      </c>
      <c r="CA146" s="142" t="b">
        <f t="shared" si="100"/>
        <v>0</v>
      </c>
    </row>
    <row r="147" spans="1:79">
      <c r="A147" s="160" t="str">
        <f t="shared" si="87"/>
        <v>3VDSLPremiumnationaal4096/4096</v>
      </c>
      <c r="B147" s="142" t="str">
        <f t="shared" si="103"/>
        <v>3VDSL4096/4096Premium</v>
      </c>
      <c r="C147" s="198">
        <v>3</v>
      </c>
      <c r="D147" s="198" t="s">
        <v>77</v>
      </c>
      <c r="E147" s="198" t="s">
        <v>70</v>
      </c>
      <c r="F147" s="198" t="s">
        <v>115</v>
      </c>
      <c r="G147" s="199" t="s">
        <v>113</v>
      </c>
      <c r="H147" s="198" t="s">
        <v>83</v>
      </c>
      <c r="J147" s="142" t="str">
        <f t="shared" si="88"/>
        <v>VDSL4096/4096Premium</v>
      </c>
      <c r="L147" s="160">
        <f>INDEX(Mapping!$J:$J,MATCH(C$3&amp;C147,Mapping!$B:$B,0))</f>
        <v>1</v>
      </c>
      <c r="M147" s="148" t="str">
        <f>INDEX(Mapping!$H:$H,MATCH($E147,Mapping!$B:$B,0))</f>
        <v>WBA ZM Ethernet</v>
      </c>
      <c r="N147" s="148" t="str">
        <f>INDEX(Mapping!$I:$I,MATCH($E147&amp;$G147,Mapping!$B:$B,0))</f>
        <v>premium</v>
      </c>
      <c r="O147" s="148" t="str">
        <f>INDEX(Mapping!$I:$I,MATCH($D147,Mapping!$B:$B,0))</f>
        <v>VDSL</v>
      </c>
      <c r="P147" s="148" t="str">
        <f>INDEX(Mapping!$H:$H,MATCH($F147,Mapping!$B:$B,0))</f>
        <v>nvt</v>
      </c>
      <c r="Q147" s="148" t="str">
        <f>INDEX(Mapping!$J:$J,MATCH($E147&amp;$G147,Mapping!$B:$B,0))</f>
        <v>metro</v>
      </c>
      <c r="R147" s="148" t="str">
        <f>INDEX(Mapping!$I:$I,MATCH($J147,Mapping!$B:$B,0))</f>
        <v>5 Mbps/5 Mbps</v>
      </c>
      <c r="T147" s="148" t="str">
        <f>INDEX(Mapping!$K:$K,MATCH($E147&amp;$G147,Mapping!$B:$B,0))</f>
        <v>metro-nationaal</v>
      </c>
      <c r="U147" s="142" t="str">
        <f t="shared" si="89"/>
        <v>WBA ZM Ethernet5 Mbps/5 Mbpspremiummetro</v>
      </c>
      <c r="W147" s="160">
        <f>MATCH($J147,'Tarieven ZM'!$B:$B,0)</f>
        <v>47</v>
      </c>
      <c r="X147" s="148">
        <f>INDEX('Tarieven ZM'!$H:$H,$W147)</f>
        <v>1000</v>
      </c>
      <c r="Y147" s="161">
        <f>-INDEX(Parameters!$B:$B,MATCH(Y$3,Parameters!$A:$A,0))*$X147</f>
        <v>0</v>
      </c>
      <c r="Z147" s="149">
        <f>-INDEX(Parameters!$B:$B,MATCH(Z$3,Parameters!$A:$A,0))*$X147</f>
        <v>0</v>
      </c>
      <c r="AA147" s="148">
        <f t="shared" si="90"/>
        <v>1000</v>
      </c>
      <c r="AB147" s="148">
        <f>AA147/INDEX(Parameters!$B:$B,MATCH("AfschrijftermijnVVE"&amp;12*$C147,Parameters!$A:$A,0))</f>
        <v>27.777777777777779</v>
      </c>
      <c r="AC147" s="148">
        <f>INDEX('Tarieven ZM'!$G:$G,$W147)</f>
        <v>1000</v>
      </c>
      <c r="AD147" s="161">
        <f>-INDEX(Parameters!$B:$B,MATCH(AD$3,Parameters!$A:$A,0))*$AC147</f>
        <v>0</v>
      </c>
      <c r="AE147" s="161">
        <f>-INDEX(Parameters!$B:$B,MATCH(AE$3,Parameters!$A:$A,0))*$AC147</f>
        <v>0</v>
      </c>
      <c r="AF147" s="148">
        <f t="shared" si="91"/>
        <v>1000</v>
      </c>
      <c r="AG147" s="151">
        <f t="shared" si="104"/>
        <v>1027.7777777777778</v>
      </c>
      <c r="AH147" s="123"/>
      <c r="AI147" s="147">
        <f>IF(R147&lt;&gt;"n.a.",MATCH($U147,'Tarieven W&amp;O'!$B:$B,0),"nvt")</f>
        <v>140</v>
      </c>
      <c r="AJ147" s="148">
        <f>IF(AI147&lt;&gt;"nvt",INDEX('Tarieven W&amp;O'!$H:$H,$AI147),0)</f>
        <v>0</v>
      </c>
      <c r="AK147" s="148">
        <f>IF(AI147&lt;&gt;"nvt",INDEX('Tarieven W&amp;O'!$I:$I,$AI147),0)</f>
        <v>5</v>
      </c>
      <c r="AL147" s="277">
        <f>IF(AI147&lt;&gt;"nvt",-INDEX(Parameters!$B:$B,MATCH(AL$3&amp;$M147,Parameters!$A:$A,0))*(AJ147+AK147),0)</f>
        <v>0</v>
      </c>
      <c r="AM147" s="442"/>
      <c r="AN147" s="262">
        <f t="shared" si="92"/>
        <v>5</v>
      </c>
      <c r="AO147" s="262">
        <f>AN147/INDEX(Parameters!$B:$B,MATCH("AfschrijftermijnVVE"&amp;12*$C147,Parameters!$A:$A,0))</f>
        <v>0.1388888888888889</v>
      </c>
      <c r="AP147" s="179">
        <f t="shared" si="93"/>
        <v>140</v>
      </c>
      <c r="AQ147" s="202">
        <f>IF(AP147&lt;&gt;"nvt",INDEX('Tarieven W&amp;O'!$G:$G,$AP147),0)</f>
        <v>18.53</v>
      </c>
      <c r="AR147" s="277">
        <f>-INDEX(Parameters!$B:$B,MATCH(AR$3&amp;$M147&amp;O147,Parameters!$A:$A,0))*(AQ147)</f>
        <v>0</v>
      </c>
      <c r="AS147" s="262">
        <f>Parameters!$D$54</f>
        <v>2</v>
      </c>
      <c r="AT147" s="442">
        <f>IF(M147="WBA CM Ethernet",0,'EDC Minus'!$H$27)</f>
        <v>1</v>
      </c>
      <c r="AU147" s="150">
        <f t="shared" si="105"/>
        <v>21.53</v>
      </c>
      <c r="AV147" s="150">
        <f t="shared" si="106"/>
        <v>21.66888888888889</v>
      </c>
      <c r="AW147" s="150"/>
      <c r="AX147" s="150">
        <f>Parameters!$B$6*AV147</f>
        <v>0.2166888888888889</v>
      </c>
      <c r="AY147" s="202">
        <v>0</v>
      </c>
      <c r="AZ147" s="202"/>
      <c r="BA147" s="150">
        <f t="shared" si="107"/>
        <v>0.2166888888888889</v>
      </c>
      <c r="BB147" s="150"/>
      <c r="BC147" s="151">
        <f t="shared" si="108"/>
        <v>21.88557777777778</v>
      </c>
      <c r="BD147" s="209"/>
      <c r="BE147" s="140">
        <f t="shared" si="101"/>
        <v>1005.8922</v>
      </c>
      <c r="BF147" s="141">
        <f t="shared" si="102"/>
        <v>0.97870592432432424</v>
      </c>
      <c r="BG147" s="142" t="b">
        <f t="shared" si="94"/>
        <v>0</v>
      </c>
      <c r="BH147" s="148"/>
      <c r="BI147" s="188" t="s">
        <v>538</v>
      </c>
      <c r="BJ147" s="189"/>
      <c r="BK147">
        <f>VLOOKUP(J147,'Tarieven ZM'!$B$7:$I$146,8,0)</f>
        <v>0</v>
      </c>
      <c r="BL147" s="179" t="str">
        <f>INDEX(Mapping!$M:$M,MATCH($J147,Mapping!$B:$B,0))</f>
        <v>Premium &gt; 2/2Mbps</v>
      </c>
      <c r="BM147" s="282">
        <v>0</v>
      </c>
      <c r="BN147" s="262">
        <f>BM147/INDEX(Parameters!$B:$B,MATCH("AfschrijftermijnVVE"&amp;12*$C147,Parameters!$A:$A,0))</f>
        <v>0</v>
      </c>
      <c r="BO147" s="262">
        <f>Parameters!$D$59+INDEX('inkoop ULL tbv Epacity'!I:I,MATCH($BL147,'inkoop ULL tbv Epacity'!H:H,0))</f>
        <v>17.02</v>
      </c>
      <c r="BP147" s="263">
        <f t="shared" si="95"/>
        <v>17.02</v>
      </c>
      <c r="BQ147" s="203"/>
      <c r="BR147" s="262">
        <f>Parameters!$B$12*AG147</f>
        <v>102.77777777777779</v>
      </c>
      <c r="BS147" s="262">
        <f>SUM(Distributievergoedingen!$F$12,Distributievergoedingen!$I$12,Distributievergoedingen!$L$12,Distributievergoedingen!$O$12)*AF147+SUM(Distributievergoedingen!$O$12*AA147+Distributievergoedingen!$R$12+Distributievergoedingen!$U$12+Distributievergoedingen!$X$12)/(MAX(36,12*L147))</f>
        <v>112.77777777777777</v>
      </c>
      <c r="BT147" s="202"/>
      <c r="BU147" s="202">
        <f t="shared" si="96"/>
        <v>215.55555555555554</v>
      </c>
      <c r="BW147" s="151">
        <f t="shared" si="97"/>
        <v>232.57555555555555</v>
      </c>
      <c r="BY147" s="140">
        <f t="shared" si="98"/>
        <v>795.2022222222223</v>
      </c>
      <c r="BZ147" s="141">
        <f t="shared" si="99"/>
        <v>0.77371027027027028</v>
      </c>
      <c r="CA147" s="142" t="b">
        <f t="shared" si="100"/>
        <v>0</v>
      </c>
    </row>
    <row r="148" spans="1:79">
      <c r="A148" s="160" t="str">
        <f t="shared" si="87"/>
        <v>3VDSLPremiumnationaal8192/1024</v>
      </c>
      <c r="B148" s="142" t="str">
        <f t="shared" si="103"/>
        <v>3VDSL8192/1024Premium</v>
      </c>
      <c r="C148" s="198">
        <v>3</v>
      </c>
      <c r="D148" s="198" t="s">
        <v>77</v>
      </c>
      <c r="E148" s="198" t="s">
        <v>70</v>
      </c>
      <c r="F148" s="198" t="s">
        <v>115</v>
      </c>
      <c r="G148" s="199" t="s">
        <v>113</v>
      </c>
      <c r="H148" s="198" t="s">
        <v>84</v>
      </c>
      <c r="J148" s="142" t="str">
        <f t="shared" si="88"/>
        <v>VDSL8192/1024Premium</v>
      </c>
      <c r="L148" s="160">
        <f>INDEX(Mapping!$J:$J,MATCH(C$3&amp;C148,Mapping!$B:$B,0))</f>
        <v>1</v>
      </c>
      <c r="M148" s="148" t="str">
        <f>INDEX(Mapping!$H:$H,MATCH($E148,Mapping!$B:$B,0))</f>
        <v>WBA ZM Ethernet</v>
      </c>
      <c r="N148" s="148" t="str">
        <f>INDEX(Mapping!$I:$I,MATCH($E148&amp;$G148,Mapping!$B:$B,0))</f>
        <v>premium</v>
      </c>
      <c r="O148" s="148" t="str">
        <f>INDEX(Mapping!$I:$I,MATCH($D148,Mapping!$B:$B,0))</f>
        <v>VDSL</v>
      </c>
      <c r="P148" s="148" t="str">
        <f>INDEX(Mapping!$H:$H,MATCH($F148,Mapping!$B:$B,0))</f>
        <v>nvt</v>
      </c>
      <c r="Q148" s="148" t="str">
        <f>INDEX(Mapping!$J:$J,MATCH($E148&amp;$G148,Mapping!$B:$B,0))</f>
        <v>metro</v>
      </c>
      <c r="R148" s="148" t="str">
        <f>INDEX(Mapping!$I:$I,MATCH($J148,Mapping!$B:$B,0))</f>
        <v>10 Mbps/5 Mbps</v>
      </c>
      <c r="T148" s="148" t="str">
        <f>INDEX(Mapping!$K:$K,MATCH($E148&amp;$G148,Mapping!$B:$B,0))</f>
        <v>metro-nationaal</v>
      </c>
      <c r="U148" s="142" t="str">
        <f t="shared" ref="U148:U159" si="109">M148&amp;R148&amp;N148&amp;Q148</f>
        <v>WBA ZM Ethernet10 Mbps/5 Mbpspremiummetro</v>
      </c>
      <c r="W148" s="160">
        <f>MATCH($J148,'Tarieven ZM'!$B:$B,0)</f>
        <v>48</v>
      </c>
      <c r="X148" s="148">
        <f>INDEX('Tarieven ZM'!$H:$H,$W148)</f>
        <v>1000</v>
      </c>
      <c r="Y148" s="161">
        <f>-INDEX(Parameters!$B:$B,MATCH(Y$3,Parameters!$A:$A,0))*$X148</f>
        <v>0</v>
      </c>
      <c r="Z148" s="149">
        <f>-INDEX(Parameters!$B:$B,MATCH(Z$3,Parameters!$A:$A,0))*$X148</f>
        <v>0</v>
      </c>
      <c r="AA148" s="148">
        <f t="shared" si="90"/>
        <v>1000</v>
      </c>
      <c r="AB148" s="148">
        <f>AA148/INDEX(Parameters!$B:$B,MATCH("AfschrijftermijnVVE"&amp;12*$C148,Parameters!$A:$A,0))</f>
        <v>27.777777777777779</v>
      </c>
      <c r="AC148" s="148">
        <f>INDEX('Tarieven ZM'!$G:$G,$W148)</f>
        <v>1000</v>
      </c>
      <c r="AD148" s="161">
        <f>-INDEX(Parameters!$B:$B,MATCH(AD$3,Parameters!$A:$A,0))*$AC148</f>
        <v>0</v>
      </c>
      <c r="AE148" s="161">
        <f>-INDEX(Parameters!$B:$B,MATCH(AE$3,Parameters!$A:$A,0))*$AC148</f>
        <v>0</v>
      </c>
      <c r="AF148" s="148">
        <f t="shared" si="91"/>
        <v>1000</v>
      </c>
      <c r="AG148" s="151">
        <f t="shared" si="104"/>
        <v>1027.7777777777778</v>
      </c>
      <c r="AH148" s="123"/>
      <c r="AI148" s="147">
        <f>IF(R148&lt;&gt;"n.a.",MATCH($U148,'Tarieven W&amp;O'!$B:$B,0),"nvt")</f>
        <v>145</v>
      </c>
      <c r="AJ148" s="148">
        <f>IF(AI148&lt;&gt;"nvt",INDEX('Tarieven W&amp;O'!$H:$H,$AI148),0)</f>
        <v>0</v>
      </c>
      <c r="AK148" s="148">
        <f>IF(AI148&lt;&gt;"nvt",INDEX('Tarieven W&amp;O'!$I:$I,$AI148),0)</f>
        <v>5</v>
      </c>
      <c r="AL148" s="277">
        <f>IF(AI148&lt;&gt;"nvt",-INDEX(Parameters!$B:$B,MATCH(AL$3&amp;$M148,Parameters!$A:$A,0))*(AJ148+AK148),0)</f>
        <v>0</v>
      </c>
      <c r="AM148" s="442"/>
      <c r="AN148" s="262">
        <f t="shared" si="92"/>
        <v>5</v>
      </c>
      <c r="AO148" s="262">
        <f>AN148/INDEX(Parameters!$B:$B,MATCH("AfschrijftermijnVVE"&amp;12*$C148,Parameters!$A:$A,0))</f>
        <v>0.1388888888888889</v>
      </c>
      <c r="AP148" s="179">
        <f t="shared" si="93"/>
        <v>145</v>
      </c>
      <c r="AQ148" s="202">
        <f>IF(AP148&lt;&gt;"nvt",INDEX('Tarieven W&amp;O'!$G:$G,$AP148),0)</f>
        <v>22.24</v>
      </c>
      <c r="AR148" s="277">
        <f>-INDEX(Parameters!$B:$B,MATCH(AR$3&amp;$M148&amp;O148,Parameters!$A:$A,0))*(AQ148)</f>
        <v>0</v>
      </c>
      <c r="AS148" s="262">
        <f>Parameters!$D$54</f>
        <v>2</v>
      </c>
      <c r="AT148" s="442">
        <f>IF(M148="WBA CM Ethernet",0,'EDC Minus'!$H$27)</f>
        <v>1</v>
      </c>
      <c r="AU148" s="150">
        <f t="shared" si="105"/>
        <v>25.24</v>
      </c>
      <c r="AV148" s="150">
        <f t="shared" si="106"/>
        <v>25.378888888888888</v>
      </c>
      <c r="AW148" s="150"/>
      <c r="AX148" s="150">
        <f>Parameters!$B$6*AV148</f>
        <v>0.2537888888888889</v>
      </c>
      <c r="AY148" s="202">
        <v>0</v>
      </c>
      <c r="AZ148" s="202"/>
      <c r="BA148" s="150">
        <f t="shared" si="107"/>
        <v>0.2537888888888889</v>
      </c>
      <c r="BB148" s="150"/>
      <c r="BC148" s="151">
        <f t="shared" si="108"/>
        <v>25.632677777777776</v>
      </c>
      <c r="BD148" s="209"/>
      <c r="BE148" s="140">
        <f t="shared" si="101"/>
        <v>1002.1451000000001</v>
      </c>
      <c r="BF148" s="141">
        <f t="shared" si="102"/>
        <v>0.97506009729729737</v>
      </c>
      <c r="BG148" s="142" t="b">
        <f t="shared" si="94"/>
        <v>0</v>
      </c>
      <c r="BH148" s="148"/>
      <c r="BI148" s="188" t="s">
        <v>538</v>
      </c>
      <c r="BJ148" s="189"/>
      <c r="BK148">
        <f>VLOOKUP(J148,'Tarieven ZM'!$B$7:$I$146,8,0)</f>
        <v>0</v>
      </c>
      <c r="BL148" s="179" t="str">
        <f>INDEX(Mapping!$M:$M,MATCH($J148,Mapping!$B:$B,0))</f>
        <v>Premium &gt; 2/2Mbps</v>
      </c>
      <c r="BM148" s="282">
        <v>0</v>
      </c>
      <c r="BN148" s="262">
        <f>BM148/INDEX(Parameters!$B:$B,MATCH("AfschrijftermijnVVE"&amp;12*$C148,Parameters!$A:$A,0))</f>
        <v>0</v>
      </c>
      <c r="BO148" s="262">
        <f>Parameters!$D$59+INDEX('inkoop ULL tbv Epacity'!I:I,MATCH($BL148,'inkoop ULL tbv Epacity'!H:H,0))</f>
        <v>17.02</v>
      </c>
      <c r="BP148" s="263">
        <f t="shared" si="95"/>
        <v>17.02</v>
      </c>
      <c r="BQ148" s="203"/>
      <c r="BR148" s="262">
        <f>Parameters!$B$12*AG148</f>
        <v>102.77777777777779</v>
      </c>
      <c r="BS148" s="262">
        <f>SUM(Distributievergoedingen!$F$12,Distributievergoedingen!$I$12,Distributievergoedingen!$L$12,Distributievergoedingen!$O$12)*AF148+SUM(Distributievergoedingen!$O$12*AA148+Distributievergoedingen!$R$12+Distributievergoedingen!$U$12+Distributievergoedingen!$X$12)/(MAX(36,12*L148))</f>
        <v>112.77777777777777</v>
      </c>
      <c r="BT148" s="202"/>
      <c r="BU148" s="202">
        <f t="shared" si="96"/>
        <v>215.55555555555554</v>
      </c>
      <c r="BW148" s="151">
        <f t="shared" si="97"/>
        <v>232.57555555555555</v>
      </c>
      <c r="BY148" s="140">
        <f t="shared" si="98"/>
        <v>795.2022222222223</v>
      </c>
      <c r="BZ148" s="141">
        <f t="shared" si="99"/>
        <v>0.77371027027027028</v>
      </c>
      <c r="CA148" s="142" t="b">
        <f t="shared" si="100"/>
        <v>0</v>
      </c>
    </row>
    <row r="149" spans="1:79" s="203" customFormat="1">
      <c r="A149" s="273" t="str">
        <f>C149&amp;D149&amp;E149&amp;G149&amp;H149</f>
        <v>3SA IPVPNEntrynationaal1024/1024 tbv alarm</v>
      </c>
      <c r="B149" s="274" t="str">
        <f>C149&amp;D149&amp;H149&amp;E149</f>
        <v>3SA IPVPN1024/1024 tbv alarmEntry</v>
      </c>
      <c r="C149" s="275">
        <v>3</v>
      </c>
      <c r="D149" s="275" t="s">
        <v>93</v>
      </c>
      <c r="E149" s="275" t="s">
        <v>78</v>
      </c>
      <c r="F149" s="275" t="s">
        <v>115</v>
      </c>
      <c r="G149" s="201" t="s">
        <v>113</v>
      </c>
      <c r="H149" s="438" t="s">
        <v>1249</v>
      </c>
      <c r="J149" s="274" t="str">
        <f>D149&amp;H149&amp;E149</f>
        <v>SA IPVPN1024/1024 tbv alarmEntry</v>
      </c>
      <c r="L149" s="273">
        <f>INDEX(Mapping!$J:$J,MATCH(C$3&amp;C149,Mapping!$B:$B,0))</f>
        <v>1</v>
      </c>
      <c r="M149" s="179" t="str">
        <f>INDEX(Mapping!$H:$H,MATCH($E149,Mapping!$B:$B,0))</f>
        <v>WBA CM Ethernet</v>
      </c>
      <c r="N149" s="179" t="str">
        <f>INDEX(Mapping!$I:$I,MATCH($E149&amp;$G149,Mapping!$B:$B,0))</f>
        <v>entry</v>
      </c>
      <c r="O149" s="179" t="str">
        <f>INDEX(Mapping!$I:$I,MATCH($D149,Mapping!$B:$B,0))</f>
        <v>FttH</v>
      </c>
      <c r="P149" s="179" t="str">
        <f>INDEX(Mapping!$H:$H,MATCH($F149,Mapping!$B:$B,0))</f>
        <v>nvt</v>
      </c>
      <c r="Q149" s="179" t="str">
        <f>INDEX(Mapping!$J:$J,MATCH($E149&amp;$G149,Mapping!$B:$B,0))</f>
        <v>national</v>
      </c>
      <c r="R149" s="179" t="str">
        <f>INDEX(Mapping!$I:$I,MATCH($J149,Mapping!$B:$B,0))</f>
        <v>≤50/50 Mbps</v>
      </c>
      <c r="T149" s="179" t="str">
        <f>INDEX(Mapping!$K:$K,MATCH($E149&amp;$G149,Mapping!$B:$B,0))</f>
        <v>nvt</v>
      </c>
      <c r="U149" s="274" t="str">
        <f>M149&amp;R149&amp;N149&amp;Q149</f>
        <v>WBA CM Ethernet≤50/50 Mbpsentrynational</v>
      </c>
      <c r="W149" s="273">
        <f>MATCH($J149,'Tarieven ZM'!$B:$B,0)</f>
        <v>49</v>
      </c>
      <c r="X149" s="179">
        <f>INDEX('Tarieven ZM'!$H:$H,$W149)</f>
        <v>1000</v>
      </c>
      <c r="Y149" s="276">
        <f>-INDEX(Parameters!$B:$B,MATCH(Y$3,Parameters!$A:$A,0))*$X149</f>
        <v>0</v>
      </c>
      <c r="Z149" s="277">
        <f>-INDEX(Parameters!$B:$B,MATCH(Z$3,Parameters!$A:$A,0))*$X149</f>
        <v>0</v>
      </c>
      <c r="AA149" s="179">
        <f>SUM(X149:Z149)</f>
        <v>1000</v>
      </c>
      <c r="AB149" s="179">
        <f>AA149/INDEX(Parameters!$B:$B,MATCH("AfschrijftermijnVVE"&amp;12*$C149,Parameters!$A:$A,0))</f>
        <v>27.777777777777779</v>
      </c>
      <c r="AC149" s="179">
        <f>INDEX('Tarieven ZM'!$G:$G,$W149)</f>
        <v>1000</v>
      </c>
      <c r="AD149" s="276">
        <f>-INDEX(Parameters!$B:$B,MATCH(AD$3,Parameters!$A:$A,0))*$AC149</f>
        <v>0</v>
      </c>
      <c r="AE149" s="276">
        <f>-INDEX(Parameters!$B:$B,MATCH(AE$3,Parameters!$A:$A,0))*$AC149</f>
        <v>0</v>
      </c>
      <c r="AF149" s="179">
        <f>SUM(AC149:AE149)</f>
        <v>1000</v>
      </c>
      <c r="AG149" s="278">
        <f>SUM(AB149,AF149)</f>
        <v>1027.7777777777778</v>
      </c>
      <c r="AH149" s="209"/>
      <c r="AI149" s="279">
        <f>IF(R149&lt;&gt;"n.a.",MATCH($U149,'Tarieven W&amp;O'!$B:$B,0),"nvt")</f>
        <v>126</v>
      </c>
      <c r="AJ149" s="179">
        <f>IF(AI149&lt;&gt;"nvt",INDEX('Tarieven W&amp;O'!$H:$H,$AI149),0)</f>
        <v>0</v>
      </c>
      <c r="AK149" s="179">
        <f>IF(AI149&lt;&gt;"nvt",INDEX('Tarieven W&amp;O'!$I:$I,$AI149),0)</f>
        <v>5</v>
      </c>
      <c r="AL149" s="277">
        <f>IF(AI149&lt;&gt;"nvt",-INDEX(Parameters!$B:$B,MATCH(AL$3&amp;$M149,Parameters!$A:$A,0))*(AJ149+AK149),0)</f>
        <v>0</v>
      </c>
      <c r="AM149" s="442"/>
      <c r="AN149" s="262">
        <f>SUM(AJ149:AM149)</f>
        <v>5</v>
      </c>
      <c r="AO149" s="262">
        <f>AN149/INDEX(Parameters!$B:$B,MATCH("AfschrijftermijnVVE"&amp;12*$C149,Parameters!$A:$A,0))</f>
        <v>0.1388888888888889</v>
      </c>
      <c r="AP149" s="179">
        <f>AI149</f>
        <v>126</v>
      </c>
      <c r="AQ149" s="202">
        <f>IF(AP149&lt;&gt;"nvt",INDEX('Tarieven W&amp;O'!$G:$G,$AP149),0)</f>
        <v>7.43</v>
      </c>
      <c r="AR149" s="277">
        <f>-INDEX(Parameters!$B:$B,MATCH(AR$3&amp;$M149&amp;O149,Parameters!$A:$A,0))*(AQ149)</f>
        <v>0</v>
      </c>
      <c r="AS149" s="262">
        <f>Parameters!$D$54</f>
        <v>2</v>
      </c>
      <c r="AT149" s="442">
        <f>IF(M149="WBA CM Ethernet",0,'EDC Minus'!$H$27)</f>
        <v>0</v>
      </c>
      <c r="AU149" s="202">
        <f>SUM(AQ149:AT149)</f>
        <v>9.43</v>
      </c>
      <c r="AV149" s="202">
        <f>SUM(AO149,AU149)</f>
        <v>9.568888888888889</v>
      </c>
      <c r="AW149" s="202"/>
      <c r="AX149" s="202">
        <f>Parameters!$B$6*AV149</f>
        <v>9.5688888888888893E-2</v>
      </c>
      <c r="AY149" s="202">
        <v>0</v>
      </c>
      <c r="AZ149" s="202"/>
      <c r="BA149" s="202">
        <f>SUM(AX149:AZ149)</f>
        <v>9.5688888888888893E-2</v>
      </c>
      <c r="BB149" s="202"/>
      <c r="BC149" s="278">
        <f>SUM(AV149,BA149)</f>
        <v>9.6645777777777777</v>
      </c>
      <c r="BD149" s="209"/>
      <c r="BE149" s="280">
        <f>AG149-BC149</f>
        <v>1018.1132</v>
      </c>
      <c r="BF149" s="264">
        <f>IF(AG149=0,-999%,BE149/AG149)</f>
        <v>0.990596627027027</v>
      </c>
      <c r="BG149" s="274" t="b">
        <f>BF149&lt;0</f>
        <v>0</v>
      </c>
      <c r="BH149" s="179"/>
      <c r="BI149" s="443" t="s">
        <v>538</v>
      </c>
      <c r="BJ149" s="281"/>
      <c r="BK149" s="203">
        <f>VLOOKUP(J149,'Tarieven ZM'!$B$7:$I$146,8,0)</f>
        <v>0</v>
      </c>
      <c r="BL149" s="179" t="str">
        <f>INDEX(Mapping!$M:$M,MATCH($J149,Mapping!$B:$B,0))</f>
        <v>nvt</v>
      </c>
      <c r="BM149" s="282">
        <v>0</v>
      </c>
      <c r="BN149" s="262">
        <f>BM149/INDEX(Parameters!$B:$B,MATCH("AfschrijftermijnVVE"&amp;12*$C149,Parameters!$A:$A,0))</f>
        <v>0</v>
      </c>
      <c r="BO149" s="262">
        <f>Parameters!$D$59+INDEX('inkoop ULL tbv Epacity'!I:I,MATCH($BL149,'inkoop ULL tbv Epacity'!H:H,0))</f>
        <v>1</v>
      </c>
      <c r="BP149" s="263">
        <f>BN149+BO149</f>
        <v>1</v>
      </c>
      <c r="BR149" s="262">
        <f>Parameters!$B$12*AG149</f>
        <v>102.77777777777779</v>
      </c>
      <c r="BS149" s="262">
        <f>SUM(Distributievergoedingen!$F$12,Distributievergoedingen!$I$12,Distributievergoedingen!$L$12,Distributievergoedingen!$O$12)*AF149+SUM(Distributievergoedingen!$O$12*AA149+Distributievergoedingen!$R$12+Distributievergoedingen!$U$12+Distributievergoedingen!$X$12)/(MAX(36,12*L149))</f>
        <v>112.77777777777777</v>
      </c>
      <c r="BT149" s="202"/>
      <c r="BU149" s="202">
        <f>SUM(BR149:BT149)</f>
        <v>215.55555555555554</v>
      </c>
      <c r="BW149" s="278">
        <f>SUM(BP149,BU149)</f>
        <v>216.55555555555554</v>
      </c>
      <c r="BY149" s="280">
        <f>AG149-BW149</f>
        <v>811.22222222222229</v>
      </c>
      <c r="BZ149" s="264">
        <f>IF(AG149=0,-999%,BY149/AG149)</f>
        <v>0.78929729729729736</v>
      </c>
      <c r="CA149" s="274" t="b">
        <f>BZ149&lt;0</f>
        <v>0</v>
      </c>
    </row>
    <row r="150" spans="1:79">
      <c r="A150" s="160" t="str">
        <f t="shared" ref="A150:A159" si="110">C150&amp;D150&amp;E150&amp;G150&amp;H150</f>
        <v>3SA IPVPNEntrynationaal51200/51200</v>
      </c>
      <c r="B150" s="142" t="str">
        <f t="shared" si="103"/>
        <v>3SA IPVPN51200/51200Entry</v>
      </c>
      <c r="C150" s="198">
        <v>3</v>
      </c>
      <c r="D150" s="198" t="s">
        <v>93</v>
      </c>
      <c r="E150" s="198" t="s">
        <v>78</v>
      </c>
      <c r="F150" s="198" t="s">
        <v>115</v>
      </c>
      <c r="G150" s="199" t="s">
        <v>113</v>
      </c>
      <c r="H150" s="198" t="s">
        <v>100</v>
      </c>
      <c r="J150" s="142" t="str">
        <f t="shared" ref="J150:J159" si="111">D150&amp;H150&amp;E150</f>
        <v>SA IPVPN51200/51200Entry</v>
      </c>
      <c r="L150" s="160">
        <f>INDEX(Mapping!$J:$J,MATCH(C$3&amp;C150,Mapping!$B:$B,0))</f>
        <v>1</v>
      </c>
      <c r="M150" s="148" t="str">
        <f>INDEX(Mapping!$H:$H,MATCH($E150,Mapping!$B:$B,0))</f>
        <v>WBA CM Ethernet</v>
      </c>
      <c r="N150" s="148" t="str">
        <f>INDEX(Mapping!$I:$I,MATCH($E150&amp;$G150,Mapping!$B:$B,0))</f>
        <v>entry</v>
      </c>
      <c r="O150" s="148" t="str">
        <f>INDEX(Mapping!$I:$I,MATCH($D150,Mapping!$B:$B,0))</f>
        <v>FttH</v>
      </c>
      <c r="P150" s="148" t="str">
        <f>INDEX(Mapping!$H:$H,MATCH($F150,Mapping!$B:$B,0))</f>
        <v>nvt</v>
      </c>
      <c r="Q150" s="148" t="str">
        <f>INDEX(Mapping!$J:$J,MATCH($E150&amp;$G150,Mapping!$B:$B,0))</f>
        <v>national</v>
      </c>
      <c r="R150" s="148" t="str">
        <f>INDEX(Mapping!$I:$I,MATCH($J150,Mapping!$B:$B,0))</f>
        <v>≤50/50 Mbps</v>
      </c>
      <c r="T150" s="148" t="str">
        <f>INDEX(Mapping!$K:$K,MATCH($E150&amp;$G150,Mapping!$B:$B,0))</f>
        <v>nvt</v>
      </c>
      <c r="U150" s="142" t="str">
        <f t="shared" si="109"/>
        <v>WBA CM Ethernet≤50/50 Mbpsentrynational</v>
      </c>
      <c r="W150" s="160">
        <f>MATCH($J150,'Tarieven ZM'!$B:$B,0)</f>
        <v>50</v>
      </c>
      <c r="X150" s="148">
        <f>INDEX('Tarieven ZM'!$H:$H,$W150)</f>
        <v>1000</v>
      </c>
      <c r="Y150" s="161">
        <f>-INDEX(Parameters!$B:$B,MATCH(Y$3,Parameters!$A:$A,0))*$X150</f>
        <v>0</v>
      </c>
      <c r="Z150" s="149">
        <f>-INDEX(Parameters!$B:$B,MATCH(Z$3,Parameters!$A:$A,0))*$X150</f>
        <v>0</v>
      </c>
      <c r="AA150" s="148">
        <f t="shared" ref="AA150:AA159" si="112">SUM(X150:Z150)</f>
        <v>1000</v>
      </c>
      <c r="AB150" s="148">
        <f>AA150/INDEX(Parameters!$B:$B,MATCH("AfschrijftermijnVVE"&amp;12*$C150,Parameters!$A:$A,0))</f>
        <v>27.777777777777779</v>
      </c>
      <c r="AC150" s="148">
        <f>INDEX('Tarieven ZM'!$G:$G,$W150)</f>
        <v>1000</v>
      </c>
      <c r="AD150" s="161">
        <f>-INDEX(Parameters!$B:$B,MATCH(AD$3,Parameters!$A:$A,0))*$AC150</f>
        <v>0</v>
      </c>
      <c r="AE150" s="161">
        <f>-INDEX(Parameters!$B:$B,MATCH(AE$3,Parameters!$A:$A,0))*$AC150</f>
        <v>0</v>
      </c>
      <c r="AF150" s="148">
        <f t="shared" ref="AF150:AF159" si="113">SUM(AC150:AE150)</f>
        <v>1000</v>
      </c>
      <c r="AG150" s="151">
        <f t="shared" si="104"/>
        <v>1027.7777777777778</v>
      </c>
      <c r="AH150" s="123"/>
      <c r="AI150" s="147">
        <f>IF(R150&lt;&gt;"n.a.",MATCH($U150,'Tarieven W&amp;O'!$B:$B,0),"nvt")</f>
        <v>126</v>
      </c>
      <c r="AJ150" s="148">
        <f>IF(AI150&lt;&gt;"nvt",INDEX('Tarieven W&amp;O'!$H:$H,$AI150),0)</f>
        <v>0</v>
      </c>
      <c r="AK150" s="148">
        <f>IF(AI150&lt;&gt;"nvt",INDEX('Tarieven W&amp;O'!$I:$I,$AI150),0)</f>
        <v>5</v>
      </c>
      <c r="AL150" s="277">
        <f>IF(AI150&lt;&gt;"nvt",-INDEX(Parameters!$B:$B,MATCH(AL$3&amp;$M150,Parameters!$A:$A,0))*(AJ150+AK150),0)</f>
        <v>0</v>
      </c>
      <c r="AM150" s="442"/>
      <c r="AN150" s="262">
        <f t="shared" ref="AN150:AN159" si="114">SUM(AJ150:AM150)</f>
        <v>5</v>
      </c>
      <c r="AO150" s="262">
        <f>AN150/INDEX(Parameters!$B:$B,MATCH("AfschrijftermijnVVE"&amp;12*$C150,Parameters!$A:$A,0))</f>
        <v>0.1388888888888889</v>
      </c>
      <c r="AP150" s="179">
        <f t="shared" ref="AP150:AP159" si="115">AI150</f>
        <v>126</v>
      </c>
      <c r="AQ150" s="202">
        <f>IF(AP150&lt;&gt;"nvt",INDEX('Tarieven W&amp;O'!$G:$G,$AP150),0)</f>
        <v>7.43</v>
      </c>
      <c r="AR150" s="277">
        <f>-INDEX(Parameters!$B:$B,MATCH(AR$3&amp;$M150&amp;O150,Parameters!$A:$A,0))*(AQ150)</f>
        <v>0</v>
      </c>
      <c r="AS150" s="262">
        <f>Parameters!$D$54</f>
        <v>2</v>
      </c>
      <c r="AT150" s="442">
        <f>IF(M150="WBA CM Ethernet",0,'EDC Minus'!$H$27)</f>
        <v>0</v>
      </c>
      <c r="AU150" s="150">
        <f t="shared" si="105"/>
        <v>9.43</v>
      </c>
      <c r="AV150" s="150">
        <f t="shared" si="106"/>
        <v>9.568888888888889</v>
      </c>
      <c r="AW150" s="150"/>
      <c r="AX150" s="150">
        <f>Parameters!$B$6*AV150</f>
        <v>9.5688888888888893E-2</v>
      </c>
      <c r="AY150" s="202">
        <v>0</v>
      </c>
      <c r="AZ150" s="202"/>
      <c r="BA150" s="150">
        <f t="shared" si="107"/>
        <v>9.5688888888888893E-2</v>
      </c>
      <c r="BB150" s="150"/>
      <c r="BC150" s="151">
        <f t="shared" si="108"/>
        <v>9.6645777777777777</v>
      </c>
      <c r="BD150" s="209"/>
      <c r="BE150" s="140">
        <f t="shared" si="101"/>
        <v>1018.1132</v>
      </c>
      <c r="BF150" s="141">
        <f t="shared" si="102"/>
        <v>0.990596627027027</v>
      </c>
      <c r="BG150" s="142" t="b">
        <f t="shared" ref="BG150:BG159" si="116">BF150&lt;0</f>
        <v>0</v>
      </c>
      <c r="BH150" s="148"/>
      <c r="BI150" s="188" t="s">
        <v>538</v>
      </c>
      <c r="BJ150" s="189"/>
      <c r="BK150">
        <f>VLOOKUP(J150,'Tarieven ZM'!$B$7:$I$146,8,0)</f>
        <v>0</v>
      </c>
      <c r="BL150" s="179" t="str">
        <f>INDEX(Mapping!$M:$M,MATCH($J150,Mapping!$B:$B,0))</f>
        <v>nvt</v>
      </c>
      <c r="BM150" s="282">
        <v>0</v>
      </c>
      <c r="BN150" s="262">
        <f>BM150/INDEX(Parameters!$B:$B,MATCH("AfschrijftermijnVVE"&amp;12*$C150,Parameters!$A:$A,0))</f>
        <v>0</v>
      </c>
      <c r="BO150" s="262">
        <f>Parameters!$D$59+INDEX('inkoop ULL tbv Epacity'!I:I,MATCH($BL150,'inkoop ULL tbv Epacity'!H:H,0))</f>
        <v>1</v>
      </c>
      <c r="BP150" s="263">
        <f t="shared" si="95"/>
        <v>1</v>
      </c>
      <c r="BQ150" s="203"/>
      <c r="BR150" s="262">
        <f>Parameters!$B$12*AG150</f>
        <v>102.77777777777779</v>
      </c>
      <c r="BS150" s="262">
        <f>SUM(Distributievergoedingen!$F$12,Distributievergoedingen!$I$12,Distributievergoedingen!$L$12,Distributievergoedingen!$O$12)*AF150+SUM(Distributievergoedingen!$O$12*AA150+Distributievergoedingen!$R$12+Distributievergoedingen!$U$12+Distributievergoedingen!$X$12)/(MAX(36,12*L150))</f>
        <v>112.77777777777777</v>
      </c>
      <c r="BT150" s="202"/>
      <c r="BU150" s="202">
        <f t="shared" si="96"/>
        <v>215.55555555555554</v>
      </c>
      <c r="BW150" s="151">
        <f t="shared" si="97"/>
        <v>216.55555555555554</v>
      </c>
      <c r="BY150" s="140">
        <f t="shared" si="98"/>
        <v>811.22222222222229</v>
      </c>
      <c r="BZ150" s="141">
        <f t="shared" si="99"/>
        <v>0.78929729729729736</v>
      </c>
      <c r="CA150" s="142" t="b">
        <f t="shared" si="100"/>
        <v>0</v>
      </c>
    </row>
    <row r="151" spans="1:79">
      <c r="A151" s="160" t="str">
        <f t="shared" si="110"/>
        <v>3SA IPVPNEntrynationaal100000/100000</v>
      </c>
      <c r="B151" s="142" t="str">
        <f t="shared" si="103"/>
        <v>3SA IPVPN100000/100000Entry</v>
      </c>
      <c r="C151" s="198">
        <v>3</v>
      </c>
      <c r="D151" s="198" t="s">
        <v>93</v>
      </c>
      <c r="E151" s="198" t="s">
        <v>78</v>
      </c>
      <c r="F151" s="198" t="s">
        <v>115</v>
      </c>
      <c r="G151" s="199" t="s">
        <v>113</v>
      </c>
      <c r="H151" s="198" t="s">
        <v>101</v>
      </c>
      <c r="J151" s="142" t="str">
        <f t="shared" si="111"/>
        <v>SA IPVPN100000/100000Entry</v>
      </c>
      <c r="L151" s="160">
        <f>INDEX(Mapping!$J:$J,MATCH(C$3&amp;C151,Mapping!$B:$B,0))</f>
        <v>1</v>
      </c>
      <c r="M151" s="148" t="str">
        <f>INDEX(Mapping!$H:$H,MATCH($E151,Mapping!$B:$B,0))</f>
        <v>WBA CM Ethernet</v>
      </c>
      <c r="N151" s="148" t="str">
        <f>INDEX(Mapping!$I:$I,MATCH($E151&amp;$G151,Mapping!$B:$B,0))</f>
        <v>entry</v>
      </c>
      <c r="O151" s="148" t="str">
        <f>INDEX(Mapping!$I:$I,MATCH($D151,Mapping!$B:$B,0))</f>
        <v>FttH</v>
      </c>
      <c r="P151" s="148" t="str">
        <f>INDEX(Mapping!$H:$H,MATCH($F151,Mapping!$B:$B,0))</f>
        <v>nvt</v>
      </c>
      <c r="Q151" s="148" t="str">
        <f>INDEX(Mapping!$J:$J,MATCH($E151&amp;$G151,Mapping!$B:$B,0))</f>
        <v>national</v>
      </c>
      <c r="R151" s="148" t="str">
        <f>INDEX(Mapping!$I:$I,MATCH($J151,Mapping!$B:$B,0))</f>
        <v>≤100/100 Mbps</v>
      </c>
      <c r="T151" s="148" t="str">
        <f>INDEX(Mapping!$K:$K,MATCH($E151&amp;$G151,Mapping!$B:$B,0))</f>
        <v>nvt</v>
      </c>
      <c r="U151" s="142" t="str">
        <f t="shared" si="109"/>
        <v>WBA CM Ethernet≤100/100 Mbpsentrynational</v>
      </c>
      <c r="W151" s="160">
        <f>MATCH($J151,'Tarieven ZM'!$B:$B,0)</f>
        <v>51</v>
      </c>
      <c r="X151" s="148">
        <f>INDEX('Tarieven ZM'!$H:$H,$W151)</f>
        <v>1000</v>
      </c>
      <c r="Y151" s="161">
        <f>-INDEX(Parameters!$B:$B,MATCH(Y$3,Parameters!$A:$A,0))*$X151</f>
        <v>0</v>
      </c>
      <c r="Z151" s="149">
        <f>-INDEX(Parameters!$B:$B,MATCH(Z$3,Parameters!$A:$A,0))*$X151</f>
        <v>0</v>
      </c>
      <c r="AA151" s="148">
        <f t="shared" si="112"/>
        <v>1000</v>
      </c>
      <c r="AB151" s="148">
        <f>AA151/INDEX(Parameters!$B:$B,MATCH("AfschrijftermijnVVE"&amp;12*$C151,Parameters!$A:$A,0))</f>
        <v>27.777777777777779</v>
      </c>
      <c r="AC151" s="148">
        <f>INDEX('Tarieven ZM'!$G:$G,$W151)</f>
        <v>1000</v>
      </c>
      <c r="AD151" s="161">
        <f>-INDEX(Parameters!$B:$B,MATCH(AD$3,Parameters!$A:$A,0))*$AC151</f>
        <v>0</v>
      </c>
      <c r="AE151" s="161">
        <f>-INDEX(Parameters!$B:$B,MATCH(AE$3,Parameters!$A:$A,0))*$AC151</f>
        <v>0</v>
      </c>
      <c r="AF151" s="148">
        <f t="shared" si="113"/>
        <v>1000</v>
      </c>
      <c r="AG151" s="151">
        <f t="shared" si="104"/>
        <v>1027.7777777777778</v>
      </c>
      <c r="AH151" s="123"/>
      <c r="AI151" s="147">
        <f>IF(R151&lt;&gt;"n.a.",MATCH($U151,'Tarieven W&amp;O'!$B:$B,0),"nvt")</f>
        <v>127</v>
      </c>
      <c r="AJ151" s="148">
        <f>IF(AI151&lt;&gt;"nvt",INDEX('Tarieven W&amp;O'!$H:$H,$AI151),0)</f>
        <v>0</v>
      </c>
      <c r="AK151" s="148">
        <f>IF(AI151&lt;&gt;"nvt",INDEX('Tarieven W&amp;O'!$I:$I,$AI151),0)</f>
        <v>5</v>
      </c>
      <c r="AL151" s="277">
        <f>IF(AI151&lt;&gt;"nvt",-INDEX(Parameters!$B:$B,MATCH(AL$3&amp;$M151,Parameters!$A:$A,0))*(AJ151+AK151),0)</f>
        <v>0</v>
      </c>
      <c r="AM151" s="442"/>
      <c r="AN151" s="262">
        <f t="shared" si="114"/>
        <v>5</v>
      </c>
      <c r="AO151" s="262">
        <f>AN151/INDEX(Parameters!$B:$B,MATCH("AfschrijftermijnVVE"&amp;12*$C151,Parameters!$A:$A,0))</f>
        <v>0.1388888888888889</v>
      </c>
      <c r="AP151" s="179">
        <f t="shared" si="115"/>
        <v>127</v>
      </c>
      <c r="AQ151" s="202">
        <f>IF(AP151&lt;&gt;"nvt",INDEX('Tarieven W&amp;O'!$G:$G,$AP151),0)</f>
        <v>11.08</v>
      </c>
      <c r="AR151" s="277">
        <f>-INDEX(Parameters!$B:$B,MATCH(AR$3&amp;$M151&amp;O151,Parameters!$A:$A,0))*(AQ151)</f>
        <v>0</v>
      </c>
      <c r="AS151" s="262">
        <f>Parameters!$D$54</f>
        <v>2</v>
      </c>
      <c r="AT151" s="442">
        <f>IF(M151="WBA CM Ethernet",0,'EDC Minus'!$H$27)</f>
        <v>0</v>
      </c>
      <c r="AU151" s="150">
        <f t="shared" si="105"/>
        <v>13.08</v>
      </c>
      <c r="AV151" s="150">
        <f t="shared" si="106"/>
        <v>13.218888888888889</v>
      </c>
      <c r="AW151" s="150"/>
      <c r="AX151" s="150">
        <f>Parameters!$B$6*AV151</f>
        <v>0.13218888888888888</v>
      </c>
      <c r="AY151" s="202">
        <v>0</v>
      </c>
      <c r="AZ151" s="202"/>
      <c r="BA151" s="150">
        <f t="shared" si="107"/>
        <v>0.13218888888888888</v>
      </c>
      <c r="BB151" s="150"/>
      <c r="BC151" s="151">
        <f t="shared" si="108"/>
        <v>13.351077777777778</v>
      </c>
      <c r="BD151" s="209"/>
      <c r="BE151" s="140">
        <f t="shared" si="101"/>
        <v>1014.4267000000001</v>
      </c>
      <c r="BF151" s="141">
        <f t="shared" si="102"/>
        <v>0.98700976216216219</v>
      </c>
      <c r="BG151" s="142" t="b">
        <f t="shared" si="116"/>
        <v>0</v>
      </c>
      <c r="BH151" s="148"/>
      <c r="BI151" s="188" t="s">
        <v>538</v>
      </c>
      <c r="BJ151" s="189"/>
      <c r="BK151">
        <f>VLOOKUP(J151,'Tarieven ZM'!$B$7:$I$146,8,0)</f>
        <v>0</v>
      </c>
      <c r="BL151" s="179" t="str">
        <f>INDEX(Mapping!$M:$M,MATCH($J151,Mapping!$B:$B,0))</f>
        <v>nvt</v>
      </c>
      <c r="BM151" s="282">
        <v>0</v>
      </c>
      <c r="BN151" s="262">
        <f>BM151/INDEX(Parameters!$B:$B,MATCH("AfschrijftermijnVVE"&amp;12*$C151,Parameters!$A:$A,0))</f>
        <v>0</v>
      </c>
      <c r="BO151" s="262">
        <f>Parameters!$D$59+INDEX('inkoop ULL tbv Epacity'!I:I,MATCH($BL151,'inkoop ULL tbv Epacity'!H:H,0))</f>
        <v>1</v>
      </c>
      <c r="BP151" s="263">
        <f t="shared" si="95"/>
        <v>1</v>
      </c>
      <c r="BQ151" s="203"/>
      <c r="BR151" s="262">
        <f>Parameters!$B$12*AG151</f>
        <v>102.77777777777779</v>
      </c>
      <c r="BS151" s="262">
        <f>SUM(Distributievergoedingen!$F$12,Distributievergoedingen!$I$12,Distributievergoedingen!$L$12,Distributievergoedingen!$O$12)*AF151+SUM(Distributievergoedingen!$O$12*AA151+Distributievergoedingen!$R$12+Distributievergoedingen!$U$12+Distributievergoedingen!$X$12)/(MAX(36,12*L151))</f>
        <v>112.77777777777777</v>
      </c>
      <c r="BT151" s="202"/>
      <c r="BU151" s="202">
        <f t="shared" si="96"/>
        <v>215.55555555555554</v>
      </c>
      <c r="BW151" s="151">
        <f t="shared" si="97"/>
        <v>216.55555555555554</v>
      </c>
      <c r="BY151" s="140">
        <f t="shared" si="98"/>
        <v>811.22222222222229</v>
      </c>
      <c r="BZ151" s="141">
        <f t="shared" si="99"/>
        <v>0.78929729729729736</v>
      </c>
      <c r="CA151" s="142" t="b">
        <f t="shared" si="100"/>
        <v>0</v>
      </c>
    </row>
    <row r="152" spans="1:79">
      <c r="A152" s="160" t="str">
        <f t="shared" si="110"/>
        <v>3SA IPVPNPremiumnationaal1024/1024</v>
      </c>
      <c r="B152" s="142" t="str">
        <f t="shared" si="103"/>
        <v>3SA IPVPN1024/1024Premium</v>
      </c>
      <c r="C152" s="198">
        <v>3</v>
      </c>
      <c r="D152" s="198" t="s">
        <v>93</v>
      </c>
      <c r="E152" s="198" t="s">
        <v>70</v>
      </c>
      <c r="F152" s="198" t="s">
        <v>115</v>
      </c>
      <c r="G152" s="199" t="s">
        <v>113</v>
      </c>
      <c r="H152" s="198" t="s">
        <v>66</v>
      </c>
      <c r="J152" s="142" t="str">
        <f t="shared" si="111"/>
        <v>SA IPVPN1024/1024Premium</v>
      </c>
      <c r="L152" s="160">
        <f>INDEX(Mapping!$J:$J,MATCH(C$3&amp;C152,Mapping!$B:$B,0))</f>
        <v>1</v>
      </c>
      <c r="M152" s="148" t="str">
        <f>INDEX(Mapping!$H:$H,MATCH($E152,Mapping!$B:$B,0))</f>
        <v>WBA ZM Ethernet</v>
      </c>
      <c r="N152" s="148" t="str">
        <f>INDEX(Mapping!$I:$I,MATCH($E152&amp;$G152,Mapping!$B:$B,0))</f>
        <v>premium</v>
      </c>
      <c r="O152" s="148" t="str">
        <f>INDEX(Mapping!$I:$I,MATCH($D152,Mapping!$B:$B,0))</f>
        <v>FttH</v>
      </c>
      <c r="P152" s="148" t="str">
        <f>INDEX(Mapping!$H:$H,MATCH($F152,Mapping!$B:$B,0))</f>
        <v>nvt</v>
      </c>
      <c r="Q152" s="148" t="str">
        <f>INDEX(Mapping!$J:$J,MATCH($E152&amp;$G152,Mapping!$B:$B,0))</f>
        <v>metro</v>
      </c>
      <c r="R152" s="148" t="str">
        <f>INDEX(Mapping!$I:$I,MATCH($J152,Mapping!$B:$B,0))</f>
        <v>1 Mbps/1 Mbps</v>
      </c>
      <c r="T152" s="148" t="str">
        <f>INDEX(Mapping!$K:$K,MATCH($E152&amp;$G152,Mapping!$B:$B,0))</f>
        <v>metro-nationaal</v>
      </c>
      <c r="U152" s="142" t="str">
        <f t="shared" si="109"/>
        <v>WBA ZM Ethernet1 Mbps/1 Mbpspremiummetro</v>
      </c>
      <c r="W152" s="160">
        <f>MATCH($J152,'Tarieven ZM'!$B:$B,0)</f>
        <v>52</v>
      </c>
      <c r="X152" s="148">
        <f>INDEX('Tarieven ZM'!$H:$H,$W152)</f>
        <v>1000</v>
      </c>
      <c r="Y152" s="161">
        <f>-INDEX(Parameters!$B:$B,MATCH(Y$3,Parameters!$A:$A,0))*$X152</f>
        <v>0</v>
      </c>
      <c r="Z152" s="149">
        <f>-INDEX(Parameters!$B:$B,MATCH(Z$3,Parameters!$A:$A,0))*$X152</f>
        <v>0</v>
      </c>
      <c r="AA152" s="148">
        <f t="shared" si="112"/>
        <v>1000</v>
      </c>
      <c r="AB152" s="148">
        <f>AA152/INDEX(Parameters!$B:$B,MATCH("AfschrijftermijnVVE"&amp;12*$C152,Parameters!$A:$A,0))</f>
        <v>27.777777777777779</v>
      </c>
      <c r="AC152" s="148">
        <f>INDEX('Tarieven ZM'!$G:$G,$W152)</f>
        <v>1000</v>
      </c>
      <c r="AD152" s="161">
        <f>-INDEX(Parameters!$B:$B,MATCH(AD$3,Parameters!$A:$A,0))*$AC152</f>
        <v>0</v>
      </c>
      <c r="AE152" s="161">
        <f>-INDEX(Parameters!$B:$B,MATCH(AE$3,Parameters!$A:$A,0))*$AC152</f>
        <v>0</v>
      </c>
      <c r="AF152" s="148">
        <f t="shared" si="113"/>
        <v>1000</v>
      </c>
      <c r="AG152" s="151">
        <f t="shared" si="104"/>
        <v>1027.7777777777778</v>
      </c>
      <c r="AH152" s="123"/>
      <c r="AI152" s="147">
        <f>IF(R152&lt;&gt;"n.a.",MATCH($U152,'Tarieven W&amp;O'!$B:$B,0),"nvt")</f>
        <v>138</v>
      </c>
      <c r="AJ152" s="148">
        <f>IF(AI152&lt;&gt;"nvt",INDEX('Tarieven W&amp;O'!$H:$H,$AI152),0)</f>
        <v>0</v>
      </c>
      <c r="AK152" s="148">
        <f>IF(AI152&lt;&gt;"nvt",INDEX('Tarieven W&amp;O'!$I:$I,$AI152),0)</f>
        <v>5</v>
      </c>
      <c r="AL152" s="277">
        <f>IF(AI152&lt;&gt;"nvt",-INDEX(Parameters!$B:$B,MATCH(AL$3&amp;$M152,Parameters!$A:$A,0))*(AJ152+AK152),0)</f>
        <v>0</v>
      </c>
      <c r="AM152" s="442"/>
      <c r="AN152" s="262">
        <f t="shared" si="114"/>
        <v>5</v>
      </c>
      <c r="AO152" s="262">
        <f>AN152/INDEX(Parameters!$B:$B,MATCH("AfschrijftermijnVVE"&amp;12*$C152,Parameters!$A:$A,0))</f>
        <v>0.1388888888888889</v>
      </c>
      <c r="AP152" s="179">
        <f t="shared" si="115"/>
        <v>138</v>
      </c>
      <c r="AQ152" s="202">
        <f>IF(AP152&lt;&gt;"nvt",INDEX('Tarieven W&amp;O'!$G:$G,$AP152),0)</f>
        <v>7.41</v>
      </c>
      <c r="AR152" s="277">
        <f>-INDEX(Parameters!$B:$B,MATCH(AR$3&amp;$M152&amp;O152,Parameters!$A:$A,0))*(AQ152)</f>
        <v>0</v>
      </c>
      <c r="AS152" s="262">
        <f>Parameters!$D$54</f>
        <v>2</v>
      </c>
      <c r="AT152" s="442">
        <f>IF(M152="WBA CM Ethernet",0,'EDC Minus'!$H$27)</f>
        <v>1</v>
      </c>
      <c r="AU152" s="150">
        <f t="shared" si="105"/>
        <v>10.41</v>
      </c>
      <c r="AV152" s="150">
        <f t="shared" si="106"/>
        <v>10.548888888888889</v>
      </c>
      <c r="AW152" s="150"/>
      <c r="AX152" s="150">
        <f>Parameters!$B$6*AV152</f>
        <v>0.1054888888888889</v>
      </c>
      <c r="AY152" s="202">
        <v>0</v>
      </c>
      <c r="AZ152" s="202"/>
      <c r="BA152" s="150">
        <f t="shared" si="107"/>
        <v>0.1054888888888889</v>
      </c>
      <c r="BB152" s="150"/>
      <c r="BC152" s="151">
        <f t="shared" si="108"/>
        <v>10.654377777777778</v>
      </c>
      <c r="BD152" s="209"/>
      <c r="BE152" s="140">
        <f t="shared" si="101"/>
        <v>1017.1234000000001</v>
      </c>
      <c r="BF152" s="141">
        <f t="shared" si="102"/>
        <v>0.9896335783783784</v>
      </c>
      <c r="BG152" s="142" t="b">
        <f t="shared" si="116"/>
        <v>0</v>
      </c>
      <c r="BH152" s="148"/>
      <c r="BI152" s="188" t="s">
        <v>538</v>
      </c>
      <c r="BJ152" s="189"/>
      <c r="BK152">
        <f>VLOOKUP(J152,'Tarieven ZM'!$B$7:$I$146,8,0)</f>
        <v>0</v>
      </c>
      <c r="BL152" s="179" t="str">
        <f>INDEX(Mapping!$M:$M,MATCH($J152,Mapping!$B:$B,0))</f>
        <v>nvt</v>
      </c>
      <c r="BM152" s="282">
        <v>0</v>
      </c>
      <c r="BN152" s="262">
        <f>BM152/INDEX(Parameters!$B:$B,MATCH("AfschrijftermijnVVE"&amp;12*$C152,Parameters!$A:$A,0))</f>
        <v>0</v>
      </c>
      <c r="BO152" s="262">
        <f>Parameters!$D$59+INDEX('inkoop ULL tbv Epacity'!I:I,MATCH($BL152,'inkoop ULL tbv Epacity'!H:H,0))</f>
        <v>1</v>
      </c>
      <c r="BP152" s="263">
        <f t="shared" si="95"/>
        <v>1</v>
      </c>
      <c r="BQ152" s="203"/>
      <c r="BR152" s="262">
        <f>Parameters!$B$12*AG152</f>
        <v>102.77777777777779</v>
      </c>
      <c r="BS152" s="262">
        <f>SUM(Distributievergoedingen!$F$12,Distributievergoedingen!$I$12,Distributievergoedingen!$L$12,Distributievergoedingen!$O$12)*AF152+SUM(Distributievergoedingen!$O$12*AA152+Distributievergoedingen!$R$12+Distributievergoedingen!$U$12+Distributievergoedingen!$X$12)/(MAX(36,12*L152))</f>
        <v>112.77777777777777</v>
      </c>
      <c r="BT152" s="202"/>
      <c r="BU152" s="202">
        <f t="shared" si="96"/>
        <v>215.55555555555554</v>
      </c>
      <c r="BW152" s="151">
        <f t="shared" si="97"/>
        <v>216.55555555555554</v>
      </c>
      <c r="BY152" s="140">
        <f t="shared" si="98"/>
        <v>811.22222222222229</v>
      </c>
      <c r="BZ152" s="141">
        <f t="shared" si="99"/>
        <v>0.78929729729729736</v>
      </c>
      <c r="CA152" s="142" t="b">
        <f t="shared" si="100"/>
        <v>0</v>
      </c>
    </row>
    <row r="153" spans="1:79">
      <c r="A153" s="160" t="str">
        <f t="shared" si="110"/>
        <v>3SA IPVPNPremiumnationaal2048/2048</v>
      </c>
      <c r="B153" s="142" t="str">
        <f t="shared" si="103"/>
        <v>3SA IPVPN2048/2048Premium</v>
      </c>
      <c r="C153" s="198">
        <v>3</v>
      </c>
      <c r="D153" s="198" t="s">
        <v>93</v>
      </c>
      <c r="E153" s="198" t="s">
        <v>70</v>
      </c>
      <c r="F153" s="198" t="s">
        <v>115</v>
      </c>
      <c r="G153" s="199" t="s">
        <v>113</v>
      </c>
      <c r="H153" s="198" t="s">
        <v>68</v>
      </c>
      <c r="J153" s="142" t="str">
        <f t="shared" si="111"/>
        <v>SA IPVPN2048/2048Premium</v>
      </c>
      <c r="L153" s="160">
        <f>INDEX(Mapping!$J:$J,MATCH(C$3&amp;C153,Mapping!$B:$B,0))</f>
        <v>1</v>
      </c>
      <c r="M153" s="148" t="str">
        <f>INDEX(Mapping!$H:$H,MATCH($E153,Mapping!$B:$B,0))</f>
        <v>WBA ZM Ethernet</v>
      </c>
      <c r="N153" s="148" t="str">
        <f>INDEX(Mapping!$I:$I,MATCH($E153&amp;$G153,Mapping!$B:$B,0))</f>
        <v>premium</v>
      </c>
      <c r="O153" s="148" t="str">
        <f>INDEX(Mapping!$I:$I,MATCH($D153,Mapping!$B:$B,0))</f>
        <v>FttH</v>
      </c>
      <c r="P153" s="148" t="str">
        <f>INDEX(Mapping!$H:$H,MATCH($F153,Mapping!$B:$B,0))</f>
        <v>nvt</v>
      </c>
      <c r="Q153" s="148" t="str">
        <f>INDEX(Mapping!$J:$J,MATCH($E153&amp;$G153,Mapping!$B:$B,0))</f>
        <v>metro</v>
      </c>
      <c r="R153" s="148" t="str">
        <f>INDEX(Mapping!$I:$I,MATCH($J153,Mapping!$B:$B,0))</f>
        <v>2 Mbps/2 Mbps</v>
      </c>
      <c r="T153" s="148" t="str">
        <f>INDEX(Mapping!$K:$K,MATCH($E153&amp;$G153,Mapping!$B:$B,0))</f>
        <v>metro-nationaal</v>
      </c>
      <c r="U153" s="142" t="str">
        <f t="shared" si="109"/>
        <v>WBA ZM Ethernet2 Mbps/2 Mbpspremiummetro</v>
      </c>
      <c r="W153" s="160">
        <f>MATCH($J153,'Tarieven ZM'!$B:$B,0)</f>
        <v>53</v>
      </c>
      <c r="X153" s="148">
        <f>INDEX('Tarieven ZM'!$H:$H,$W153)</f>
        <v>1000</v>
      </c>
      <c r="Y153" s="161">
        <f>-INDEX(Parameters!$B:$B,MATCH(Y$3,Parameters!$A:$A,0))*$X153</f>
        <v>0</v>
      </c>
      <c r="Z153" s="149">
        <f>-INDEX(Parameters!$B:$B,MATCH(Z$3,Parameters!$A:$A,0))*$X153</f>
        <v>0</v>
      </c>
      <c r="AA153" s="148">
        <f t="shared" si="112"/>
        <v>1000</v>
      </c>
      <c r="AB153" s="148">
        <f>AA153/INDEX(Parameters!$B:$B,MATCH("AfschrijftermijnVVE"&amp;12*$C153,Parameters!$A:$A,0))</f>
        <v>27.777777777777779</v>
      </c>
      <c r="AC153" s="148">
        <f>INDEX('Tarieven ZM'!$G:$G,$W153)</f>
        <v>1000</v>
      </c>
      <c r="AD153" s="161">
        <f>-INDEX(Parameters!$B:$B,MATCH(AD$3,Parameters!$A:$A,0))*$AC153</f>
        <v>0</v>
      </c>
      <c r="AE153" s="161">
        <f>-INDEX(Parameters!$B:$B,MATCH(AE$3,Parameters!$A:$A,0))*$AC153</f>
        <v>0</v>
      </c>
      <c r="AF153" s="148">
        <f t="shared" si="113"/>
        <v>1000</v>
      </c>
      <c r="AG153" s="151">
        <f t="shared" si="104"/>
        <v>1027.7777777777778</v>
      </c>
      <c r="AH153" s="123"/>
      <c r="AI153" s="147">
        <f>IF(R153&lt;&gt;"n.a.",MATCH($U153,'Tarieven W&amp;O'!$B:$B,0),"nvt")</f>
        <v>139</v>
      </c>
      <c r="AJ153" s="148">
        <f>IF(AI153&lt;&gt;"nvt",INDEX('Tarieven W&amp;O'!$H:$H,$AI153),0)</f>
        <v>0</v>
      </c>
      <c r="AK153" s="148">
        <f>IF(AI153&lt;&gt;"nvt",INDEX('Tarieven W&amp;O'!$I:$I,$AI153),0)</f>
        <v>5</v>
      </c>
      <c r="AL153" s="277">
        <f>IF(AI153&lt;&gt;"nvt",-INDEX(Parameters!$B:$B,MATCH(AL$3&amp;$M153,Parameters!$A:$A,0))*(AJ153+AK153),0)</f>
        <v>0</v>
      </c>
      <c r="AM153" s="442"/>
      <c r="AN153" s="262">
        <f t="shared" si="114"/>
        <v>5</v>
      </c>
      <c r="AO153" s="262">
        <f>AN153/INDEX(Parameters!$B:$B,MATCH("AfschrijftermijnVVE"&amp;12*$C153,Parameters!$A:$A,0))</f>
        <v>0.1388888888888889</v>
      </c>
      <c r="AP153" s="179">
        <f t="shared" si="115"/>
        <v>139</v>
      </c>
      <c r="AQ153" s="202">
        <f>IF(AP153&lt;&gt;"nvt",INDEX('Tarieven W&amp;O'!$G:$G,$AP153),0)</f>
        <v>14.82</v>
      </c>
      <c r="AR153" s="277">
        <f>-INDEX(Parameters!$B:$B,MATCH(AR$3&amp;$M153&amp;O153,Parameters!$A:$A,0))*(AQ153)</f>
        <v>0</v>
      </c>
      <c r="AS153" s="262">
        <f>Parameters!$D$54</f>
        <v>2</v>
      </c>
      <c r="AT153" s="442">
        <f>IF(M153="WBA CM Ethernet",0,'EDC Minus'!$H$27)</f>
        <v>1</v>
      </c>
      <c r="AU153" s="150">
        <f t="shared" si="105"/>
        <v>17.82</v>
      </c>
      <c r="AV153" s="150">
        <f t="shared" si="106"/>
        <v>17.95888888888889</v>
      </c>
      <c r="AW153" s="150"/>
      <c r="AX153" s="150">
        <f>Parameters!$B$6*AV153</f>
        <v>0.17958888888888891</v>
      </c>
      <c r="AY153" s="202">
        <v>0</v>
      </c>
      <c r="AZ153" s="202"/>
      <c r="BA153" s="150">
        <f t="shared" si="107"/>
        <v>0.17958888888888891</v>
      </c>
      <c r="BB153" s="150"/>
      <c r="BC153" s="151">
        <f t="shared" si="108"/>
        <v>18.13847777777778</v>
      </c>
      <c r="BD153" s="209"/>
      <c r="BE153" s="140">
        <f t="shared" si="101"/>
        <v>1009.6393</v>
      </c>
      <c r="BF153" s="141">
        <f t="shared" si="102"/>
        <v>0.98235175135135133</v>
      </c>
      <c r="BG153" s="142" t="b">
        <f t="shared" si="116"/>
        <v>0</v>
      </c>
      <c r="BH153" s="148"/>
      <c r="BI153" s="188" t="s">
        <v>538</v>
      </c>
      <c r="BJ153" s="189"/>
      <c r="BK153">
        <f>VLOOKUP(J153,'Tarieven ZM'!$B$7:$I$146,8,0)</f>
        <v>0</v>
      </c>
      <c r="BL153" s="179" t="str">
        <f>INDEX(Mapping!$M:$M,MATCH($J153,Mapping!$B:$B,0))</f>
        <v>nvt</v>
      </c>
      <c r="BM153" s="282">
        <v>0</v>
      </c>
      <c r="BN153" s="262">
        <f>BM153/INDEX(Parameters!$B:$B,MATCH("AfschrijftermijnVVE"&amp;12*$C153,Parameters!$A:$A,0))</f>
        <v>0</v>
      </c>
      <c r="BO153" s="262">
        <f>Parameters!$D$59+INDEX('inkoop ULL tbv Epacity'!I:I,MATCH($BL153,'inkoop ULL tbv Epacity'!H:H,0))</f>
        <v>1</v>
      </c>
      <c r="BP153" s="263">
        <f t="shared" si="95"/>
        <v>1</v>
      </c>
      <c r="BQ153" s="203"/>
      <c r="BR153" s="262">
        <f>Parameters!$B$12*AG153</f>
        <v>102.77777777777779</v>
      </c>
      <c r="BS153" s="262">
        <f>SUM(Distributievergoedingen!$F$12,Distributievergoedingen!$I$12,Distributievergoedingen!$L$12,Distributievergoedingen!$O$12)*AF153+SUM(Distributievergoedingen!$O$12*AA153+Distributievergoedingen!$R$12+Distributievergoedingen!$U$12+Distributievergoedingen!$X$12)/(MAX(36,12*L153))</f>
        <v>112.77777777777777</v>
      </c>
      <c r="BT153" s="202"/>
      <c r="BU153" s="202">
        <f t="shared" si="96"/>
        <v>215.55555555555554</v>
      </c>
      <c r="BW153" s="151">
        <f t="shared" si="97"/>
        <v>216.55555555555554</v>
      </c>
      <c r="BY153" s="140">
        <f t="shared" si="98"/>
        <v>811.22222222222229</v>
      </c>
      <c r="BZ153" s="141">
        <f t="shared" si="99"/>
        <v>0.78929729729729736</v>
      </c>
      <c r="CA153" s="142" t="b">
        <f t="shared" si="100"/>
        <v>0</v>
      </c>
    </row>
    <row r="154" spans="1:79">
      <c r="A154" s="160" t="str">
        <f t="shared" si="110"/>
        <v>3SA IPVPNPremiumnationaal3072/3072</v>
      </c>
      <c r="B154" s="142" t="str">
        <f t="shared" si="103"/>
        <v>3SA IPVPN3072/3072Premium</v>
      </c>
      <c r="C154" s="198">
        <v>3</v>
      </c>
      <c r="D154" s="198" t="s">
        <v>93</v>
      </c>
      <c r="E154" s="198" t="s">
        <v>70</v>
      </c>
      <c r="F154" s="198" t="s">
        <v>115</v>
      </c>
      <c r="G154" s="199" t="s">
        <v>113</v>
      </c>
      <c r="H154" s="198" t="s">
        <v>82</v>
      </c>
      <c r="J154" s="142" t="str">
        <f t="shared" si="111"/>
        <v>SA IPVPN3072/3072Premium</v>
      </c>
      <c r="L154" s="160">
        <f>INDEX(Mapping!$J:$J,MATCH(C$3&amp;C154,Mapping!$B:$B,0))</f>
        <v>1</v>
      </c>
      <c r="M154" s="148" t="str">
        <f>INDEX(Mapping!$H:$H,MATCH($E154,Mapping!$B:$B,0))</f>
        <v>WBA ZM Ethernet</v>
      </c>
      <c r="N154" s="148" t="str">
        <f>INDEX(Mapping!$I:$I,MATCH($E154&amp;$G154,Mapping!$B:$B,0))</f>
        <v>premium</v>
      </c>
      <c r="O154" s="148" t="str">
        <f>INDEX(Mapping!$I:$I,MATCH($D154,Mapping!$B:$B,0))</f>
        <v>FttH</v>
      </c>
      <c r="P154" s="148" t="str">
        <f>INDEX(Mapping!$H:$H,MATCH($F154,Mapping!$B:$B,0))</f>
        <v>nvt</v>
      </c>
      <c r="Q154" s="148" t="str">
        <f>INDEX(Mapping!$J:$J,MATCH($E154&amp;$G154,Mapping!$B:$B,0))</f>
        <v>metro</v>
      </c>
      <c r="R154" s="148" t="str">
        <f>INDEX(Mapping!$I:$I,MATCH($J154,Mapping!$B:$B,0))</f>
        <v>5 Mbps/5 Mbps</v>
      </c>
      <c r="T154" s="148" t="str">
        <f>INDEX(Mapping!$K:$K,MATCH($E154&amp;$G154,Mapping!$B:$B,0))</f>
        <v>metro-nationaal</v>
      </c>
      <c r="U154" s="142" t="str">
        <f t="shared" si="109"/>
        <v>WBA ZM Ethernet5 Mbps/5 Mbpspremiummetro</v>
      </c>
      <c r="W154" s="160">
        <f>MATCH($J154,'Tarieven ZM'!$B:$B,0)</f>
        <v>54</v>
      </c>
      <c r="X154" s="148">
        <f>INDEX('Tarieven ZM'!$H:$H,$W154)</f>
        <v>1000</v>
      </c>
      <c r="Y154" s="161">
        <f>-INDEX(Parameters!$B:$B,MATCH(Y$3,Parameters!$A:$A,0))*$X154</f>
        <v>0</v>
      </c>
      <c r="Z154" s="149">
        <f>-INDEX(Parameters!$B:$B,MATCH(Z$3,Parameters!$A:$A,0))*$X154</f>
        <v>0</v>
      </c>
      <c r="AA154" s="148">
        <f t="shared" si="112"/>
        <v>1000</v>
      </c>
      <c r="AB154" s="148">
        <f>AA154/INDEX(Parameters!$B:$B,MATCH("AfschrijftermijnVVE"&amp;12*$C154,Parameters!$A:$A,0))</f>
        <v>27.777777777777779</v>
      </c>
      <c r="AC154" s="148">
        <f>INDEX('Tarieven ZM'!$G:$G,$W154)</f>
        <v>1000</v>
      </c>
      <c r="AD154" s="161">
        <f>-INDEX(Parameters!$B:$B,MATCH(AD$3,Parameters!$A:$A,0))*$AC154</f>
        <v>0</v>
      </c>
      <c r="AE154" s="161">
        <f>-INDEX(Parameters!$B:$B,MATCH(AE$3,Parameters!$A:$A,0))*$AC154</f>
        <v>0</v>
      </c>
      <c r="AF154" s="148">
        <f t="shared" si="113"/>
        <v>1000</v>
      </c>
      <c r="AG154" s="151">
        <f t="shared" si="104"/>
        <v>1027.7777777777778</v>
      </c>
      <c r="AH154" s="123"/>
      <c r="AI154" s="147">
        <f>IF(R154&lt;&gt;"n.a.",MATCH($U154,'Tarieven W&amp;O'!$B:$B,0),"nvt")</f>
        <v>140</v>
      </c>
      <c r="AJ154" s="148">
        <f>IF(AI154&lt;&gt;"nvt",INDEX('Tarieven W&amp;O'!$H:$H,$AI154),0)</f>
        <v>0</v>
      </c>
      <c r="AK154" s="148">
        <f>IF(AI154&lt;&gt;"nvt",INDEX('Tarieven W&amp;O'!$I:$I,$AI154),0)</f>
        <v>5</v>
      </c>
      <c r="AL154" s="277">
        <f>IF(AI154&lt;&gt;"nvt",-INDEX(Parameters!$B:$B,MATCH(AL$3&amp;$M154,Parameters!$A:$A,0))*(AJ154+AK154),0)</f>
        <v>0</v>
      </c>
      <c r="AM154" s="442"/>
      <c r="AN154" s="262">
        <f t="shared" si="114"/>
        <v>5</v>
      </c>
      <c r="AO154" s="262">
        <f>AN154/INDEX(Parameters!$B:$B,MATCH("AfschrijftermijnVVE"&amp;12*$C154,Parameters!$A:$A,0))</f>
        <v>0.1388888888888889</v>
      </c>
      <c r="AP154" s="179">
        <f t="shared" si="115"/>
        <v>140</v>
      </c>
      <c r="AQ154" s="202">
        <f>IF(AP154&lt;&gt;"nvt",INDEX('Tarieven W&amp;O'!$G:$G,$AP154),0)</f>
        <v>18.53</v>
      </c>
      <c r="AR154" s="277">
        <f>-INDEX(Parameters!$B:$B,MATCH(AR$3&amp;$M154&amp;O154,Parameters!$A:$A,0))*(AQ154)</f>
        <v>0</v>
      </c>
      <c r="AS154" s="262">
        <f>Parameters!$D$54</f>
        <v>2</v>
      </c>
      <c r="AT154" s="442">
        <f>IF(M154="WBA CM Ethernet",0,'EDC Minus'!$H$27)</f>
        <v>1</v>
      </c>
      <c r="AU154" s="150">
        <f t="shared" si="105"/>
        <v>21.53</v>
      </c>
      <c r="AV154" s="150">
        <f t="shared" si="106"/>
        <v>21.66888888888889</v>
      </c>
      <c r="AW154" s="150"/>
      <c r="AX154" s="150">
        <f>Parameters!$B$6*AV154</f>
        <v>0.2166888888888889</v>
      </c>
      <c r="AY154" s="202">
        <v>0</v>
      </c>
      <c r="AZ154" s="202"/>
      <c r="BA154" s="150">
        <f t="shared" si="107"/>
        <v>0.2166888888888889</v>
      </c>
      <c r="BB154" s="150"/>
      <c r="BC154" s="151">
        <f t="shared" si="108"/>
        <v>21.88557777777778</v>
      </c>
      <c r="BD154" s="209"/>
      <c r="BE154" s="140">
        <f t="shared" si="101"/>
        <v>1005.8922</v>
      </c>
      <c r="BF154" s="141">
        <f t="shared" si="102"/>
        <v>0.97870592432432424</v>
      </c>
      <c r="BG154" s="142" t="b">
        <f t="shared" si="116"/>
        <v>0</v>
      </c>
      <c r="BH154" s="148"/>
      <c r="BI154" s="188" t="s">
        <v>538</v>
      </c>
      <c r="BJ154" s="189"/>
      <c r="BK154">
        <f>VLOOKUP(J154,'Tarieven ZM'!$B$7:$I$146,8,0)</f>
        <v>0</v>
      </c>
      <c r="BL154" s="179" t="str">
        <f>INDEX(Mapping!$M:$M,MATCH($J154,Mapping!$B:$B,0))</f>
        <v>nvt</v>
      </c>
      <c r="BM154" s="282">
        <v>0</v>
      </c>
      <c r="BN154" s="262">
        <f>BM154/INDEX(Parameters!$B:$B,MATCH("AfschrijftermijnVVE"&amp;12*$C154,Parameters!$A:$A,0))</f>
        <v>0</v>
      </c>
      <c r="BO154" s="262">
        <f>Parameters!$D$59+INDEX('inkoop ULL tbv Epacity'!I:I,MATCH($BL154,'inkoop ULL tbv Epacity'!H:H,0))</f>
        <v>1</v>
      </c>
      <c r="BP154" s="263">
        <f t="shared" si="95"/>
        <v>1</v>
      </c>
      <c r="BQ154" s="203"/>
      <c r="BR154" s="262">
        <f>Parameters!$B$12*AG154</f>
        <v>102.77777777777779</v>
      </c>
      <c r="BS154" s="262">
        <f>SUM(Distributievergoedingen!$F$12,Distributievergoedingen!$I$12,Distributievergoedingen!$L$12,Distributievergoedingen!$O$12)*AF154+SUM(Distributievergoedingen!$O$12*AA154+Distributievergoedingen!$R$12+Distributievergoedingen!$U$12+Distributievergoedingen!$X$12)/(MAX(36,12*L154))</f>
        <v>112.77777777777777</v>
      </c>
      <c r="BT154" s="202"/>
      <c r="BU154" s="202">
        <f t="shared" si="96"/>
        <v>215.55555555555554</v>
      </c>
      <c r="BW154" s="151">
        <f t="shared" si="97"/>
        <v>216.55555555555554</v>
      </c>
      <c r="BY154" s="140">
        <f t="shared" si="98"/>
        <v>811.22222222222229</v>
      </c>
      <c r="BZ154" s="141">
        <f t="shared" si="99"/>
        <v>0.78929729729729736</v>
      </c>
      <c r="CA154" s="142" t="b">
        <f t="shared" si="100"/>
        <v>0</v>
      </c>
    </row>
    <row r="155" spans="1:79">
      <c r="A155" s="160" t="str">
        <f t="shared" si="110"/>
        <v>3SA IPVPNPremiumnationaal4096/1024</v>
      </c>
      <c r="B155" s="142" t="str">
        <f t="shared" si="103"/>
        <v>3SA IPVPN4096/1024Premium</v>
      </c>
      <c r="C155" s="198">
        <v>3</v>
      </c>
      <c r="D155" s="198" t="s">
        <v>93</v>
      </c>
      <c r="E155" s="198" t="s">
        <v>70</v>
      </c>
      <c r="F155" s="198" t="s">
        <v>115</v>
      </c>
      <c r="G155" s="199" t="s">
        <v>113</v>
      </c>
      <c r="H155" s="198" t="s">
        <v>57</v>
      </c>
      <c r="J155" s="142" t="str">
        <f t="shared" si="111"/>
        <v>SA IPVPN4096/1024Premium</v>
      </c>
      <c r="L155" s="160">
        <f>INDEX(Mapping!$J:$J,MATCH(C$3&amp;C155,Mapping!$B:$B,0))</f>
        <v>1</v>
      </c>
      <c r="M155" s="148" t="str">
        <f>INDEX(Mapping!$H:$H,MATCH($E155,Mapping!$B:$B,0))</f>
        <v>WBA ZM Ethernet</v>
      </c>
      <c r="N155" s="148" t="str">
        <f>INDEX(Mapping!$I:$I,MATCH($E155&amp;$G155,Mapping!$B:$B,0))</f>
        <v>premium</v>
      </c>
      <c r="O155" s="148" t="str">
        <f>INDEX(Mapping!$I:$I,MATCH($D155,Mapping!$B:$B,0))</f>
        <v>FttH</v>
      </c>
      <c r="P155" s="148" t="str">
        <f>INDEX(Mapping!$H:$H,MATCH($F155,Mapping!$B:$B,0))</f>
        <v>nvt</v>
      </c>
      <c r="Q155" s="148" t="str">
        <f>INDEX(Mapping!$J:$J,MATCH($E155&amp;$G155,Mapping!$B:$B,0))</f>
        <v>metro</v>
      </c>
      <c r="R155" s="148" t="str">
        <f>INDEX(Mapping!$I:$I,MATCH($J155,Mapping!$B:$B,0))</f>
        <v>5 Mbps/1 Mbps</v>
      </c>
      <c r="T155" s="148" t="str">
        <f>INDEX(Mapping!$K:$K,MATCH($E155&amp;$G155,Mapping!$B:$B,0))</f>
        <v>metro-nationaal</v>
      </c>
      <c r="U155" s="142" t="str">
        <f t="shared" si="109"/>
        <v>WBA ZM Ethernet5 Mbps/1 Mbpspremiummetro</v>
      </c>
      <c r="W155" s="160">
        <f>MATCH($J155,'Tarieven ZM'!$B:$B,0)</f>
        <v>55</v>
      </c>
      <c r="X155" s="148">
        <f>INDEX('Tarieven ZM'!$H:$H,$W155)</f>
        <v>1000</v>
      </c>
      <c r="Y155" s="161">
        <f>-INDEX(Parameters!$B:$B,MATCH(Y$3,Parameters!$A:$A,0))*$X155</f>
        <v>0</v>
      </c>
      <c r="Z155" s="149">
        <f>-INDEX(Parameters!$B:$B,MATCH(Z$3,Parameters!$A:$A,0))*$X155</f>
        <v>0</v>
      </c>
      <c r="AA155" s="148">
        <f t="shared" si="112"/>
        <v>1000</v>
      </c>
      <c r="AB155" s="148">
        <f>AA155/INDEX(Parameters!$B:$B,MATCH("AfschrijftermijnVVE"&amp;12*$C155,Parameters!$A:$A,0))</f>
        <v>27.777777777777779</v>
      </c>
      <c r="AC155" s="148">
        <f>INDEX('Tarieven ZM'!$G:$G,$W155)</f>
        <v>1000</v>
      </c>
      <c r="AD155" s="161">
        <f>-INDEX(Parameters!$B:$B,MATCH(AD$3,Parameters!$A:$A,0))*$AC155</f>
        <v>0</v>
      </c>
      <c r="AE155" s="161">
        <f>-INDEX(Parameters!$B:$B,MATCH(AE$3,Parameters!$A:$A,0))*$AC155</f>
        <v>0</v>
      </c>
      <c r="AF155" s="148">
        <f t="shared" si="113"/>
        <v>1000</v>
      </c>
      <c r="AG155" s="151">
        <f t="shared" si="104"/>
        <v>1027.7777777777778</v>
      </c>
      <c r="AH155" s="123"/>
      <c r="AI155" s="147">
        <f>IF(R155&lt;&gt;"n.a.",MATCH($U155,'Tarieven W&amp;O'!$B:$B,0),"nvt")</f>
        <v>144</v>
      </c>
      <c r="AJ155" s="148">
        <f>IF(AI155&lt;&gt;"nvt",INDEX('Tarieven W&amp;O'!$H:$H,$AI155),0)</f>
        <v>0</v>
      </c>
      <c r="AK155" s="148">
        <f>IF(AI155&lt;&gt;"nvt",INDEX('Tarieven W&amp;O'!$I:$I,$AI155),0)</f>
        <v>5</v>
      </c>
      <c r="AL155" s="277">
        <f>IF(AI155&lt;&gt;"nvt",-INDEX(Parameters!$B:$B,MATCH(AL$3&amp;$M155,Parameters!$A:$A,0))*(AJ155+AK155),0)</f>
        <v>0</v>
      </c>
      <c r="AM155" s="442"/>
      <c r="AN155" s="262">
        <f t="shared" si="114"/>
        <v>5</v>
      </c>
      <c r="AO155" s="262">
        <f>AN155/INDEX(Parameters!$B:$B,MATCH("AfschrijftermijnVVE"&amp;12*$C155,Parameters!$A:$A,0))</f>
        <v>0.1388888888888889</v>
      </c>
      <c r="AP155" s="179">
        <f t="shared" si="115"/>
        <v>144</v>
      </c>
      <c r="AQ155" s="202">
        <f>IF(AP155&lt;&gt;"nvt",INDEX('Tarieven W&amp;O'!$G:$G,$AP155),0)</f>
        <v>17.29</v>
      </c>
      <c r="AR155" s="277">
        <f>-INDEX(Parameters!$B:$B,MATCH(AR$3&amp;$M155&amp;O155,Parameters!$A:$A,0))*(AQ155)</f>
        <v>0</v>
      </c>
      <c r="AS155" s="262">
        <f>Parameters!$D$54</f>
        <v>2</v>
      </c>
      <c r="AT155" s="442">
        <f>IF(M155="WBA CM Ethernet",0,'EDC Minus'!$H$27)</f>
        <v>1</v>
      </c>
      <c r="AU155" s="150">
        <f t="shared" si="105"/>
        <v>20.29</v>
      </c>
      <c r="AV155" s="150">
        <f t="shared" si="106"/>
        <v>20.428888888888888</v>
      </c>
      <c r="AW155" s="150"/>
      <c r="AX155" s="150">
        <f>Parameters!$B$6*AV155</f>
        <v>0.20428888888888888</v>
      </c>
      <c r="AY155" s="202">
        <v>0</v>
      </c>
      <c r="AZ155" s="202"/>
      <c r="BA155" s="150">
        <f t="shared" si="107"/>
        <v>0.20428888888888888</v>
      </c>
      <c r="BB155" s="150"/>
      <c r="BC155" s="151">
        <f t="shared" si="108"/>
        <v>20.633177777777778</v>
      </c>
      <c r="BD155" s="209"/>
      <c r="BE155" s="140">
        <f t="shared" si="101"/>
        <v>1007.1446000000001</v>
      </c>
      <c r="BF155" s="141">
        <f t="shared" si="102"/>
        <v>0.97992447567567575</v>
      </c>
      <c r="BG155" s="142" t="b">
        <f t="shared" si="116"/>
        <v>0</v>
      </c>
      <c r="BH155" s="148"/>
      <c r="BI155" s="188" t="s">
        <v>538</v>
      </c>
      <c r="BJ155" s="189"/>
      <c r="BK155">
        <f>VLOOKUP(J155,'Tarieven ZM'!$B$7:$I$146,8,0)</f>
        <v>0</v>
      </c>
      <c r="BL155" s="179" t="str">
        <f>INDEX(Mapping!$M:$M,MATCH($J155,Mapping!$B:$B,0))</f>
        <v>nvt</v>
      </c>
      <c r="BM155" s="282">
        <v>0</v>
      </c>
      <c r="BN155" s="262">
        <f>BM155/INDEX(Parameters!$B:$B,MATCH("AfschrijftermijnVVE"&amp;12*$C155,Parameters!$A:$A,0))</f>
        <v>0</v>
      </c>
      <c r="BO155" s="262">
        <f>Parameters!$D$59+INDEX('inkoop ULL tbv Epacity'!I:I,MATCH($BL155,'inkoop ULL tbv Epacity'!H:H,0))</f>
        <v>1</v>
      </c>
      <c r="BP155" s="263">
        <f t="shared" si="95"/>
        <v>1</v>
      </c>
      <c r="BQ155" s="203"/>
      <c r="BR155" s="262">
        <f>Parameters!$B$12*AG155</f>
        <v>102.77777777777779</v>
      </c>
      <c r="BS155" s="262">
        <f>SUM(Distributievergoedingen!$F$12,Distributievergoedingen!$I$12,Distributievergoedingen!$L$12,Distributievergoedingen!$O$12)*AF155+SUM(Distributievergoedingen!$O$12*AA155+Distributievergoedingen!$R$12+Distributievergoedingen!$U$12+Distributievergoedingen!$X$12)/(MAX(36,12*L155))</f>
        <v>112.77777777777777</v>
      </c>
      <c r="BT155" s="202"/>
      <c r="BU155" s="202">
        <f t="shared" si="96"/>
        <v>215.55555555555554</v>
      </c>
      <c r="BW155" s="151">
        <f t="shared" si="97"/>
        <v>216.55555555555554</v>
      </c>
      <c r="BY155" s="140">
        <f t="shared" si="98"/>
        <v>811.22222222222229</v>
      </c>
      <c r="BZ155" s="141">
        <f t="shared" si="99"/>
        <v>0.78929729729729736</v>
      </c>
      <c r="CA155" s="142" t="b">
        <f t="shared" si="100"/>
        <v>0</v>
      </c>
    </row>
    <row r="156" spans="1:79">
      <c r="A156" s="160" t="str">
        <f t="shared" si="110"/>
        <v>3SA IPVPNPremiumnationaal4096/4096</v>
      </c>
      <c r="B156" s="142" t="str">
        <f t="shared" si="103"/>
        <v>3SA IPVPN4096/4096Premium</v>
      </c>
      <c r="C156" s="198">
        <v>3</v>
      </c>
      <c r="D156" s="198" t="s">
        <v>93</v>
      </c>
      <c r="E156" s="198" t="s">
        <v>70</v>
      </c>
      <c r="F156" s="198" t="s">
        <v>115</v>
      </c>
      <c r="G156" s="199" t="s">
        <v>113</v>
      </c>
      <c r="H156" s="198" t="s">
        <v>83</v>
      </c>
      <c r="J156" s="142" t="str">
        <f t="shared" si="111"/>
        <v>SA IPVPN4096/4096Premium</v>
      </c>
      <c r="L156" s="160">
        <f>INDEX(Mapping!$J:$J,MATCH(C$3&amp;C156,Mapping!$B:$B,0))</f>
        <v>1</v>
      </c>
      <c r="M156" s="148" t="str">
        <f>INDEX(Mapping!$H:$H,MATCH($E156,Mapping!$B:$B,0))</f>
        <v>WBA ZM Ethernet</v>
      </c>
      <c r="N156" s="148" t="str">
        <f>INDEX(Mapping!$I:$I,MATCH($E156&amp;$G156,Mapping!$B:$B,0))</f>
        <v>premium</v>
      </c>
      <c r="O156" s="148" t="str">
        <f>INDEX(Mapping!$I:$I,MATCH($D156,Mapping!$B:$B,0))</f>
        <v>FttH</v>
      </c>
      <c r="P156" s="148" t="str">
        <f>INDEX(Mapping!$H:$H,MATCH($F156,Mapping!$B:$B,0))</f>
        <v>nvt</v>
      </c>
      <c r="Q156" s="148" t="str">
        <f>INDEX(Mapping!$J:$J,MATCH($E156&amp;$G156,Mapping!$B:$B,0))</f>
        <v>metro</v>
      </c>
      <c r="R156" s="148" t="str">
        <f>INDEX(Mapping!$I:$I,MATCH($J156,Mapping!$B:$B,0))</f>
        <v>5 Mbps/5 Mbps</v>
      </c>
      <c r="T156" s="148" t="str">
        <f>INDEX(Mapping!$K:$K,MATCH($E156&amp;$G156,Mapping!$B:$B,0))</f>
        <v>metro-nationaal</v>
      </c>
      <c r="U156" s="142" t="str">
        <f t="shared" si="109"/>
        <v>WBA ZM Ethernet5 Mbps/5 Mbpspremiummetro</v>
      </c>
      <c r="W156" s="160">
        <f>MATCH($J156,'Tarieven ZM'!$B:$B,0)</f>
        <v>56</v>
      </c>
      <c r="X156" s="148">
        <f>INDEX('Tarieven ZM'!$H:$H,$W156)</f>
        <v>1000</v>
      </c>
      <c r="Y156" s="161">
        <f>-INDEX(Parameters!$B:$B,MATCH(Y$3,Parameters!$A:$A,0))*$X156</f>
        <v>0</v>
      </c>
      <c r="Z156" s="149">
        <f>-INDEX(Parameters!$B:$B,MATCH(Z$3,Parameters!$A:$A,0))*$X156</f>
        <v>0</v>
      </c>
      <c r="AA156" s="148">
        <f t="shared" si="112"/>
        <v>1000</v>
      </c>
      <c r="AB156" s="148">
        <f>AA156/INDEX(Parameters!$B:$B,MATCH("AfschrijftermijnVVE"&amp;12*$C156,Parameters!$A:$A,0))</f>
        <v>27.777777777777779</v>
      </c>
      <c r="AC156" s="148">
        <f>INDEX('Tarieven ZM'!$G:$G,$W156)</f>
        <v>1000</v>
      </c>
      <c r="AD156" s="161">
        <f>-INDEX(Parameters!$B:$B,MATCH(AD$3,Parameters!$A:$A,0))*$AC156</f>
        <v>0</v>
      </c>
      <c r="AE156" s="161">
        <f>-INDEX(Parameters!$B:$B,MATCH(AE$3,Parameters!$A:$A,0))*$AC156</f>
        <v>0</v>
      </c>
      <c r="AF156" s="148">
        <f t="shared" si="113"/>
        <v>1000</v>
      </c>
      <c r="AG156" s="151">
        <f t="shared" si="104"/>
        <v>1027.7777777777778</v>
      </c>
      <c r="AH156" s="123"/>
      <c r="AI156" s="147">
        <f>IF(R156&lt;&gt;"n.a.",MATCH($U156,'Tarieven W&amp;O'!$B:$B,0),"nvt")</f>
        <v>140</v>
      </c>
      <c r="AJ156" s="148">
        <f>IF(AI156&lt;&gt;"nvt",INDEX('Tarieven W&amp;O'!$H:$H,$AI156),0)</f>
        <v>0</v>
      </c>
      <c r="AK156" s="148">
        <f>IF(AI156&lt;&gt;"nvt",INDEX('Tarieven W&amp;O'!$I:$I,$AI156),0)</f>
        <v>5</v>
      </c>
      <c r="AL156" s="277">
        <f>IF(AI156&lt;&gt;"nvt",-INDEX(Parameters!$B:$B,MATCH(AL$3&amp;$M156,Parameters!$A:$A,0))*(AJ156+AK156),0)</f>
        <v>0</v>
      </c>
      <c r="AM156" s="442"/>
      <c r="AN156" s="262">
        <f t="shared" si="114"/>
        <v>5</v>
      </c>
      <c r="AO156" s="262">
        <f>AN156/INDEX(Parameters!$B:$B,MATCH("AfschrijftermijnVVE"&amp;12*$C156,Parameters!$A:$A,0))</f>
        <v>0.1388888888888889</v>
      </c>
      <c r="AP156" s="179">
        <f t="shared" si="115"/>
        <v>140</v>
      </c>
      <c r="AQ156" s="202">
        <f>IF(AP156&lt;&gt;"nvt",INDEX('Tarieven W&amp;O'!$G:$G,$AP156),0)</f>
        <v>18.53</v>
      </c>
      <c r="AR156" s="277">
        <f>-INDEX(Parameters!$B:$B,MATCH(AR$3&amp;$M156&amp;O156,Parameters!$A:$A,0))*(AQ156)</f>
        <v>0</v>
      </c>
      <c r="AS156" s="262">
        <f>Parameters!$D$54</f>
        <v>2</v>
      </c>
      <c r="AT156" s="442">
        <f>IF(M156="WBA CM Ethernet",0,'EDC Minus'!$H$27)</f>
        <v>1</v>
      </c>
      <c r="AU156" s="150">
        <f t="shared" si="105"/>
        <v>21.53</v>
      </c>
      <c r="AV156" s="150">
        <f t="shared" si="106"/>
        <v>21.66888888888889</v>
      </c>
      <c r="AW156" s="150"/>
      <c r="AX156" s="150">
        <f>Parameters!$B$6*AV156</f>
        <v>0.2166888888888889</v>
      </c>
      <c r="AY156" s="202">
        <v>0</v>
      </c>
      <c r="AZ156" s="202"/>
      <c r="BA156" s="150">
        <f t="shared" si="107"/>
        <v>0.2166888888888889</v>
      </c>
      <c r="BB156" s="150"/>
      <c r="BC156" s="151">
        <f t="shared" si="108"/>
        <v>21.88557777777778</v>
      </c>
      <c r="BD156" s="209"/>
      <c r="BE156" s="140">
        <f t="shared" si="101"/>
        <v>1005.8922</v>
      </c>
      <c r="BF156" s="141">
        <f t="shared" si="102"/>
        <v>0.97870592432432424</v>
      </c>
      <c r="BG156" s="142" t="b">
        <f t="shared" si="116"/>
        <v>0</v>
      </c>
      <c r="BH156" s="148"/>
      <c r="BI156" s="188" t="s">
        <v>538</v>
      </c>
      <c r="BJ156" s="189"/>
      <c r="BK156">
        <f>VLOOKUP(J156,'Tarieven ZM'!$B$7:$I$146,8,0)</f>
        <v>0</v>
      </c>
      <c r="BL156" s="179" t="str">
        <f>INDEX(Mapping!$M:$M,MATCH($J156,Mapping!$B:$B,0))</f>
        <v>nvt</v>
      </c>
      <c r="BM156" s="282">
        <v>0</v>
      </c>
      <c r="BN156" s="262">
        <f>BM156/INDEX(Parameters!$B:$B,MATCH("AfschrijftermijnVVE"&amp;12*$C156,Parameters!$A:$A,0))</f>
        <v>0</v>
      </c>
      <c r="BO156" s="262">
        <f>Parameters!$D$59+INDEX('inkoop ULL tbv Epacity'!I:I,MATCH($BL156,'inkoop ULL tbv Epacity'!H:H,0))</f>
        <v>1</v>
      </c>
      <c r="BP156" s="263">
        <f t="shared" si="95"/>
        <v>1</v>
      </c>
      <c r="BQ156" s="203"/>
      <c r="BR156" s="262">
        <f>Parameters!$B$12*AG156</f>
        <v>102.77777777777779</v>
      </c>
      <c r="BS156" s="262">
        <f>SUM(Distributievergoedingen!$F$12,Distributievergoedingen!$I$12,Distributievergoedingen!$L$12,Distributievergoedingen!$O$12)*AF156+SUM(Distributievergoedingen!$O$12*AA156+Distributievergoedingen!$R$12+Distributievergoedingen!$U$12+Distributievergoedingen!$X$12)/(MAX(36,12*L156))</f>
        <v>112.77777777777777</v>
      </c>
      <c r="BT156" s="202"/>
      <c r="BU156" s="202">
        <f t="shared" si="96"/>
        <v>215.55555555555554</v>
      </c>
      <c r="BW156" s="151">
        <f t="shared" si="97"/>
        <v>216.55555555555554</v>
      </c>
      <c r="BY156" s="140">
        <f t="shared" si="98"/>
        <v>811.22222222222229</v>
      </c>
      <c r="BZ156" s="141">
        <f t="shared" si="99"/>
        <v>0.78929729729729736</v>
      </c>
      <c r="CA156" s="142" t="b">
        <f t="shared" si="100"/>
        <v>0</v>
      </c>
    </row>
    <row r="157" spans="1:79">
      <c r="A157" s="160" t="str">
        <f t="shared" si="110"/>
        <v>3SA IPVPNPremiumnationaal8192/1024</v>
      </c>
      <c r="B157" s="142" t="str">
        <f t="shared" si="103"/>
        <v>3SA IPVPN8192/1024Premium</v>
      </c>
      <c r="C157" s="198">
        <v>3</v>
      </c>
      <c r="D157" s="198" t="s">
        <v>93</v>
      </c>
      <c r="E157" s="198" t="s">
        <v>70</v>
      </c>
      <c r="F157" s="198" t="s">
        <v>115</v>
      </c>
      <c r="G157" s="199" t="s">
        <v>113</v>
      </c>
      <c r="H157" s="198" t="s">
        <v>84</v>
      </c>
      <c r="J157" s="142" t="str">
        <f t="shared" si="111"/>
        <v>SA IPVPN8192/1024Premium</v>
      </c>
      <c r="L157" s="160">
        <f>INDEX(Mapping!$J:$J,MATCH(C$3&amp;C157,Mapping!$B:$B,0))</f>
        <v>1</v>
      </c>
      <c r="M157" s="148" t="str">
        <f>INDEX(Mapping!$H:$H,MATCH($E157,Mapping!$B:$B,0))</f>
        <v>WBA ZM Ethernet</v>
      </c>
      <c r="N157" s="148" t="str">
        <f>INDEX(Mapping!$I:$I,MATCH($E157&amp;$G157,Mapping!$B:$B,0))</f>
        <v>premium</v>
      </c>
      <c r="O157" s="148" t="str">
        <f>INDEX(Mapping!$I:$I,MATCH($D157,Mapping!$B:$B,0))</f>
        <v>FttH</v>
      </c>
      <c r="P157" s="148" t="str">
        <f>INDEX(Mapping!$H:$H,MATCH($F157,Mapping!$B:$B,0))</f>
        <v>nvt</v>
      </c>
      <c r="Q157" s="148" t="str">
        <f>INDEX(Mapping!$J:$J,MATCH($E157&amp;$G157,Mapping!$B:$B,0))</f>
        <v>metro</v>
      </c>
      <c r="R157" s="148" t="str">
        <f>INDEX(Mapping!$I:$I,MATCH($J157,Mapping!$B:$B,0))</f>
        <v>10 Mbps/5 Mbps</v>
      </c>
      <c r="T157" s="148" t="str">
        <f>INDEX(Mapping!$K:$K,MATCH($E157&amp;$G157,Mapping!$B:$B,0))</f>
        <v>metro-nationaal</v>
      </c>
      <c r="U157" s="142" t="str">
        <f t="shared" si="109"/>
        <v>WBA ZM Ethernet10 Mbps/5 Mbpspremiummetro</v>
      </c>
      <c r="W157" s="160">
        <f>MATCH($J157,'Tarieven ZM'!$B:$B,0)</f>
        <v>57</v>
      </c>
      <c r="X157" s="148">
        <f>INDEX('Tarieven ZM'!$H:$H,$W157)</f>
        <v>1000</v>
      </c>
      <c r="Y157" s="161">
        <f>-INDEX(Parameters!$B:$B,MATCH(Y$3,Parameters!$A:$A,0))*$X157</f>
        <v>0</v>
      </c>
      <c r="Z157" s="149">
        <f>-INDEX(Parameters!$B:$B,MATCH(Z$3,Parameters!$A:$A,0))*$X157</f>
        <v>0</v>
      </c>
      <c r="AA157" s="148">
        <f t="shared" si="112"/>
        <v>1000</v>
      </c>
      <c r="AB157" s="148">
        <f>AA157/INDEX(Parameters!$B:$B,MATCH("AfschrijftermijnVVE"&amp;12*$C157,Parameters!$A:$A,0))</f>
        <v>27.777777777777779</v>
      </c>
      <c r="AC157" s="148">
        <f>INDEX('Tarieven ZM'!$G:$G,$W157)</f>
        <v>1000</v>
      </c>
      <c r="AD157" s="161">
        <f>-INDEX(Parameters!$B:$B,MATCH(AD$3,Parameters!$A:$A,0))*$AC157</f>
        <v>0</v>
      </c>
      <c r="AE157" s="161">
        <f>-INDEX(Parameters!$B:$B,MATCH(AE$3,Parameters!$A:$A,0))*$AC157</f>
        <v>0</v>
      </c>
      <c r="AF157" s="148">
        <f t="shared" si="113"/>
        <v>1000</v>
      </c>
      <c r="AG157" s="151">
        <f t="shared" si="104"/>
        <v>1027.7777777777778</v>
      </c>
      <c r="AH157" s="123"/>
      <c r="AI157" s="147">
        <f>IF(R157&lt;&gt;"n.a.",MATCH($U157,'Tarieven W&amp;O'!$B:$B,0),"nvt")</f>
        <v>145</v>
      </c>
      <c r="AJ157" s="148">
        <f>IF(AI157&lt;&gt;"nvt",INDEX('Tarieven W&amp;O'!$H:$H,$AI157),0)</f>
        <v>0</v>
      </c>
      <c r="AK157" s="148">
        <f>IF(AI157&lt;&gt;"nvt",INDEX('Tarieven W&amp;O'!$I:$I,$AI157),0)</f>
        <v>5</v>
      </c>
      <c r="AL157" s="277">
        <f>IF(AI157&lt;&gt;"nvt",-INDEX(Parameters!$B:$B,MATCH(AL$3&amp;$M157,Parameters!$A:$A,0))*(AJ157+AK157),0)</f>
        <v>0</v>
      </c>
      <c r="AM157" s="442"/>
      <c r="AN157" s="262">
        <f t="shared" si="114"/>
        <v>5</v>
      </c>
      <c r="AO157" s="262">
        <f>AN157/INDEX(Parameters!$B:$B,MATCH("AfschrijftermijnVVE"&amp;12*$C157,Parameters!$A:$A,0))</f>
        <v>0.1388888888888889</v>
      </c>
      <c r="AP157" s="179">
        <f t="shared" si="115"/>
        <v>145</v>
      </c>
      <c r="AQ157" s="202">
        <f>IF(AP157&lt;&gt;"nvt",INDEX('Tarieven W&amp;O'!$G:$G,$AP157),0)</f>
        <v>22.24</v>
      </c>
      <c r="AR157" s="277">
        <f>-INDEX(Parameters!$B:$B,MATCH(AR$3&amp;$M157&amp;O157,Parameters!$A:$A,0))*(AQ157)</f>
        <v>0</v>
      </c>
      <c r="AS157" s="262">
        <f>Parameters!$D$54</f>
        <v>2</v>
      </c>
      <c r="AT157" s="442">
        <f>IF(M157="WBA CM Ethernet",0,'EDC Minus'!$H$27)</f>
        <v>1</v>
      </c>
      <c r="AU157" s="150">
        <f t="shared" si="105"/>
        <v>25.24</v>
      </c>
      <c r="AV157" s="150">
        <f t="shared" si="106"/>
        <v>25.378888888888888</v>
      </c>
      <c r="AW157" s="150"/>
      <c r="AX157" s="150">
        <f>Parameters!$B$6*AV157</f>
        <v>0.2537888888888889</v>
      </c>
      <c r="AY157" s="202">
        <v>0</v>
      </c>
      <c r="AZ157" s="202"/>
      <c r="BA157" s="150">
        <f t="shared" si="107"/>
        <v>0.2537888888888889</v>
      </c>
      <c r="BB157" s="150"/>
      <c r="BC157" s="151">
        <f t="shared" si="108"/>
        <v>25.632677777777776</v>
      </c>
      <c r="BD157" s="209"/>
      <c r="BE157" s="140">
        <f t="shared" si="101"/>
        <v>1002.1451000000001</v>
      </c>
      <c r="BF157" s="141">
        <f t="shared" si="102"/>
        <v>0.97506009729729737</v>
      </c>
      <c r="BG157" s="142" t="b">
        <f t="shared" si="116"/>
        <v>0</v>
      </c>
      <c r="BH157" s="148"/>
      <c r="BI157" s="188" t="s">
        <v>538</v>
      </c>
      <c r="BJ157" s="189"/>
      <c r="BK157">
        <f>VLOOKUP(J157,'Tarieven ZM'!$B$7:$I$146,8,0)</f>
        <v>0</v>
      </c>
      <c r="BL157" s="179" t="str">
        <f>INDEX(Mapping!$M:$M,MATCH($J157,Mapping!$B:$B,0))</f>
        <v>nvt</v>
      </c>
      <c r="BM157" s="282">
        <v>0</v>
      </c>
      <c r="BN157" s="262">
        <f>BM157/INDEX(Parameters!$B:$B,MATCH("AfschrijftermijnVVE"&amp;12*$C157,Parameters!$A:$A,0))</f>
        <v>0</v>
      </c>
      <c r="BO157" s="262">
        <f>Parameters!$D$59+INDEX('inkoop ULL tbv Epacity'!I:I,MATCH($BL157,'inkoop ULL tbv Epacity'!H:H,0))</f>
        <v>1</v>
      </c>
      <c r="BP157" s="263">
        <f t="shared" si="95"/>
        <v>1</v>
      </c>
      <c r="BQ157" s="203"/>
      <c r="BR157" s="262">
        <f>Parameters!$B$12*AG157</f>
        <v>102.77777777777779</v>
      </c>
      <c r="BS157" s="262">
        <f>SUM(Distributievergoedingen!$F$12,Distributievergoedingen!$I$12,Distributievergoedingen!$L$12,Distributievergoedingen!$O$12)*AF157+SUM(Distributievergoedingen!$O$12*AA157+Distributievergoedingen!$R$12+Distributievergoedingen!$U$12+Distributievergoedingen!$X$12)/(MAX(36,12*L157))</f>
        <v>112.77777777777777</v>
      </c>
      <c r="BT157" s="202"/>
      <c r="BU157" s="202">
        <f t="shared" si="96"/>
        <v>215.55555555555554</v>
      </c>
      <c r="BW157" s="151">
        <f t="shared" si="97"/>
        <v>216.55555555555554</v>
      </c>
      <c r="BY157" s="140">
        <f t="shared" si="98"/>
        <v>811.22222222222229</v>
      </c>
      <c r="BZ157" s="141">
        <f t="shared" si="99"/>
        <v>0.78929729729729736</v>
      </c>
      <c r="CA157" s="142" t="b">
        <f t="shared" si="100"/>
        <v>0</v>
      </c>
    </row>
    <row r="158" spans="1:79">
      <c r="A158" s="160" t="str">
        <f t="shared" si="110"/>
        <v>3SA IPVPNPremiumnationaal8192/8192</v>
      </c>
      <c r="B158" s="142" t="str">
        <f t="shared" si="103"/>
        <v>3SA IPVPN8192/8192Premium</v>
      </c>
      <c r="C158" s="198">
        <v>3</v>
      </c>
      <c r="D158" s="198" t="s">
        <v>93</v>
      </c>
      <c r="E158" s="198" t="s">
        <v>70</v>
      </c>
      <c r="F158" s="198" t="s">
        <v>115</v>
      </c>
      <c r="G158" s="199" t="s">
        <v>113</v>
      </c>
      <c r="H158" s="198" t="s">
        <v>94</v>
      </c>
      <c r="J158" s="142" t="str">
        <f t="shared" si="111"/>
        <v>SA IPVPN8192/8192Premium</v>
      </c>
      <c r="L158" s="160">
        <f>INDEX(Mapping!$J:$J,MATCH(C$3&amp;C158,Mapping!$B:$B,0))</f>
        <v>1</v>
      </c>
      <c r="M158" s="148" t="str">
        <f>INDEX(Mapping!$H:$H,MATCH($E158,Mapping!$B:$B,0))</f>
        <v>WBA ZM Ethernet</v>
      </c>
      <c r="N158" s="148" t="str">
        <f>INDEX(Mapping!$I:$I,MATCH($E158&amp;$G158,Mapping!$B:$B,0))</f>
        <v>premium</v>
      </c>
      <c r="O158" s="148" t="str">
        <f>INDEX(Mapping!$I:$I,MATCH($D158,Mapping!$B:$B,0))</f>
        <v>FttH</v>
      </c>
      <c r="P158" s="148" t="str">
        <f>INDEX(Mapping!$H:$H,MATCH($F158,Mapping!$B:$B,0))</f>
        <v>nvt</v>
      </c>
      <c r="Q158" s="148" t="str">
        <f>INDEX(Mapping!$J:$J,MATCH($E158&amp;$G158,Mapping!$B:$B,0))</f>
        <v>metro</v>
      </c>
      <c r="R158" s="148" t="str">
        <f>INDEX(Mapping!$I:$I,MATCH($J158,Mapping!$B:$B,0))</f>
        <v>10 Mbps/10 Mbps</v>
      </c>
      <c r="T158" s="148" t="str">
        <f>INDEX(Mapping!$K:$K,MATCH($E158&amp;$G158,Mapping!$B:$B,0))</f>
        <v>metro-nationaal</v>
      </c>
      <c r="U158" s="142" t="str">
        <f t="shared" si="109"/>
        <v>WBA ZM Ethernet10 Mbps/10 Mbpspremiummetro</v>
      </c>
      <c r="W158" s="160">
        <f>MATCH($J158,'Tarieven ZM'!$B:$B,0)</f>
        <v>58</v>
      </c>
      <c r="X158" s="148">
        <f>INDEX('Tarieven ZM'!$H:$H,$W158)</f>
        <v>1000</v>
      </c>
      <c r="Y158" s="161">
        <f>-INDEX(Parameters!$B:$B,MATCH(Y$3,Parameters!$A:$A,0))*$X158</f>
        <v>0</v>
      </c>
      <c r="Z158" s="149">
        <f>-INDEX(Parameters!$B:$B,MATCH(Z$3,Parameters!$A:$A,0))*$X158</f>
        <v>0</v>
      </c>
      <c r="AA158" s="148">
        <f t="shared" si="112"/>
        <v>1000</v>
      </c>
      <c r="AB158" s="148">
        <f>AA158/INDEX(Parameters!$B:$B,MATCH("AfschrijftermijnVVE"&amp;12*$C158,Parameters!$A:$A,0))</f>
        <v>27.777777777777779</v>
      </c>
      <c r="AC158" s="148">
        <f>INDEX('Tarieven ZM'!$G:$G,$W158)</f>
        <v>1000</v>
      </c>
      <c r="AD158" s="161">
        <f>-INDEX(Parameters!$B:$B,MATCH(AD$3,Parameters!$A:$A,0))*$AC158</f>
        <v>0</v>
      </c>
      <c r="AE158" s="161">
        <f>-INDEX(Parameters!$B:$B,MATCH(AE$3,Parameters!$A:$A,0))*$AC158</f>
        <v>0</v>
      </c>
      <c r="AF158" s="148">
        <f t="shared" si="113"/>
        <v>1000</v>
      </c>
      <c r="AG158" s="151">
        <f t="shared" si="104"/>
        <v>1027.7777777777778</v>
      </c>
      <c r="AH158" s="123"/>
      <c r="AI158" s="147">
        <f>IF(R158&lt;&gt;"n.a.",MATCH($U158,'Tarieven W&amp;O'!$B:$B,0),"nvt")</f>
        <v>141</v>
      </c>
      <c r="AJ158" s="148">
        <f>IF(AI158&lt;&gt;"nvt",INDEX('Tarieven W&amp;O'!$H:$H,$AI158),0)</f>
        <v>0</v>
      </c>
      <c r="AK158" s="148">
        <f>IF(AI158&lt;&gt;"nvt",INDEX('Tarieven W&amp;O'!$I:$I,$AI158),0)</f>
        <v>5</v>
      </c>
      <c r="AL158" s="277">
        <f>IF(AI158&lt;&gt;"nvt",-INDEX(Parameters!$B:$B,MATCH(AL$3&amp;$M158,Parameters!$A:$A,0))*(AJ158+AK158),0)</f>
        <v>0</v>
      </c>
      <c r="AM158" s="442"/>
      <c r="AN158" s="262">
        <f t="shared" si="114"/>
        <v>5</v>
      </c>
      <c r="AO158" s="262">
        <f>AN158/INDEX(Parameters!$B:$B,MATCH("AfschrijftermijnVVE"&amp;12*$C158,Parameters!$A:$A,0))</f>
        <v>0.1388888888888889</v>
      </c>
      <c r="AP158" s="179">
        <f t="shared" si="115"/>
        <v>141</v>
      </c>
      <c r="AQ158" s="202">
        <f>IF(AP158&lt;&gt;"nvt",INDEX('Tarieven W&amp;O'!$G:$G,$AP158),0)</f>
        <v>26.28</v>
      </c>
      <c r="AR158" s="277">
        <f>-INDEX(Parameters!$B:$B,MATCH(AR$3&amp;$M158&amp;O158,Parameters!$A:$A,0))*(AQ158)</f>
        <v>0</v>
      </c>
      <c r="AS158" s="262">
        <f>Parameters!$D$54</f>
        <v>2</v>
      </c>
      <c r="AT158" s="442">
        <f>IF(M158="WBA CM Ethernet",0,'EDC Minus'!$H$27)</f>
        <v>1</v>
      </c>
      <c r="AU158" s="150">
        <f t="shared" si="105"/>
        <v>29.28</v>
      </c>
      <c r="AV158" s="150">
        <f t="shared" si="106"/>
        <v>29.41888888888889</v>
      </c>
      <c r="AW158" s="150"/>
      <c r="AX158" s="150">
        <f>Parameters!$B$6*AV158</f>
        <v>0.29418888888888889</v>
      </c>
      <c r="AY158" s="202">
        <v>0</v>
      </c>
      <c r="AZ158" s="202"/>
      <c r="BA158" s="150">
        <f t="shared" si="107"/>
        <v>0.29418888888888889</v>
      </c>
      <c r="BB158" s="150"/>
      <c r="BC158" s="151">
        <f t="shared" si="108"/>
        <v>29.71307777777778</v>
      </c>
      <c r="BD158" s="209"/>
      <c r="BE158" s="140">
        <f t="shared" si="101"/>
        <v>998.06470000000002</v>
      </c>
      <c r="BF158" s="141">
        <f t="shared" si="102"/>
        <v>0.97108997837837829</v>
      </c>
      <c r="BG158" s="142" t="b">
        <f t="shared" si="116"/>
        <v>0</v>
      </c>
      <c r="BH158" s="148"/>
      <c r="BI158" s="188" t="s">
        <v>538</v>
      </c>
      <c r="BJ158" s="189"/>
      <c r="BK158">
        <f>VLOOKUP(J158,'Tarieven ZM'!$B$7:$I$146,8,0)</f>
        <v>0</v>
      </c>
      <c r="BL158" s="179" t="str">
        <f>INDEX(Mapping!$M:$M,MATCH($J158,Mapping!$B:$B,0))</f>
        <v>nvt</v>
      </c>
      <c r="BM158" s="282">
        <v>0</v>
      </c>
      <c r="BN158" s="262">
        <f>BM158/INDEX(Parameters!$B:$B,MATCH("AfschrijftermijnVVE"&amp;12*$C158,Parameters!$A:$A,0))</f>
        <v>0</v>
      </c>
      <c r="BO158" s="262">
        <f>Parameters!$D$59+INDEX('inkoop ULL tbv Epacity'!I:I,MATCH($BL158,'inkoop ULL tbv Epacity'!H:H,0))</f>
        <v>1</v>
      </c>
      <c r="BP158" s="263">
        <f t="shared" si="95"/>
        <v>1</v>
      </c>
      <c r="BQ158" s="203"/>
      <c r="BR158" s="262">
        <f>Parameters!$B$12*AG158</f>
        <v>102.77777777777779</v>
      </c>
      <c r="BS158" s="262">
        <f>SUM(Distributievergoedingen!$F$12,Distributievergoedingen!$I$12,Distributievergoedingen!$L$12,Distributievergoedingen!$O$12)*AF158+SUM(Distributievergoedingen!$O$12*AA158+Distributievergoedingen!$R$12+Distributievergoedingen!$U$12+Distributievergoedingen!$X$12)/(MAX(36,12*L158))</f>
        <v>112.77777777777777</v>
      </c>
      <c r="BT158" s="202"/>
      <c r="BU158" s="202">
        <f t="shared" si="96"/>
        <v>215.55555555555554</v>
      </c>
      <c r="BW158" s="151">
        <f t="shared" si="97"/>
        <v>216.55555555555554</v>
      </c>
      <c r="BY158" s="140">
        <f t="shared" si="98"/>
        <v>811.22222222222229</v>
      </c>
      <c r="BZ158" s="141">
        <f t="shared" si="99"/>
        <v>0.78929729729729736</v>
      </c>
      <c r="CA158" s="142" t="b">
        <f t="shared" si="100"/>
        <v>0</v>
      </c>
    </row>
    <row r="159" spans="1:79">
      <c r="A159" s="160" t="str">
        <f t="shared" si="110"/>
        <v>3SA IPVPNPremiumnationaal10240/10240</v>
      </c>
      <c r="B159" s="142" t="str">
        <f t="shared" si="103"/>
        <v>3SA IPVPN10240/10240Premium</v>
      </c>
      <c r="C159" s="198">
        <v>3</v>
      </c>
      <c r="D159" s="198" t="s">
        <v>93</v>
      </c>
      <c r="E159" s="198" t="s">
        <v>70</v>
      </c>
      <c r="F159" s="198" t="s">
        <v>115</v>
      </c>
      <c r="G159" s="199" t="s">
        <v>113</v>
      </c>
      <c r="H159" s="198" t="s">
        <v>95</v>
      </c>
      <c r="J159" s="142" t="str">
        <f t="shared" si="111"/>
        <v>SA IPVPN10240/10240Premium</v>
      </c>
      <c r="L159" s="160">
        <f>INDEX(Mapping!$J:$J,MATCH(C$3&amp;C159,Mapping!$B:$B,0))</f>
        <v>1</v>
      </c>
      <c r="M159" s="148" t="str">
        <f>INDEX(Mapping!$H:$H,MATCH($E159,Mapping!$B:$B,0))</f>
        <v>WBA ZM Ethernet</v>
      </c>
      <c r="N159" s="148" t="str">
        <f>INDEX(Mapping!$I:$I,MATCH($E159&amp;$G159,Mapping!$B:$B,0))</f>
        <v>premium</v>
      </c>
      <c r="O159" s="148" t="str">
        <f>INDEX(Mapping!$I:$I,MATCH($D159,Mapping!$B:$B,0))</f>
        <v>FttH</v>
      </c>
      <c r="P159" s="148" t="str">
        <f>INDEX(Mapping!$H:$H,MATCH($F159,Mapping!$B:$B,0))</f>
        <v>nvt</v>
      </c>
      <c r="Q159" s="148" t="str">
        <f>INDEX(Mapping!$J:$J,MATCH($E159&amp;$G159,Mapping!$B:$B,0))</f>
        <v>metro</v>
      </c>
      <c r="R159" s="148" t="str">
        <f>INDEX(Mapping!$I:$I,MATCH($J159,Mapping!$B:$B,0))</f>
        <v>10 Mbps/10 Mbps</v>
      </c>
      <c r="T159" s="148" t="str">
        <f>INDEX(Mapping!$K:$K,MATCH($E159&amp;$G159,Mapping!$B:$B,0))</f>
        <v>metro-nationaal</v>
      </c>
      <c r="U159" s="142" t="str">
        <f t="shared" si="109"/>
        <v>WBA ZM Ethernet10 Mbps/10 Mbpspremiummetro</v>
      </c>
      <c r="W159" s="160">
        <f>MATCH($J159,'Tarieven ZM'!$B:$B,0)</f>
        <v>59</v>
      </c>
      <c r="X159" s="148">
        <f>INDEX('Tarieven ZM'!$H:$H,$W159)</f>
        <v>1000</v>
      </c>
      <c r="Y159" s="161">
        <f>-INDEX(Parameters!$B:$B,MATCH(Y$3,Parameters!$A:$A,0))*$X159</f>
        <v>0</v>
      </c>
      <c r="Z159" s="149">
        <f>-INDEX(Parameters!$B:$B,MATCH(Z$3,Parameters!$A:$A,0))*$X159</f>
        <v>0</v>
      </c>
      <c r="AA159" s="148">
        <f t="shared" si="112"/>
        <v>1000</v>
      </c>
      <c r="AB159" s="148">
        <f>AA159/INDEX(Parameters!$B:$B,MATCH("AfschrijftermijnVVE"&amp;12*$C159,Parameters!$A:$A,0))</f>
        <v>27.777777777777779</v>
      </c>
      <c r="AC159" s="148">
        <f>INDEX('Tarieven ZM'!$G:$G,$W159)</f>
        <v>1000</v>
      </c>
      <c r="AD159" s="161">
        <f>-INDEX(Parameters!$B:$B,MATCH(AD$3,Parameters!$A:$A,0))*$AC159</f>
        <v>0</v>
      </c>
      <c r="AE159" s="161">
        <f>-INDEX(Parameters!$B:$B,MATCH(AE$3,Parameters!$A:$A,0))*$AC159</f>
        <v>0</v>
      </c>
      <c r="AF159" s="148">
        <f t="shared" si="113"/>
        <v>1000</v>
      </c>
      <c r="AG159" s="151">
        <f t="shared" si="104"/>
        <v>1027.7777777777778</v>
      </c>
      <c r="AH159" s="123"/>
      <c r="AI159" s="147">
        <f>IF(R159&lt;&gt;"n.a.",MATCH($U159,'Tarieven W&amp;O'!$B:$B,0),"nvt")</f>
        <v>141</v>
      </c>
      <c r="AJ159" s="148">
        <f>IF(AI159&lt;&gt;"nvt",INDEX('Tarieven W&amp;O'!$H:$H,$AI159),0)</f>
        <v>0</v>
      </c>
      <c r="AK159" s="148">
        <f>IF(AI159&lt;&gt;"nvt",INDEX('Tarieven W&amp;O'!$I:$I,$AI159),0)</f>
        <v>5</v>
      </c>
      <c r="AL159" s="277">
        <f>IF(AI159&lt;&gt;"nvt",-INDEX(Parameters!$B:$B,MATCH(AL$3&amp;$M159,Parameters!$A:$A,0))*(AJ159+AK159),0)</f>
        <v>0</v>
      </c>
      <c r="AM159" s="442"/>
      <c r="AN159" s="262">
        <f t="shared" si="114"/>
        <v>5</v>
      </c>
      <c r="AO159" s="262">
        <f>AN159/INDEX(Parameters!$B:$B,MATCH("AfschrijftermijnVVE"&amp;12*$C159,Parameters!$A:$A,0))</f>
        <v>0.1388888888888889</v>
      </c>
      <c r="AP159" s="179">
        <f t="shared" si="115"/>
        <v>141</v>
      </c>
      <c r="AQ159" s="202">
        <f>IF(AP159&lt;&gt;"nvt",INDEX('Tarieven W&amp;O'!$G:$G,$AP159),0)</f>
        <v>26.28</v>
      </c>
      <c r="AR159" s="277">
        <f>-INDEX(Parameters!$B:$B,MATCH(AR$3&amp;$M159&amp;O159,Parameters!$A:$A,0))*(AQ159)</f>
        <v>0</v>
      </c>
      <c r="AS159" s="262">
        <f>Parameters!$D$54</f>
        <v>2</v>
      </c>
      <c r="AT159" s="442">
        <f>IF(M159="WBA CM Ethernet",0,'EDC Minus'!$H$27)</f>
        <v>1</v>
      </c>
      <c r="AU159" s="150">
        <f t="shared" si="105"/>
        <v>29.28</v>
      </c>
      <c r="AV159" s="150">
        <f t="shared" si="106"/>
        <v>29.41888888888889</v>
      </c>
      <c r="AW159" s="150"/>
      <c r="AX159" s="150">
        <f>Parameters!$B$6*AV159</f>
        <v>0.29418888888888889</v>
      </c>
      <c r="AY159" s="202">
        <v>0</v>
      </c>
      <c r="AZ159" s="202"/>
      <c r="BA159" s="150">
        <f t="shared" si="107"/>
        <v>0.29418888888888889</v>
      </c>
      <c r="BB159" s="150"/>
      <c r="BC159" s="151">
        <f t="shared" si="108"/>
        <v>29.71307777777778</v>
      </c>
      <c r="BD159" s="209"/>
      <c r="BE159" s="140">
        <f t="shared" si="101"/>
        <v>998.06470000000002</v>
      </c>
      <c r="BF159" s="141">
        <f t="shared" si="102"/>
        <v>0.97108997837837829</v>
      </c>
      <c r="BG159" s="142" t="b">
        <f t="shared" si="116"/>
        <v>0</v>
      </c>
      <c r="BH159" s="148"/>
      <c r="BI159" s="188" t="s">
        <v>538</v>
      </c>
      <c r="BJ159" s="189"/>
      <c r="BK159">
        <f>VLOOKUP(J159,'Tarieven ZM'!$B$7:$I$146,8,0)</f>
        <v>0</v>
      </c>
      <c r="BL159" s="179" t="str">
        <f>INDEX(Mapping!$M:$M,MATCH($J159,Mapping!$B:$B,0))</f>
        <v>nvt</v>
      </c>
      <c r="BM159" s="282">
        <v>0</v>
      </c>
      <c r="BN159" s="262">
        <f>BM159/INDEX(Parameters!$B:$B,MATCH("AfschrijftermijnVVE"&amp;12*$C159,Parameters!$A:$A,0))</f>
        <v>0</v>
      </c>
      <c r="BO159" s="262">
        <f>Parameters!$D$59+INDEX('inkoop ULL tbv Epacity'!I:I,MATCH($BL159,'inkoop ULL tbv Epacity'!H:H,0))</f>
        <v>1</v>
      </c>
      <c r="BP159" s="263">
        <f t="shared" si="95"/>
        <v>1</v>
      </c>
      <c r="BQ159" s="203"/>
      <c r="BR159" s="262">
        <f>Parameters!$B$12*AG159</f>
        <v>102.77777777777779</v>
      </c>
      <c r="BS159" s="262">
        <f>SUM(Distributievergoedingen!$F$12,Distributievergoedingen!$I$12,Distributievergoedingen!$L$12,Distributievergoedingen!$O$12)*AF159+SUM(Distributievergoedingen!$O$12*AA159+Distributievergoedingen!$R$12+Distributievergoedingen!$U$12+Distributievergoedingen!$X$12)/(MAX(36,12*L159))</f>
        <v>112.77777777777777</v>
      </c>
      <c r="BT159" s="202"/>
      <c r="BU159" s="202">
        <f t="shared" si="96"/>
        <v>215.55555555555554</v>
      </c>
      <c r="BW159" s="151">
        <f t="shared" si="97"/>
        <v>216.55555555555554</v>
      </c>
      <c r="BY159" s="140">
        <f t="shared" si="98"/>
        <v>811.22222222222229</v>
      </c>
      <c r="BZ159" s="141">
        <f t="shared" si="99"/>
        <v>0.78929729729729736</v>
      </c>
      <c r="CA159" s="142" t="b">
        <f t="shared" si="100"/>
        <v>0</v>
      </c>
    </row>
    <row r="160" spans="1:79">
      <c r="O160"/>
    </row>
    <row r="161" spans="15:15">
      <c r="O161"/>
    </row>
    <row r="162" spans="15:15">
      <c r="O162"/>
    </row>
  </sheetData>
  <autoFilter ref="A3:BJ159"/>
  <mergeCells count="13">
    <mergeCell ref="C2:J2"/>
    <mergeCell ref="L2:U2"/>
    <mergeCell ref="AP2:AU2"/>
    <mergeCell ref="W2:AB2"/>
    <mergeCell ref="AC2:AF2"/>
    <mergeCell ref="AI2:AO2"/>
    <mergeCell ref="BR1:BU1"/>
    <mergeCell ref="BY1:CA1"/>
    <mergeCell ref="BM1:BP1"/>
    <mergeCell ref="W1:AG1"/>
    <mergeCell ref="BE1:BG1"/>
    <mergeCell ref="AI1:AV1"/>
    <mergeCell ref="AX1:BA1"/>
  </mergeCells>
  <conditionalFormatting sqref="BI4:BI44 BI46:BI96 BI98:BI148 BI150:BI159">
    <cfRule type="containsText" dxfId="29" priority="7" operator="containsText" text="nee">
      <formula>NOT(ISERROR(SEARCH("nee",BI4)))</formula>
    </cfRule>
    <cfRule type="containsText" dxfId="28" priority="8" operator="containsText" text="ja">
      <formula>NOT(ISERROR(SEARCH("ja",BI4)))</formula>
    </cfRule>
  </conditionalFormatting>
  <conditionalFormatting sqref="BI45">
    <cfRule type="containsText" dxfId="27" priority="5" operator="containsText" text="nee">
      <formula>NOT(ISERROR(SEARCH("nee",BI45)))</formula>
    </cfRule>
    <cfRule type="containsText" dxfId="26" priority="6" operator="containsText" text="ja">
      <formula>NOT(ISERROR(SEARCH("ja",BI45)))</formula>
    </cfRule>
  </conditionalFormatting>
  <conditionalFormatting sqref="BI97">
    <cfRule type="containsText" dxfId="25" priority="3" operator="containsText" text="nee">
      <formula>NOT(ISERROR(SEARCH("nee",BI97)))</formula>
    </cfRule>
    <cfRule type="containsText" dxfId="24" priority="4" operator="containsText" text="ja">
      <formula>NOT(ISERROR(SEARCH("ja",BI97)))</formula>
    </cfRule>
  </conditionalFormatting>
  <conditionalFormatting sqref="BI149">
    <cfRule type="containsText" dxfId="23" priority="1" operator="containsText" text="nee">
      <formula>NOT(ISERROR(SEARCH("nee",BI149)))</formula>
    </cfRule>
    <cfRule type="containsText" dxfId="22" priority="2" operator="containsText" text="ja">
      <formula>NOT(ISERROR(SEARCH("ja",BI149)))</formula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>
    <tabColor theme="3" tint="0.59999389629810485"/>
  </sheetPr>
  <dimension ref="A1:CA85"/>
  <sheetViews>
    <sheetView topLeftCell="BK1" workbookViewId="0">
      <selection activeCell="BY13" sqref="BY13"/>
    </sheetView>
  </sheetViews>
  <sheetFormatPr defaultRowHeight="15"/>
  <cols>
    <col min="1" max="1" width="34.85546875" customWidth="1"/>
    <col min="2" max="2" width="34.140625" bestFit="1" customWidth="1"/>
    <col min="4" max="4" width="18.28515625" customWidth="1"/>
    <col min="5" max="5" width="12.5703125" customWidth="1"/>
    <col min="6" max="7" width="13.28515625" customWidth="1"/>
    <col min="8" max="8" width="10.85546875" customWidth="1"/>
    <col min="9" max="9" width="9.7109375" customWidth="1"/>
    <col min="10" max="10" width="33.7109375" bestFit="1" customWidth="1"/>
    <col min="11" max="11" width="2.7109375" customWidth="1"/>
    <col min="13" max="13" width="16.28515625" customWidth="1"/>
    <col min="14" max="14" width="12.42578125" customWidth="1"/>
    <col min="15" max="15" width="14.7109375" customWidth="1"/>
    <col min="16" max="16" width="3" customWidth="1"/>
    <col min="17" max="19" width="16.7109375" customWidth="1"/>
    <col min="20" max="20" width="27.5703125" customWidth="1"/>
    <col min="21" max="21" width="22.140625" bestFit="1" customWidth="1"/>
    <col min="22" max="22" width="4.140625" customWidth="1"/>
    <col min="23" max="23" width="10.85546875" customWidth="1"/>
    <col min="24" max="24" width="9.140625" customWidth="1"/>
    <col min="25" max="25" width="10.28515625" customWidth="1"/>
    <col min="26" max="26" width="9.140625" customWidth="1"/>
    <col min="29" max="29" width="9.140625" customWidth="1"/>
    <col min="30" max="33" width="11.42578125" customWidth="1"/>
    <col min="34" max="34" width="2.7109375" customWidth="1"/>
    <col min="35" max="35" width="11.42578125" customWidth="1"/>
    <col min="36" max="36" width="11.28515625" customWidth="1"/>
    <col min="37" max="37" width="9.7109375" customWidth="1"/>
    <col min="38" max="41" width="9.140625" customWidth="1"/>
    <col min="42" max="42" width="11.42578125" customWidth="1"/>
    <col min="43" max="43" width="9.140625" customWidth="1"/>
    <col min="44" max="44" width="10.140625" customWidth="1"/>
    <col min="45" max="45" width="8.5703125" customWidth="1"/>
    <col min="46" max="46" width="2.5703125" customWidth="1"/>
    <col min="47" max="47" width="9.140625" customWidth="1"/>
    <col min="48" max="48" width="11.42578125" customWidth="1"/>
    <col min="49" max="49" width="4.42578125" customWidth="1"/>
    <col min="50" max="50" width="8.28515625" customWidth="1"/>
    <col min="51" max="51" width="12.7109375" customWidth="1"/>
    <col min="52" max="52" width="1.85546875" customWidth="1"/>
    <col min="53" max="53" width="12.7109375" customWidth="1"/>
    <col min="54" max="54" width="2.5703125" customWidth="1"/>
    <col min="55" max="55" width="12.85546875" customWidth="1"/>
    <col min="56" max="56" width="4.140625" customWidth="1"/>
    <col min="57" max="57" width="12.7109375" customWidth="1"/>
    <col min="58" max="58" width="10.7109375" customWidth="1"/>
    <col min="59" max="59" width="12" customWidth="1"/>
    <col min="60" max="60" width="4.42578125" customWidth="1"/>
    <col min="61" max="61" width="15" customWidth="1"/>
    <col min="62" max="62" width="43.42578125" customWidth="1"/>
    <col min="64" max="64" width="19.42578125" customWidth="1"/>
    <col min="69" max="69" width="3.5703125" customWidth="1"/>
    <col min="72" max="72" width="1.85546875" customWidth="1"/>
    <col min="74" max="74" width="3.28515625" customWidth="1"/>
    <col min="75" max="75" width="12.85546875" customWidth="1"/>
  </cols>
  <sheetData>
    <row r="1" spans="1:79" s="106" customFormat="1">
      <c r="A1" s="184"/>
      <c r="B1" s="126"/>
      <c r="C1" s="126"/>
      <c r="D1" s="126"/>
      <c r="E1" s="126"/>
      <c r="F1" s="126"/>
      <c r="G1" s="126"/>
      <c r="H1" s="126"/>
      <c r="I1" s="126"/>
      <c r="J1" s="164"/>
      <c r="K1" s="126"/>
      <c r="L1" s="125"/>
      <c r="M1" s="126"/>
      <c r="N1" s="126"/>
      <c r="O1" s="126"/>
      <c r="P1" s="126"/>
      <c r="Q1" s="126"/>
      <c r="R1" s="126"/>
      <c r="S1" s="126"/>
      <c r="T1" s="126"/>
      <c r="U1" s="164"/>
      <c r="V1" s="126"/>
      <c r="W1" s="974" t="s">
        <v>362</v>
      </c>
      <c r="X1" s="975"/>
      <c r="Y1" s="975"/>
      <c r="Z1" s="975"/>
      <c r="AA1" s="975"/>
      <c r="AB1" s="975"/>
      <c r="AC1" s="975"/>
      <c r="AD1" s="975"/>
      <c r="AE1" s="975"/>
      <c r="AF1" s="975"/>
      <c r="AG1" s="976"/>
      <c r="AH1" s="218"/>
      <c r="AI1" s="969" t="s">
        <v>363</v>
      </c>
      <c r="AJ1" s="970"/>
      <c r="AK1" s="970"/>
      <c r="AL1" s="970"/>
      <c r="AM1" s="970"/>
      <c r="AN1" s="970"/>
      <c r="AO1" s="970"/>
      <c r="AP1" s="970"/>
      <c r="AQ1" s="970"/>
      <c r="AR1" s="970"/>
      <c r="AS1" s="970"/>
      <c r="AT1" s="970"/>
      <c r="AU1" s="970"/>
      <c r="AV1" s="970"/>
      <c r="AW1" s="210"/>
      <c r="AX1" s="964" t="s">
        <v>364</v>
      </c>
      <c r="AY1" s="964"/>
      <c r="AZ1" s="964"/>
      <c r="BA1" s="964"/>
      <c r="BB1" s="210"/>
      <c r="BC1" s="212"/>
      <c r="BD1" s="219"/>
      <c r="BE1" s="965" t="s">
        <v>365</v>
      </c>
      <c r="BF1" s="966"/>
      <c r="BG1" s="967"/>
      <c r="BH1" s="176"/>
      <c r="BI1" s="180" t="s">
        <v>366</v>
      </c>
      <c r="BJ1" s="181"/>
      <c r="BK1" s="172"/>
      <c r="BL1" s="172"/>
      <c r="BM1" s="968" t="s">
        <v>505</v>
      </c>
      <c r="BN1" s="968"/>
      <c r="BO1" s="968"/>
      <c r="BP1" s="968"/>
      <c r="BR1" s="964" t="s">
        <v>504</v>
      </c>
      <c r="BS1" s="964"/>
      <c r="BT1" s="964"/>
      <c r="BU1" s="964"/>
      <c r="BW1" s="204" t="s">
        <v>506</v>
      </c>
      <c r="BY1" s="965" t="s">
        <v>503</v>
      </c>
      <c r="BZ1" s="966"/>
      <c r="CA1" s="967"/>
    </row>
    <row r="2" spans="1:79" s="106" customFormat="1">
      <c r="A2" s="185"/>
      <c r="B2" s="172"/>
      <c r="C2" s="972" t="s">
        <v>367</v>
      </c>
      <c r="D2" s="972"/>
      <c r="E2" s="972"/>
      <c r="F2" s="972"/>
      <c r="G2" s="972"/>
      <c r="H2" s="972"/>
      <c r="I2" s="972"/>
      <c r="J2" s="973"/>
      <c r="K2" s="217"/>
      <c r="L2" s="971" t="s">
        <v>368</v>
      </c>
      <c r="M2" s="972"/>
      <c r="N2" s="972"/>
      <c r="O2" s="972"/>
      <c r="P2" s="972"/>
      <c r="Q2" s="972"/>
      <c r="R2" s="972"/>
      <c r="S2" s="972"/>
      <c r="T2" s="972"/>
      <c r="U2" s="973"/>
      <c r="V2" s="217"/>
      <c r="W2" s="978" t="s">
        <v>146</v>
      </c>
      <c r="X2" s="977"/>
      <c r="Y2" s="977"/>
      <c r="Z2" s="977"/>
      <c r="AA2" s="977"/>
      <c r="AB2" s="977"/>
      <c r="AC2" s="977" t="s">
        <v>145</v>
      </c>
      <c r="AD2" s="977"/>
      <c r="AE2" s="977"/>
      <c r="AF2" s="977"/>
      <c r="AG2" s="157" t="s">
        <v>369</v>
      </c>
      <c r="AH2" s="128"/>
      <c r="AI2" s="979" t="s">
        <v>146</v>
      </c>
      <c r="AJ2" s="968"/>
      <c r="AK2" s="968"/>
      <c r="AL2" s="968"/>
      <c r="AM2" s="968"/>
      <c r="AN2" s="968"/>
      <c r="AO2" s="968"/>
      <c r="AP2" s="968" t="s">
        <v>145</v>
      </c>
      <c r="AQ2" s="968"/>
      <c r="AR2" s="968"/>
      <c r="AS2" s="968"/>
      <c r="AT2" s="968"/>
      <c r="AU2" s="968"/>
      <c r="AV2" s="204" t="s">
        <v>369</v>
      </c>
      <c r="AW2" s="205"/>
      <c r="AX2" s="917"/>
      <c r="AY2" s="917"/>
      <c r="AZ2" s="917"/>
      <c r="BA2" s="917"/>
      <c r="BB2" s="205"/>
      <c r="BC2" s="213" t="s">
        <v>371</v>
      </c>
      <c r="BD2" s="129"/>
      <c r="BE2" s="138"/>
      <c r="BF2" s="130"/>
      <c r="BG2" s="131"/>
      <c r="BH2" s="177"/>
      <c r="BI2" s="174"/>
      <c r="BJ2" s="175"/>
      <c r="BK2" s="172"/>
      <c r="BL2" s="172"/>
      <c r="BM2" s="204"/>
      <c r="BN2" s="204"/>
      <c r="BO2" s="204"/>
      <c r="BP2" s="204"/>
      <c r="BQ2" s="205"/>
      <c r="BR2" s="917"/>
      <c r="BS2" s="917"/>
      <c r="BT2" s="917"/>
      <c r="BU2" s="917"/>
      <c r="BV2" s="205"/>
      <c r="BW2" s="213" t="s">
        <v>371</v>
      </c>
      <c r="BX2" s="177"/>
      <c r="BY2" s="138"/>
      <c r="BZ2" s="130"/>
      <c r="CA2" s="131"/>
    </row>
    <row r="3" spans="1:79" s="124" customFormat="1" ht="60">
      <c r="A3" s="132" t="s">
        <v>372</v>
      </c>
      <c r="B3" s="132" t="s">
        <v>373</v>
      </c>
      <c r="C3" s="132" t="s">
        <v>136</v>
      </c>
      <c r="D3" s="133" t="s">
        <v>374</v>
      </c>
      <c r="E3" s="133" t="s">
        <v>39</v>
      </c>
      <c r="F3" s="133" t="s">
        <v>130</v>
      </c>
      <c r="G3" s="133" t="s">
        <v>375</v>
      </c>
      <c r="H3" s="133" t="s">
        <v>148</v>
      </c>
      <c r="I3" s="133" t="s">
        <v>149</v>
      </c>
      <c r="J3" s="165" t="s">
        <v>36</v>
      </c>
      <c r="K3" s="133"/>
      <c r="L3" s="132" t="s">
        <v>137</v>
      </c>
      <c r="M3" s="133" t="s">
        <v>120</v>
      </c>
      <c r="N3" s="133" t="s">
        <v>376</v>
      </c>
      <c r="O3" s="133" t="s">
        <v>502</v>
      </c>
      <c r="P3"/>
      <c r="Q3" s="133" t="s">
        <v>377</v>
      </c>
      <c r="R3" s="133" t="s">
        <v>148</v>
      </c>
      <c r="S3" s="133" t="s">
        <v>149</v>
      </c>
      <c r="T3" s="133" t="s">
        <v>378</v>
      </c>
      <c r="U3" s="165" t="s">
        <v>379</v>
      </c>
      <c r="V3" s="133"/>
      <c r="W3" s="158" t="s">
        <v>380</v>
      </c>
      <c r="X3" s="134" t="s">
        <v>146</v>
      </c>
      <c r="Y3" s="134" t="s">
        <v>415</v>
      </c>
      <c r="Z3" s="134" t="s">
        <v>20</v>
      </c>
      <c r="AA3" s="134" t="s">
        <v>382</v>
      </c>
      <c r="AB3" s="134" t="s">
        <v>383</v>
      </c>
      <c r="AC3" s="134" t="s">
        <v>145</v>
      </c>
      <c r="AD3" s="134" t="s">
        <v>416</v>
      </c>
      <c r="AE3" s="134" t="s">
        <v>21</v>
      </c>
      <c r="AF3" s="134" t="s">
        <v>385</v>
      </c>
      <c r="AG3" s="159" t="s">
        <v>386</v>
      </c>
      <c r="AH3" s="134"/>
      <c r="AI3" s="146" t="s">
        <v>387</v>
      </c>
      <c r="AJ3" s="135" t="s">
        <v>163</v>
      </c>
      <c r="AK3" s="135" t="s">
        <v>164</v>
      </c>
      <c r="AL3" s="135" t="s">
        <v>388</v>
      </c>
      <c r="AM3" s="135" t="s">
        <v>389</v>
      </c>
      <c r="AN3" s="135" t="s">
        <v>382</v>
      </c>
      <c r="AO3" s="135" t="s">
        <v>383</v>
      </c>
      <c r="AP3" s="135" t="s">
        <v>390</v>
      </c>
      <c r="AQ3" s="135" t="s">
        <v>145</v>
      </c>
      <c r="AR3" s="135" t="s">
        <v>391</v>
      </c>
      <c r="AS3" s="135" t="s">
        <v>392</v>
      </c>
      <c r="AT3" s="135">
        <v>0</v>
      </c>
      <c r="AU3" s="135" t="s">
        <v>385</v>
      </c>
      <c r="AV3" s="135" t="s">
        <v>386</v>
      </c>
      <c r="AW3" s="206"/>
      <c r="AX3" s="211" t="s">
        <v>393</v>
      </c>
      <c r="AY3" s="211" t="s">
        <v>394</v>
      </c>
      <c r="AZ3" s="211"/>
      <c r="BA3" s="211" t="s">
        <v>395</v>
      </c>
      <c r="BB3" s="206"/>
      <c r="BC3" s="214" t="s">
        <v>396</v>
      </c>
      <c r="BD3" s="135"/>
      <c r="BE3" s="139" t="s">
        <v>397</v>
      </c>
      <c r="BF3" s="136" t="s">
        <v>398</v>
      </c>
      <c r="BG3" s="137" t="s">
        <v>399</v>
      </c>
      <c r="BI3" s="182" t="s">
        <v>400</v>
      </c>
      <c r="BJ3" s="183" t="s">
        <v>401</v>
      </c>
      <c r="BL3" s="124" t="s">
        <v>1341</v>
      </c>
      <c r="BM3" s="267" t="s">
        <v>382</v>
      </c>
      <c r="BN3" s="267" t="s">
        <v>383</v>
      </c>
      <c r="BO3" s="267" t="s">
        <v>385</v>
      </c>
      <c r="BP3" s="267" t="s">
        <v>507</v>
      </c>
      <c r="BQ3" s="206"/>
      <c r="BR3" s="211" t="s">
        <v>1647</v>
      </c>
      <c r="BS3" s="211" t="s">
        <v>394</v>
      </c>
      <c r="BT3" s="211"/>
      <c r="BU3" s="211" t="s">
        <v>395</v>
      </c>
      <c r="BV3" s="206"/>
      <c r="BW3" s="214" t="s">
        <v>500</v>
      </c>
      <c r="BX3" s="206"/>
      <c r="BY3" s="139" t="s">
        <v>397</v>
      </c>
      <c r="BZ3" s="136" t="s">
        <v>398</v>
      </c>
      <c r="CA3" s="137" t="s">
        <v>399</v>
      </c>
    </row>
    <row r="4" spans="1:79">
      <c r="A4" t="str">
        <f t="shared" ref="A4:A10" si="0">C4&amp;D4&amp;E4&amp;F4</f>
        <v>1ADSLPremiumwinkeluren</v>
      </c>
      <c r="B4" t="str">
        <f t="shared" ref="B4:B10" si="1">A4</f>
        <v>1ADSLPremiumwinkeluren</v>
      </c>
      <c r="C4" s="75">
        <v>1</v>
      </c>
      <c r="D4" s="75" t="s">
        <v>42</v>
      </c>
      <c r="E4" s="75" t="s">
        <v>70</v>
      </c>
      <c r="F4" s="75" t="s">
        <v>131</v>
      </c>
      <c r="G4" s="75" t="s">
        <v>115</v>
      </c>
      <c r="H4" s="75" t="s">
        <v>115</v>
      </c>
      <c r="I4" s="75" t="s">
        <v>115</v>
      </c>
      <c r="J4" s="142" t="str">
        <f t="shared" ref="J4:J6" si="2">D4&amp;E4&amp;F4</f>
        <v>ADSLPremiumwinkeluren</v>
      </c>
      <c r="L4" s="160">
        <f>INDEX(Mapping!$J:$J,MATCH(C$3&amp;C4,Mapping!$B:$B,0))</f>
        <v>1</v>
      </c>
      <c r="M4" s="148" t="str">
        <f>INDEX(Mapping!$H:$H,MATCH($E4,Mapping!$B:$B,0))</f>
        <v>WBA ZM Ethernet</v>
      </c>
      <c r="N4" s="148" t="str">
        <f>INDEX(Mapping!$J:$J,MATCH($J4,Mapping!$B:$B,0))</f>
        <v>ADSL</v>
      </c>
      <c r="O4" s="148" t="str">
        <f>INDEX(Mapping!$K:$K,MATCH($J4,Mapping!$B:$B,0))</f>
        <v>7x24</v>
      </c>
      <c r="Q4" s="148"/>
      <c r="R4" s="148" t="str">
        <f>INDEX(Mapping!$H:$H,MATCH($H4,Mapping!$B:$B,0))</f>
        <v>nvt</v>
      </c>
      <c r="S4" s="148" t="str">
        <f>INDEX(Mapping!$H:$H,MATCH($I4,Mapping!$B:$B,0))</f>
        <v>nvt</v>
      </c>
      <c r="T4" s="148" t="str">
        <f t="shared" ref="T4:T12" si="3">M4&amp;N4&amp;O4</f>
        <v>WBA ZM EthernetADSL7x24</v>
      </c>
      <c r="U4" s="142" t="str">
        <f t="shared" ref="U4:U12" si="4">T4</f>
        <v>WBA ZM EthernetADSL7x24</v>
      </c>
      <c r="W4" s="160">
        <f>MATCH($J4,'Tarieven ZM'!$B:$B,0)</f>
        <v>111</v>
      </c>
      <c r="X4" s="148">
        <f>INDEX('Tarieven ZM'!$H:$H,$W4)</f>
        <v>1000</v>
      </c>
      <c r="Y4" s="161">
        <f>-INDEX(Parameters!$B:$B,MATCH(Y$3,Parameters!$A:$A,0))*$X4</f>
        <v>0</v>
      </c>
      <c r="Z4" s="149">
        <f>-INDEX(Parameters!$B:$B,MATCH(Z$3,Parameters!$A:$A,0))*$X4</f>
        <v>0</v>
      </c>
      <c r="AA4" s="148">
        <f t="shared" ref="AA4:AA10" si="5">SUM(X4:Z4)</f>
        <v>1000</v>
      </c>
      <c r="AB4" s="148">
        <f>AA4/INDEX(Parameters!$B:$B,MATCH("AfschrijftermijnVVE"&amp;12*$C4,Parameters!$A:$A,0))</f>
        <v>27.777777777777779</v>
      </c>
      <c r="AC4" s="148">
        <f>INDEX('Tarieven ZM'!$G:$G,$W4)</f>
        <v>1000</v>
      </c>
      <c r="AD4" s="161">
        <f>-INDEX(Parameters!$B:$B,MATCH(AD$3,Parameters!$A:$A,0))*$AC4</f>
        <v>0</v>
      </c>
      <c r="AE4" s="161">
        <f>-INDEX(Parameters!$B:$B,MATCH(AE$3,Parameters!$A:$A,0))*$AC4</f>
        <v>0</v>
      </c>
      <c r="AF4" s="148">
        <f t="shared" ref="AF4:AF10" si="6">SUM(AC4:AE4)</f>
        <v>1000</v>
      </c>
      <c r="AG4" s="151">
        <f t="shared" ref="AG4:AG10" si="7">SUM(AB4,AF4)</f>
        <v>1027.7777777777778</v>
      </c>
      <c r="AH4" s="123"/>
      <c r="AI4" s="147">
        <f>MATCH($T4,'Tarieven W&amp;O'!$B:$B,0)</f>
        <v>199</v>
      </c>
      <c r="AJ4" s="148">
        <f>IF(AI4&lt;&gt;"nvt",INDEX('Tarieven W&amp;O'!$H:$H,$AI4),0)</f>
        <v>0</v>
      </c>
      <c r="AK4" s="148">
        <f>IF(AI4&lt;&gt;"nvt",INDEX('Tarieven W&amp;O'!$I:$I,$AI4),0)</f>
        <v>0</v>
      </c>
      <c r="AL4" s="149">
        <f>IF(AI4&lt;&gt;"nvt",-INDEX(Parameters!$B:$B,MATCH(AL$3&amp;$M4,Parameters!$A:$A,0))*(AJ4+AK4),0)</f>
        <v>0</v>
      </c>
      <c r="AM4" s="149"/>
      <c r="AN4" s="148">
        <f t="shared" ref="AN4:AN12" si="8">SUM(AJ4:AM4)</f>
        <v>0</v>
      </c>
      <c r="AO4" s="171">
        <f>AN4/INDEX(Parameters!$B:$B,MATCH("AfschrijftermijnVVE"&amp;12*$C4,Parameters!$A:$A,0))</f>
        <v>0</v>
      </c>
      <c r="AP4" s="148">
        <f>MATCH($U4,'Tarieven W&amp;O'!$B:$B,0)</f>
        <v>199</v>
      </c>
      <c r="AQ4" s="150">
        <f>IF(AP4&lt;&gt;"nvt",INDEX('Tarieven W&amp;O'!$G:$G,$AP4),0)</f>
        <v>8.1199999999999992</v>
      </c>
      <c r="AR4" s="277">
        <f>-INDEX(Parameters!$B:$B,MATCH(AR$3&amp;M4&amp;$N4,Parameters!$A:$A,0))*(AQ4)</f>
        <v>0</v>
      </c>
      <c r="AS4" s="148"/>
      <c r="AT4" s="148"/>
      <c r="AU4" s="202">
        <f t="shared" ref="AU4:AU12" si="9">SUM(AQ4:AT4)</f>
        <v>8.1199999999999992</v>
      </c>
      <c r="AV4" s="202">
        <f t="shared" ref="AV4:AV12" si="10">SUM(AO4,AU4)</f>
        <v>8.1199999999999992</v>
      </c>
      <c r="AW4" s="202"/>
      <c r="AX4" s="150">
        <f>Parameters!$B$6*AV4</f>
        <v>8.1199999999999994E-2</v>
      </c>
      <c r="AY4" s="202">
        <v>0</v>
      </c>
      <c r="AZ4" s="150"/>
      <c r="BA4" s="150">
        <f t="shared" ref="BA4:BA58" si="11">SUM(AX4:AZ4)</f>
        <v>8.1199999999999994E-2</v>
      </c>
      <c r="BB4" s="150"/>
      <c r="BC4" s="151">
        <f t="shared" ref="BC4:BC58" si="12">SUM(AV4,BA4)</f>
        <v>8.2012</v>
      </c>
      <c r="BD4" s="123"/>
      <c r="BE4" s="140">
        <f t="shared" ref="BE4:BE12" si="13">AG4-BC4</f>
        <v>1019.5765777777779</v>
      </c>
      <c r="BF4" s="141">
        <f t="shared" ref="BF4:BF12" si="14">IF(AG4=0,-999%,BE4/AG4)</f>
        <v>0.99202045405405403</v>
      </c>
      <c r="BG4" s="142" t="b">
        <f t="shared" ref="BG4:BG12" si="15">BF4&lt;0</f>
        <v>0</v>
      </c>
      <c r="BI4" s="188" t="s">
        <v>538</v>
      </c>
      <c r="BJ4" s="189"/>
      <c r="BK4">
        <f>VLOOKUP(J4,'Tarieven ZM'!$B$7:$I$146,8,0)</f>
        <v>0</v>
      </c>
      <c r="BL4" s="203" t="str">
        <f>N4&amp;O4</f>
        <v>ADSL7x24</v>
      </c>
      <c r="BM4" s="268">
        <v>0</v>
      </c>
      <c r="BN4" s="171">
        <f>BM4/INDEX(Parameters!$B:$B,MATCH("AfschrijftermijnVVE"&amp;12*$C4,Parameters!$A:$A,0))</f>
        <v>0</v>
      </c>
      <c r="BO4" s="262">
        <f>INDEX('inkoop ULL tbv Epacity'!I:I,MATCH($BL4,'inkoop ULL tbv Epacity'!H:H,0))</f>
        <v>8.1300000000000008</v>
      </c>
      <c r="BP4" s="263">
        <f>BN4+BO4</f>
        <v>8.1300000000000008</v>
      </c>
      <c r="BQ4" s="203"/>
      <c r="BR4" s="262">
        <f>Parameters!$B$12*AG4</f>
        <v>102.77777777777779</v>
      </c>
      <c r="BS4" s="262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SUM(Distributievergoedingen!$F$12,Distributievergoedingen!$I$12,Distributievergoedingen!$L$12,Distributievergoedingen!$O$12)*AF4+SUM(Distributievergoedingen!$O$12*AA4+Distributievergoedingen!$R$12+Distributievergoedingen!$U$12+Distributievergoedingen!$X$12)/(MAX(36,12*L4))</f>
        <v>112.77777777777777</v>
      </c>
      <c r="BT4" s="262"/>
      <c r="BU4" s="150">
        <f>SUM(BR4:BT4)</f>
        <v>215.55555555555554</v>
      </c>
      <c r="BW4" s="151">
        <f>SUM(BP4,BU4)</f>
        <v>223.68555555555554</v>
      </c>
      <c r="BY4" s="140">
        <f>AG4-BW4</f>
        <v>804.09222222222229</v>
      </c>
      <c r="BZ4" s="141">
        <f>IF(AG4=0,-999%,BY4/AG4)</f>
        <v>0.78236000000000006</v>
      </c>
      <c r="CA4" s="142" t="b">
        <f>BZ4&lt;0</f>
        <v>0</v>
      </c>
    </row>
    <row r="5" spans="1:79">
      <c r="A5" t="str">
        <f t="shared" si="0"/>
        <v>1ADSLBasic7x24</v>
      </c>
      <c r="B5" t="str">
        <f t="shared" si="1"/>
        <v>1ADSLBasic7x24</v>
      </c>
      <c r="C5" s="75">
        <v>1</v>
      </c>
      <c r="D5" s="75" t="s">
        <v>42</v>
      </c>
      <c r="E5" s="75" t="s">
        <v>44</v>
      </c>
      <c r="F5" s="75" t="s">
        <v>34</v>
      </c>
      <c r="G5" s="75" t="s">
        <v>115</v>
      </c>
      <c r="H5" s="75" t="s">
        <v>115</v>
      </c>
      <c r="I5" s="75" t="s">
        <v>115</v>
      </c>
      <c r="J5" s="142" t="str">
        <f t="shared" si="2"/>
        <v>ADSLBasic7x24</v>
      </c>
      <c r="L5" s="160">
        <f>INDEX(Mapping!$J:$J,MATCH(C$3&amp;C5,Mapping!$B:$B,0))</f>
        <v>1</v>
      </c>
      <c r="M5" s="148" t="str">
        <f>INDEX(Mapping!$H:$H,MATCH($E5,Mapping!$B:$B,0))</f>
        <v>WBA CM Ethernet</v>
      </c>
      <c r="N5" s="148" t="str">
        <f>INDEX(Mapping!$J:$J,MATCH($J5,Mapping!$B:$B,0))</f>
        <v>ADSL</v>
      </c>
      <c r="O5" s="148" t="str">
        <f>INDEX(Mapping!$K:$K,MATCH($J5,Mapping!$B:$B,0))</f>
        <v>7x24</v>
      </c>
      <c r="Q5" s="148"/>
      <c r="R5" s="148" t="str">
        <f>INDEX(Mapping!$H:$H,MATCH($H5,Mapping!$B:$B,0))</f>
        <v>nvt</v>
      </c>
      <c r="S5" s="148" t="str">
        <f>INDEX(Mapping!$H:$H,MATCH($I5,Mapping!$B:$B,0))</f>
        <v>nvt</v>
      </c>
      <c r="T5" s="148" t="str">
        <f t="shared" si="3"/>
        <v>WBA CM EthernetADSL7x24</v>
      </c>
      <c r="U5" s="142" t="str">
        <f t="shared" si="4"/>
        <v>WBA CM EthernetADSL7x24</v>
      </c>
      <c r="W5" s="160">
        <f>MATCH($J5,'Tarieven ZM'!$B:$B,0)</f>
        <v>112</v>
      </c>
      <c r="X5" s="148">
        <f>INDEX('Tarieven ZM'!$H:$H,$W5)</f>
        <v>1000</v>
      </c>
      <c r="Y5" s="161">
        <f>-INDEX(Parameters!$B:$B,MATCH(Y$3,Parameters!$A:$A,0))*$X5</f>
        <v>0</v>
      </c>
      <c r="Z5" s="149">
        <f>-INDEX(Parameters!$B:$B,MATCH(Z$3,Parameters!$A:$A,0))*$X5</f>
        <v>0</v>
      </c>
      <c r="AA5" s="148">
        <f t="shared" si="5"/>
        <v>1000</v>
      </c>
      <c r="AB5" s="148">
        <f>AA5/INDEX(Parameters!$B:$B,MATCH("AfschrijftermijnVVE"&amp;12*$C5,Parameters!$A:$A,0))</f>
        <v>27.777777777777779</v>
      </c>
      <c r="AC5" s="148">
        <f>INDEX('Tarieven ZM'!$G:$G,$W5)</f>
        <v>1000</v>
      </c>
      <c r="AD5" s="161">
        <f>-INDEX(Parameters!$B:$B,MATCH(AD$3,Parameters!$A:$A,0))*$AC5</f>
        <v>0</v>
      </c>
      <c r="AE5" s="161">
        <f>-INDEX(Parameters!$B:$B,MATCH(AE$3,Parameters!$A:$A,0))*$AC5</f>
        <v>0</v>
      </c>
      <c r="AF5" s="148">
        <f t="shared" si="6"/>
        <v>1000</v>
      </c>
      <c r="AG5" s="151">
        <f t="shared" si="7"/>
        <v>1027.7777777777778</v>
      </c>
      <c r="AH5" s="123"/>
      <c r="AI5" s="147">
        <f>MATCH($T5,'Tarieven W&amp;O'!$B:$B,0)</f>
        <v>189</v>
      </c>
      <c r="AJ5" s="148">
        <f>IF(AI5&lt;&gt;"nvt",INDEX('Tarieven W&amp;O'!$H:$H,$AI5),0)</f>
        <v>0</v>
      </c>
      <c r="AK5" s="148">
        <f>IF(AI5&lt;&gt;"nvt",INDEX('Tarieven W&amp;O'!$I:$I,$AI5),0)</f>
        <v>0</v>
      </c>
      <c r="AL5" s="149">
        <f>IF(AI5&lt;&gt;"nvt",-INDEX(Parameters!$B:$B,MATCH(AL$3&amp;$M5,Parameters!$A:$A,0))*(AJ5+AK5),0)</f>
        <v>0</v>
      </c>
      <c r="AM5" s="149"/>
      <c r="AN5" s="148">
        <f t="shared" si="8"/>
        <v>0</v>
      </c>
      <c r="AO5" s="171">
        <f>AN5/INDEX(Parameters!$B:$B,MATCH("AfschrijftermijnVVE"&amp;12*$C5,Parameters!$A:$A,0))</f>
        <v>0</v>
      </c>
      <c r="AP5" s="148">
        <f>MATCH($U5,'Tarieven W&amp;O'!$B:$B,0)</f>
        <v>189</v>
      </c>
      <c r="AQ5" s="150">
        <f>IF(AP5&lt;&gt;"nvt",INDEX('Tarieven W&amp;O'!$G:$G,$AP5),0)</f>
        <v>15.11</v>
      </c>
      <c r="AR5" s="277">
        <f>-INDEX(Parameters!$B:$B,MATCH(AR$3&amp;M5&amp;$N5,Parameters!$A:$A,0))*(AQ5)</f>
        <v>-1.5110000000000001</v>
      </c>
      <c r="AS5" s="148"/>
      <c r="AT5" s="148"/>
      <c r="AU5" s="202">
        <f t="shared" si="9"/>
        <v>13.599</v>
      </c>
      <c r="AV5" s="202">
        <f t="shared" si="10"/>
        <v>13.599</v>
      </c>
      <c r="AW5" s="202"/>
      <c r="AX5" s="150">
        <f>Parameters!$B$6*AV5</f>
        <v>0.13599</v>
      </c>
      <c r="AY5" s="202">
        <v>0</v>
      </c>
      <c r="AZ5" s="150"/>
      <c r="BA5" s="150">
        <f t="shared" si="11"/>
        <v>0.13599</v>
      </c>
      <c r="BB5" s="150"/>
      <c r="BC5" s="151">
        <f t="shared" si="12"/>
        <v>13.73499</v>
      </c>
      <c r="BD5" s="123"/>
      <c r="BE5" s="140">
        <f t="shared" si="13"/>
        <v>1014.0427877777778</v>
      </c>
      <c r="BF5" s="141">
        <f t="shared" si="14"/>
        <v>0.98663622594594591</v>
      </c>
      <c r="BG5" s="142" t="b">
        <f t="shared" si="15"/>
        <v>0</v>
      </c>
      <c r="BI5" s="188" t="s">
        <v>538</v>
      </c>
      <c r="BJ5" s="189"/>
      <c r="BK5">
        <f>VLOOKUP(J5,'Tarieven ZM'!$B$7:$I$146,8,0)</f>
        <v>0</v>
      </c>
      <c r="BL5" s="203" t="str">
        <f t="shared" ref="BL5:BL68" si="16">N5&amp;O5</f>
        <v>ADSL7x24</v>
      </c>
      <c r="BM5" s="268">
        <v>0</v>
      </c>
      <c r="BN5" s="171">
        <f>BM5/INDEX(Parameters!$B:$B,MATCH("AfschrijftermijnVVE"&amp;12*$C5,Parameters!$A:$A,0))</f>
        <v>0</v>
      </c>
      <c r="BO5" s="262">
        <f>INDEX('inkoop ULL tbv Epacity'!I:I,MATCH($BL5,'inkoop ULL tbv Epacity'!H:H,0))</f>
        <v>8.1300000000000008</v>
      </c>
      <c r="BP5" s="263">
        <f t="shared" ref="BP5:BP58" si="17">BN5+BO5</f>
        <v>8.1300000000000008</v>
      </c>
      <c r="BQ5" s="203"/>
      <c r="BR5" s="262">
        <f>Parameters!$B$12*AG5</f>
        <v>102.77777777777779</v>
      </c>
      <c r="BS5" s="262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SUM(Distributievergoedingen!$F$12,Distributievergoedingen!$I$12,Distributievergoedingen!$L$12,Distributievergoedingen!$O$12)*AF5+SUM(Distributievergoedingen!$O$12*AA5+Distributievergoedingen!$R$12+Distributievergoedingen!$U$12+Distributievergoedingen!$X$12)/(MAX(36,12*L5))</f>
        <v>112.77777777777777</v>
      </c>
      <c r="BT5" s="262"/>
      <c r="BU5" s="150">
        <f>SUM(BR5:BT5)</f>
        <v>215.55555555555554</v>
      </c>
      <c r="BW5" s="151">
        <f>SUM(BP5,BU5)</f>
        <v>223.68555555555554</v>
      </c>
      <c r="BY5" s="140">
        <f>AG5-BW5</f>
        <v>804.09222222222229</v>
      </c>
      <c r="BZ5" s="141">
        <f>IF(AG5=0,-999%,BY5/AG5)</f>
        <v>0.78236000000000006</v>
      </c>
      <c r="CA5" s="142" t="b">
        <f>BZ5&lt;0</f>
        <v>0</v>
      </c>
    </row>
    <row r="6" spans="1:79">
      <c r="A6" t="str">
        <f t="shared" si="0"/>
        <v>1ADSLPremium7x24</v>
      </c>
      <c r="B6" t="str">
        <f t="shared" si="1"/>
        <v>1ADSLPremium7x24</v>
      </c>
      <c r="C6" s="75">
        <v>1</v>
      </c>
      <c r="D6" s="75" t="s">
        <v>42</v>
      </c>
      <c r="E6" s="75" t="s">
        <v>70</v>
      </c>
      <c r="F6" s="75" t="s">
        <v>34</v>
      </c>
      <c r="G6" s="75" t="s">
        <v>115</v>
      </c>
      <c r="H6" s="75" t="s">
        <v>115</v>
      </c>
      <c r="I6" s="75" t="s">
        <v>115</v>
      </c>
      <c r="J6" s="142" t="str">
        <f t="shared" si="2"/>
        <v>ADSLPremium7x24</v>
      </c>
      <c r="L6" s="160">
        <f>INDEX(Mapping!$J:$J,MATCH(C$3&amp;C6,Mapping!$B:$B,0))</f>
        <v>1</v>
      </c>
      <c r="M6" s="148" t="str">
        <f>INDEX(Mapping!$H:$H,MATCH($E6,Mapping!$B:$B,0))</f>
        <v>WBA ZM Ethernet</v>
      </c>
      <c r="N6" s="148" t="str">
        <f>INDEX(Mapping!$J:$J,MATCH($J6,Mapping!$B:$B,0))</f>
        <v>ADSL</v>
      </c>
      <c r="O6" s="148" t="str">
        <f>INDEX(Mapping!$K:$K,MATCH($J6,Mapping!$B:$B,0))</f>
        <v>7x24</v>
      </c>
      <c r="Q6" s="148"/>
      <c r="R6" s="148" t="str">
        <f>INDEX(Mapping!$H:$H,MATCH($H6,Mapping!$B:$B,0))</f>
        <v>nvt</v>
      </c>
      <c r="S6" s="148" t="str">
        <f>INDEX(Mapping!$H:$H,MATCH($I6,Mapping!$B:$B,0))</f>
        <v>nvt</v>
      </c>
      <c r="T6" s="148" t="str">
        <f t="shared" si="3"/>
        <v>WBA ZM EthernetADSL7x24</v>
      </c>
      <c r="U6" s="142" t="str">
        <f t="shared" si="4"/>
        <v>WBA ZM EthernetADSL7x24</v>
      </c>
      <c r="W6" s="160">
        <f>MATCH($J6,'Tarieven ZM'!$B:$B,0)</f>
        <v>113</v>
      </c>
      <c r="X6" s="148">
        <f>INDEX('Tarieven ZM'!$H:$H,$W6)</f>
        <v>1000</v>
      </c>
      <c r="Y6" s="161">
        <f>-INDEX(Parameters!$B:$B,MATCH(Y$3,Parameters!$A:$A,0))*$X6</f>
        <v>0</v>
      </c>
      <c r="Z6" s="149">
        <f>-INDEX(Parameters!$B:$B,MATCH(Z$3,Parameters!$A:$A,0))*$X6</f>
        <v>0</v>
      </c>
      <c r="AA6" s="148">
        <f t="shared" si="5"/>
        <v>1000</v>
      </c>
      <c r="AB6" s="148">
        <f>AA6/INDEX(Parameters!$B:$B,MATCH("AfschrijftermijnVVE"&amp;12*$C6,Parameters!$A:$A,0))</f>
        <v>27.777777777777779</v>
      </c>
      <c r="AC6" s="148">
        <f>INDEX('Tarieven ZM'!$G:$G,$W6)</f>
        <v>1000</v>
      </c>
      <c r="AD6" s="161">
        <f>-INDEX(Parameters!$B:$B,MATCH(AD$3,Parameters!$A:$A,0))*$AC6</f>
        <v>0</v>
      </c>
      <c r="AE6" s="161">
        <f>-INDEX(Parameters!$B:$B,MATCH(AE$3,Parameters!$A:$A,0))*$AC6</f>
        <v>0</v>
      </c>
      <c r="AF6" s="148">
        <f t="shared" si="6"/>
        <v>1000</v>
      </c>
      <c r="AG6" s="151">
        <f t="shared" si="7"/>
        <v>1027.7777777777778</v>
      </c>
      <c r="AH6" s="123"/>
      <c r="AI6" s="147">
        <f>MATCH($T6,'Tarieven W&amp;O'!$B:$B,0)</f>
        <v>199</v>
      </c>
      <c r="AJ6" s="148">
        <f>IF(AI6&lt;&gt;"nvt",INDEX('Tarieven W&amp;O'!$H:$H,$AI6),0)</f>
        <v>0</v>
      </c>
      <c r="AK6" s="148">
        <f>IF(AI6&lt;&gt;"nvt",INDEX('Tarieven W&amp;O'!$I:$I,$AI6),0)</f>
        <v>0</v>
      </c>
      <c r="AL6" s="149">
        <f>IF(AI6&lt;&gt;"nvt",-INDEX(Parameters!$B:$B,MATCH(AL$3&amp;$M6,Parameters!$A:$A,0))*(AJ6+AK6),0)</f>
        <v>0</v>
      </c>
      <c r="AM6" s="149"/>
      <c r="AN6" s="148">
        <f t="shared" si="8"/>
        <v>0</v>
      </c>
      <c r="AO6" s="171">
        <f>AN6/INDEX(Parameters!$B:$B,MATCH("AfschrijftermijnVVE"&amp;12*$C6,Parameters!$A:$A,0))</f>
        <v>0</v>
      </c>
      <c r="AP6" s="148">
        <f>MATCH($U6,'Tarieven W&amp;O'!$B:$B,0)</f>
        <v>199</v>
      </c>
      <c r="AQ6" s="150">
        <f>IF(AP6&lt;&gt;"nvt",INDEX('Tarieven W&amp;O'!$G:$G,$AP6),0)</f>
        <v>8.1199999999999992</v>
      </c>
      <c r="AR6" s="277">
        <f>-INDEX(Parameters!$B:$B,MATCH(AR$3&amp;M6&amp;$N6,Parameters!$A:$A,0))*(AQ6)</f>
        <v>0</v>
      </c>
      <c r="AS6" s="148"/>
      <c r="AT6" s="148"/>
      <c r="AU6" s="202">
        <f t="shared" si="9"/>
        <v>8.1199999999999992</v>
      </c>
      <c r="AV6" s="202">
        <f t="shared" si="10"/>
        <v>8.1199999999999992</v>
      </c>
      <c r="AW6" s="202"/>
      <c r="AX6" s="150">
        <f>Parameters!$B$6*AV6</f>
        <v>8.1199999999999994E-2</v>
      </c>
      <c r="AY6" s="202">
        <v>0</v>
      </c>
      <c r="AZ6" s="150"/>
      <c r="BA6" s="150">
        <f t="shared" si="11"/>
        <v>8.1199999999999994E-2</v>
      </c>
      <c r="BB6" s="150"/>
      <c r="BC6" s="151">
        <f t="shared" si="12"/>
        <v>8.2012</v>
      </c>
      <c r="BD6" s="123"/>
      <c r="BE6" s="140">
        <f t="shared" si="13"/>
        <v>1019.5765777777779</v>
      </c>
      <c r="BF6" s="141">
        <f t="shared" si="14"/>
        <v>0.99202045405405403</v>
      </c>
      <c r="BG6" s="142" t="b">
        <f t="shared" si="15"/>
        <v>0</v>
      </c>
      <c r="BI6" s="188" t="s">
        <v>538</v>
      </c>
      <c r="BJ6" s="189"/>
      <c r="BK6">
        <f>VLOOKUP(J6,'Tarieven ZM'!$B$7:$I$146,8,0)</f>
        <v>0</v>
      </c>
      <c r="BL6" s="203" t="str">
        <f t="shared" si="16"/>
        <v>ADSL7x24</v>
      </c>
      <c r="BM6" s="268">
        <v>0</v>
      </c>
      <c r="BN6" s="171">
        <f>BM6/INDEX(Parameters!$B:$B,MATCH("AfschrijftermijnVVE"&amp;12*$C6,Parameters!$A:$A,0))</f>
        <v>0</v>
      </c>
      <c r="BO6" s="262">
        <f>INDEX('inkoop ULL tbv Epacity'!I:I,MATCH($BL6,'inkoop ULL tbv Epacity'!H:H,0))</f>
        <v>8.1300000000000008</v>
      </c>
      <c r="BP6" s="263">
        <f t="shared" si="17"/>
        <v>8.1300000000000008</v>
      </c>
      <c r="BQ6" s="203"/>
      <c r="BR6" s="262">
        <f>Parameters!$B$12*AG6</f>
        <v>102.77777777777779</v>
      </c>
      <c r="BS6" s="262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SUM(Distributievergoedingen!$F$12,Distributievergoedingen!$I$12,Distributievergoedingen!$L$12,Distributievergoedingen!$O$12)*AF6+SUM(Distributievergoedingen!$O$12*AA6+Distributievergoedingen!$R$12+Distributievergoedingen!$U$12+Distributievergoedingen!$X$12)/(MAX(36,12*L6))</f>
        <v>112.77777777777777</v>
      </c>
      <c r="BT6" s="262"/>
      <c r="BU6" s="150">
        <f t="shared" ref="BU6:BU58" si="18">SUM(BR6:BT6)</f>
        <v>215.55555555555554</v>
      </c>
      <c r="BW6" s="151">
        <f t="shared" ref="BW6:BW58" si="19">SUM(BP6,BU6)</f>
        <v>223.68555555555554</v>
      </c>
      <c r="BY6" s="140">
        <f t="shared" ref="BY6:BY58" si="20">AG6-BW6</f>
        <v>804.09222222222229</v>
      </c>
      <c r="BZ6" s="141">
        <f t="shared" ref="BZ6:BZ58" si="21">IF(AG6=0,-999%,BY6/AG6)</f>
        <v>0.78236000000000006</v>
      </c>
      <c r="CA6" s="142" t="b">
        <f t="shared" ref="CA6:CA58" si="22">BZ6&lt;0</f>
        <v>0</v>
      </c>
    </row>
    <row r="7" spans="1:79">
      <c r="A7" t="str">
        <f t="shared" si="0"/>
        <v>1SDSLBasicwinkeluren</v>
      </c>
      <c r="B7" t="str">
        <f t="shared" si="1"/>
        <v>1SDSLBasicwinkeluren</v>
      </c>
      <c r="C7" s="75">
        <v>1</v>
      </c>
      <c r="D7" s="75" t="s">
        <v>64</v>
      </c>
      <c r="E7" s="75" t="s">
        <v>44</v>
      </c>
      <c r="F7" s="75" t="s">
        <v>131</v>
      </c>
      <c r="G7" s="75" t="s">
        <v>115</v>
      </c>
      <c r="H7" s="75" t="s">
        <v>115</v>
      </c>
      <c r="I7" s="75" t="s">
        <v>115</v>
      </c>
      <c r="J7" s="142" t="str">
        <f t="shared" ref="J7:J14" si="23">D7&amp;E7&amp;F7</f>
        <v>SDSLBasicwinkeluren</v>
      </c>
      <c r="L7" s="160">
        <f>INDEX(Mapping!$J:$J,MATCH(C$3&amp;C7,Mapping!$B:$B,0))</f>
        <v>1</v>
      </c>
      <c r="M7" s="148" t="str">
        <f>INDEX(Mapping!$H:$H,MATCH($E7,Mapping!$B:$B,0))</f>
        <v>WBA CM Ethernet</v>
      </c>
      <c r="N7" s="148" t="str">
        <f>INDEX(Mapping!$J:$J,MATCH($J7,Mapping!$B:$B,0))</f>
        <v>SDSL</v>
      </c>
      <c r="O7" s="148" t="str">
        <f>INDEX(Mapping!$K:$K,MATCH($J7,Mapping!$B:$B,0))</f>
        <v>7x24</v>
      </c>
      <c r="Q7" s="148"/>
      <c r="R7" s="148" t="str">
        <f>INDEX(Mapping!$H:$H,MATCH($H7,Mapping!$B:$B,0))</f>
        <v>nvt</v>
      </c>
      <c r="S7" s="148" t="str">
        <f>INDEX(Mapping!$H:$H,MATCH($I7,Mapping!$B:$B,0))</f>
        <v>nvt</v>
      </c>
      <c r="T7" s="148" t="str">
        <f t="shared" si="3"/>
        <v>WBA CM EthernetSDSL7x24</v>
      </c>
      <c r="U7" s="142" t="str">
        <f t="shared" si="4"/>
        <v>WBA CM EthernetSDSL7x24</v>
      </c>
      <c r="W7" s="160">
        <f>MATCH($J7,'Tarieven ZM'!$B:$B,0)</f>
        <v>114</v>
      </c>
      <c r="X7" s="148">
        <f>INDEX('Tarieven ZM'!$H:$H,$W7)</f>
        <v>1000</v>
      </c>
      <c r="Y7" s="161">
        <f>-INDEX(Parameters!$B:$B,MATCH(Y$3,Parameters!$A:$A,0))*$X7</f>
        <v>0</v>
      </c>
      <c r="Z7" s="149">
        <f>-INDEX(Parameters!$B:$B,MATCH(Z$3,Parameters!$A:$A,0))*$X7</f>
        <v>0</v>
      </c>
      <c r="AA7" s="148">
        <f t="shared" si="5"/>
        <v>1000</v>
      </c>
      <c r="AB7" s="148">
        <f>AA7/INDEX(Parameters!$B:$B,MATCH("AfschrijftermijnVVE"&amp;12*$C7,Parameters!$A:$A,0))</f>
        <v>27.777777777777779</v>
      </c>
      <c r="AC7" s="148">
        <f>INDEX('Tarieven ZM'!$G:$G,$W7)</f>
        <v>1000</v>
      </c>
      <c r="AD7" s="161">
        <f>-INDEX(Parameters!$B:$B,MATCH(AD$3,Parameters!$A:$A,0))*$AC7</f>
        <v>0</v>
      </c>
      <c r="AE7" s="161">
        <f>-INDEX(Parameters!$B:$B,MATCH(AE$3,Parameters!$A:$A,0))*$AC7</f>
        <v>0</v>
      </c>
      <c r="AF7" s="148">
        <f t="shared" si="6"/>
        <v>1000</v>
      </c>
      <c r="AG7" s="151">
        <f t="shared" si="7"/>
        <v>1027.7777777777778</v>
      </c>
      <c r="AH7" s="123"/>
      <c r="AI7" s="147">
        <f>MATCH($T7,'Tarieven W&amp;O'!$B:$B,0)</f>
        <v>191</v>
      </c>
      <c r="AJ7" s="148">
        <f>IF(AI7&lt;&gt;"nvt",INDEX('Tarieven W&amp;O'!$H:$H,$AI7),0)</f>
        <v>0</v>
      </c>
      <c r="AK7" s="148">
        <f>IF(AI7&lt;&gt;"nvt",INDEX('Tarieven W&amp;O'!$I:$I,$AI7),0)</f>
        <v>0</v>
      </c>
      <c r="AL7" s="149">
        <f>IF(AI7&lt;&gt;"nvt",-INDEX(Parameters!$B:$B,MATCH(AL$3&amp;$M7,Parameters!$A:$A,0))*(AJ7+AK7),0)</f>
        <v>0</v>
      </c>
      <c r="AM7" s="149"/>
      <c r="AN7" s="148">
        <f t="shared" si="8"/>
        <v>0</v>
      </c>
      <c r="AO7" s="171">
        <f>AN7/INDEX(Parameters!$B:$B,MATCH("AfschrijftermijnVVE"&amp;12*$C7,Parameters!$A:$A,0))</f>
        <v>0</v>
      </c>
      <c r="AP7" s="148">
        <f>MATCH($U7,'Tarieven W&amp;O'!$B:$B,0)</f>
        <v>191</v>
      </c>
      <c r="AQ7" s="150">
        <f>IF(AP7&lt;&gt;"nvt",INDEX('Tarieven W&amp;O'!$G:$G,$AP7),0)</f>
        <v>15.11</v>
      </c>
      <c r="AR7" s="277">
        <f>-INDEX(Parameters!$B:$B,MATCH(AR$3&amp;M7&amp;$N7,Parameters!$A:$A,0))*(AQ7)</f>
        <v>-1.5110000000000001</v>
      </c>
      <c r="AS7" s="148"/>
      <c r="AT7" s="148"/>
      <c r="AU7" s="202">
        <f t="shared" si="9"/>
        <v>13.599</v>
      </c>
      <c r="AV7" s="202">
        <f t="shared" si="10"/>
        <v>13.599</v>
      </c>
      <c r="AW7" s="202"/>
      <c r="AX7" s="150">
        <f>Parameters!$B$6*AV7</f>
        <v>0.13599</v>
      </c>
      <c r="AY7" s="202">
        <v>0</v>
      </c>
      <c r="AZ7" s="150"/>
      <c r="BA7" s="150">
        <f t="shared" si="11"/>
        <v>0.13599</v>
      </c>
      <c r="BB7" s="150"/>
      <c r="BC7" s="151">
        <f t="shared" si="12"/>
        <v>13.73499</v>
      </c>
      <c r="BD7" s="123"/>
      <c r="BE7" s="140">
        <f t="shared" si="13"/>
        <v>1014.0427877777778</v>
      </c>
      <c r="BF7" s="141">
        <f t="shared" si="14"/>
        <v>0.98663622594594591</v>
      </c>
      <c r="BG7" s="142" t="b">
        <f t="shared" si="15"/>
        <v>0</v>
      </c>
      <c r="BI7" s="188" t="s">
        <v>538</v>
      </c>
      <c r="BJ7" s="189"/>
      <c r="BK7">
        <f>VLOOKUP(J7,'Tarieven ZM'!$B$7:$I$146,8,0)</f>
        <v>0</v>
      </c>
      <c r="BL7" s="203" t="str">
        <f t="shared" si="16"/>
        <v>SDSL7x24</v>
      </c>
      <c r="BM7" s="268">
        <v>0</v>
      </c>
      <c r="BN7" s="171">
        <f>BM7/INDEX(Parameters!$B:$B,MATCH("AfschrijftermijnVVE"&amp;12*$C7,Parameters!$A:$A,0))</f>
        <v>0</v>
      </c>
      <c r="BO7" s="262">
        <f>INDEX('inkoop ULL tbv Epacity'!I:I,MATCH($BL7,'inkoop ULL tbv Epacity'!H:H,0))</f>
        <v>2.39</v>
      </c>
      <c r="BP7" s="263">
        <f t="shared" si="17"/>
        <v>2.39</v>
      </c>
      <c r="BQ7" s="203"/>
      <c r="BR7" s="262">
        <f>Parameters!$B$12*AG7</f>
        <v>102.77777777777779</v>
      </c>
      <c r="BS7" s="262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SUM(Distributievergoedingen!$F$12,Distributievergoedingen!$I$12,Distributievergoedingen!$L$12,Distributievergoedingen!$O$12)*AF7+SUM(Distributievergoedingen!$O$12*AA7+Distributievergoedingen!$R$12+Distributievergoedingen!$U$12+Distributievergoedingen!$X$12)/(MAX(36,12*L7))</f>
        <v>112.77777777777777</v>
      </c>
      <c r="BT7" s="262"/>
      <c r="BU7" s="150">
        <f t="shared" si="18"/>
        <v>215.55555555555554</v>
      </c>
      <c r="BW7" s="151">
        <f t="shared" si="19"/>
        <v>217.94555555555553</v>
      </c>
      <c r="BY7" s="140">
        <f t="shared" si="20"/>
        <v>809.8322222222223</v>
      </c>
      <c r="BZ7" s="141">
        <f t="shared" si="21"/>
        <v>0.78794486486486492</v>
      </c>
      <c r="CA7" s="142" t="b">
        <f t="shared" si="22"/>
        <v>0</v>
      </c>
    </row>
    <row r="8" spans="1:79">
      <c r="A8" t="str">
        <f t="shared" si="0"/>
        <v>1SDSLPremiumwinkeluren</v>
      </c>
      <c r="B8" t="str">
        <f t="shared" si="1"/>
        <v>1SDSLPremiumwinkeluren</v>
      </c>
      <c r="C8" s="75">
        <v>1</v>
      </c>
      <c r="D8" s="75" t="s">
        <v>64</v>
      </c>
      <c r="E8" s="75" t="s">
        <v>70</v>
      </c>
      <c r="F8" s="75" t="s">
        <v>131</v>
      </c>
      <c r="G8" s="75" t="s">
        <v>115</v>
      </c>
      <c r="H8" s="75" t="s">
        <v>115</v>
      </c>
      <c r="I8" s="75" t="s">
        <v>115</v>
      </c>
      <c r="J8" s="142" t="str">
        <f t="shared" si="23"/>
        <v>SDSLPremiumwinkeluren</v>
      </c>
      <c r="L8" s="160">
        <f>INDEX(Mapping!$J:$J,MATCH(C$3&amp;C8,Mapping!$B:$B,0))</f>
        <v>1</v>
      </c>
      <c r="M8" s="148" t="str">
        <f>INDEX(Mapping!$H:$H,MATCH($E8,Mapping!$B:$B,0))</f>
        <v>WBA ZM Ethernet</v>
      </c>
      <c r="N8" s="148" t="str">
        <f>INDEX(Mapping!$J:$J,MATCH($J8,Mapping!$B:$B,0))</f>
        <v>SDSL</v>
      </c>
      <c r="O8" s="148" t="str">
        <f>INDEX(Mapping!$K:$K,MATCH($J8,Mapping!$B:$B,0))</f>
        <v>7x24</v>
      </c>
      <c r="Q8" s="148"/>
      <c r="R8" s="148" t="str">
        <f>INDEX(Mapping!$H:$H,MATCH($H8,Mapping!$B:$B,0))</f>
        <v>nvt</v>
      </c>
      <c r="S8" s="148" t="str">
        <f>INDEX(Mapping!$H:$H,MATCH($I8,Mapping!$B:$B,0))</f>
        <v>nvt</v>
      </c>
      <c r="T8" s="148" t="str">
        <f t="shared" si="3"/>
        <v>WBA ZM EthernetSDSL7x24</v>
      </c>
      <c r="U8" s="142" t="str">
        <f t="shared" si="4"/>
        <v>WBA ZM EthernetSDSL7x24</v>
      </c>
      <c r="W8" s="160">
        <f>MATCH($J8,'Tarieven ZM'!$B:$B,0)</f>
        <v>115</v>
      </c>
      <c r="X8" s="148">
        <f>INDEX('Tarieven ZM'!$H:$H,$W8)</f>
        <v>1000</v>
      </c>
      <c r="Y8" s="161">
        <f>-INDEX(Parameters!$B:$B,MATCH(Y$3,Parameters!$A:$A,0))*$X8</f>
        <v>0</v>
      </c>
      <c r="Z8" s="149">
        <f>-INDEX(Parameters!$B:$B,MATCH(Z$3,Parameters!$A:$A,0))*$X8</f>
        <v>0</v>
      </c>
      <c r="AA8" s="148">
        <f t="shared" si="5"/>
        <v>1000</v>
      </c>
      <c r="AB8" s="148">
        <f>AA8/INDEX(Parameters!$B:$B,MATCH("AfschrijftermijnVVE"&amp;12*$C8,Parameters!$A:$A,0))</f>
        <v>27.777777777777779</v>
      </c>
      <c r="AC8" s="148">
        <f>INDEX('Tarieven ZM'!$G:$G,$W8)</f>
        <v>1000</v>
      </c>
      <c r="AD8" s="161">
        <f>-INDEX(Parameters!$B:$B,MATCH(AD$3,Parameters!$A:$A,0))*$AC8</f>
        <v>0</v>
      </c>
      <c r="AE8" s="161">
        <f>-INDEX(Parameters!$B:$B,MATCH(AE$3,Parameters!$A:$A,0))*$AC8</f>
        <v>0</v>
      </c>
      <c r="AF8" s="148">
        <f t="shared" si="6"/>
        <v>1000</v>
      </c>
      <c r="AG8" s="151">
        <f t="shared" si="7"/>
        <v>1027.7777777777778</v>
      </c>
      <c r="AH8" s="123"/>
      <c r="AI8" s="147">
        <f>MATCH($T8,'Tarieven W&amp;O'!$B:$B,0)</f>
        <v>201</v>
      </c>
      <c r="AJ8" s="148">
        <f>IF(AI8&lt;&gt;"nvt",INDEX('Tarieven W&amp;O'!$H:$H,$AI8),0)</f>
        <v>0</v>
      </c>
      <c r="AK8" s="148">
        <f>IF(AI8&lt;&gt;"nvt",INDEX('Tarieven W&amp;O'!$I:$I,$AI8),0)</f>
        <v>0</v>
      </c>
      <c r="AL8" s="149">
        <f>IF(AI8&lt;&gt;"nvt",-INDEX(Parameters!$B:$B,MATCH(AL$3&amp;$M8,Parameters!$A:$A,0))*(AJ8+AK8),0)</f>
        <v>0</v>
      </c>
      <c r="AM8" s="149"/>
      <c r="AN8" s="148">
        <f t="shared" si="8"/>
        <v>0</v>
      </c>
      <c r="AO8" s="171">
        <f>AN8/INDEX(Parameters!$B:$B,MATCH("AfschrijftermijnVVE"&amp;12*$C8,Parameters!$A:$A,0))</f>
        <v>0</v>
      </c>
      <c r="AP8" s="148">
        <f>MATCH($U8,'Tarieven W&amp;O'!$B:$B,0)</f>
        <v>201</v>
      </c>
      <c r="AQ8" s="150">
        <f>IF(AP8&lt;&gt;"nvt",INDEX('Tarieven W&amp;O'!$G:$G,$AP8),0)</f>
        <v>8.1199999999999992</v>
      </c>
      <c r="AR8" s="277">
        <f>-INDEX(Parameters!$B:$B,MATCH(AR$3&amp;M8&amp;$N8,Parameters!$A:$A,0))*(AQ8)</f>
        <v>0</v>
      </c>
      <c r="AS8" s="148"/>
      <c r="AT8" s="148"/>
      <c r="AU8" s="202">
        <f t="shared" si="9"/>
        <v>8.1199999999999992</v>
      </c>
      <c r="AV8" s="202">
        <f t="shared" si="10"/>
        <v>8.1199999999999992</v>
      </c>
      <c r="AW8" s="202"/>
      <c r="AX8" s="150">
        <f>Parameters!$B$6*AV8</f>
        <v>8.1199999999999994E-2</v>
      </c>
      <c r="AY8" s="202">
        <v>0</v>
      </c>
      <c r="AZ8" s="150"/>
      <c r="BA8" s="150">
        <f t="shared" si="11"/>
        <v>8.1199999999999994E-2</v>
      </c>
      <c r="BB8" s="150"/>
      <c r="BC8" s="151">
        <f t="shared" si="12"/>
        <v>8.2012</v>
      </c>
      <c r="BD8" s="123"/>
      <c r="BE8" s="140">
        <f t="shared" si="13"/>
        <v>1019.5765777777779</v>
      </c>
      <c r="BF8" s="141">
        <f t="shared" si="14"/>
        <v>0.99202045405405403</v>
      </c>
      <c r="BG8" s="142" t="b">
        <f t="shared" si="15"/>
        <v>0</v>
      </c>
      <c r="BI8" s="188" t="s">
        <v>538</v>
      </c>
      <c r="BJ8" s="189"/>
      <c r="BK8">
        <f>VLOOKUP(J8,'Tarieven ZM'!$B$7:$I$146,8,0)</f>
        <v>0</v>
      </c>
      <c r="BL8" s="203" t="str">
        <f t="shared" si="16"/>
        <v>SDSL7x24</v>
      </c>
      <c r="BM8" s="268">
        <v>0</v>
      </c>
      <c r="BN8" s="171">
        <f>BM8/INDEX(Parameters!$B:$B,MATCH("AfschrijftermijnVVE"&amp;12*$C8,Parameters!$A:$A,0))</f>
        <v>0</v>
      </c>
      <c r="BO8" s="262">
        <f>INDEX('inkoop ULL tbv Epacity'!I:I,MATCH($BL8,'inkoop ULL tbv Epacity'!H:H,0))</f>
        <v>2.39</v>
      </c>
      <c r="BP8" s="263">
        <f t="shared" si="17"/>
        <v>2.39</v>
      </c>
      <c r="BQ8" s="203"/>
      <c r="BR8" s="262">
        <f>Parameters!$B$12*AG8</f>
        <v>102.77777777777779</v>
      </c>
      <c r="BS8" s="262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SUM(Distributievergoedingen!$F$12,Distributievergoedingen!$I$12,Distributievergoedingen!$L$12,Distributievergoedingen!$O$12)*AF8+SUM(Distributievergoedingen!$O$12*AA8+Distributievergoedingen!$R$12+Distributievergoedingen!$U$12+Distributievergoedingen!$X$12)/(MAX(36,12*L8))</f>
        <v>112.77777777777777</v>
      </c>
      <c r="BT8" s="262"/>
      <c r="BU8" s="150">
        <f t="shared" si="18"/>
        <v>215.55555555555554</v>
      </c>
      <c r="BW8" s="151">
        <f t="shared" si="19"/>
        <v>217.94555555555553</v>
      </c>
      <c r="BY8" s="140">
        <f t="shared" si="20"/>
        <v>809.8322222222223</v>
      </c>
      <c r="BZ8" s="141">
        <f t="shared" si="21"/>
        <v>0.78794486486486492</v>
      </c>
      <c r="CA8" s="142" t="b">
        <f t="shared" si="22"/>
        <v>0</v>
      </c>
    </row>
    <row r="9" spans="1:79">
      <c r="A9" t="str">
        <f t="shared" si="0"/>
        <v>1SDSLBasic7x24</v>
      </c>
      <c r="B9" t="str">
        <f t="shared" si="1"/>
        <v>1SDSLBasic7x24</v>
      </c>
      <c r="C9" s="75">
        <v>1</v>
      </c>
      <c r="D9" s="75" t="s">
        <v>64</v>
      </c>
      <c r="E9" s="75" t="s">
        <v>44</v>
      </c>
      <c r="F9" s="75" t="s">
        <v>34</v>
      </c>
      <c r="G9" s="75" t="s">
        <v>115</v>
      </c>
      <c r="H9" s="75" t="s">
        <v>115</v>
      </c>
      <c r="I9" s="75" t="s">
        <v>115</v>
      </c>
      <c r="J9" s="142" t="str">
        <f t="shared" si="23"/>
        <v>SDSLBasic7x24</v>
      </c>
      <c r="L9" s="160">
        <f>INDEX(Mapping!$J:$J,MATCH(C$3&amp;C9,Mapping!$B:$B,0))</f>
        <v>1</v>
      </c>
      <c r="M9" s="148" t="str">
        <f>INDEX(Mapping!$H:$H,MATCH($E9,Mapping!$B:$B,0))</f>
        <v>WBA CM Ethernet</v>
      </c>
      <c r="N9" s="148" t="str">
        <f>INDEX(Mapping!$J:$J,MATCH($J9,Mapping!$B:$B,0))</f>
        <v>SDSL</v>
      </c>
      <c r="O9" s="148" t="str">
        <f>INDEX(Mapping!$K:$K,MATCH($J9,Mapping!$B:$B,0))</f>
        <v>7x24</v>
      </c>
      <c r="Q9" s="148"/>
      <c r="R9" s="148" t="str">
        <f>INDEX(Mapping!$H:$H,MATCH($H9,Mapping!$B:$B,0))</f>
        <v>nvt</v>
      </c>
      <c r="S9" s="148" t="str">
        <f>INDEX(Mapping!$H:$H,MATCH($I9,Mapping!$B:$B,0))</f>
        <v>nvt</v>
      </c>
      <c r="T9" s="148" t="str">
        <f t="shared" si="3"/>
        <v>WBA CM EthernetSDSL7x24</v>
      </c>
      <c r="U9" s="142" t="str">
        <f t="shared" si="4"/>
        <v>WBA CM EthernetSDSL7x24</v>
      </c>
      <c r="W9" s="160">
        <f>MATCH($J9,'Tarieven ZM'!$B:$B,0)</f>
        <v>116</v>
      </c>
      <c r="X9" s="148">
        <f>INDEX('Tarieven ZM'!$H:$H,$W9)</f>
        <v>1000</v>
      </c>
      <c r="Y9" s="161">
        <f>-INDEX(Parameters!$B:$B,MATCH(Y$3,Parameters!$A:$A,0))*$X9</f>
        <v>0</v>
      </c>
      <c r="Z9" s="149">
        <f>-INDEX(Parameters!$B:$B,MATCH(Z$3,Parameters!$A:$A,0))*$X9</f>
        <v>0</v>
      </c>
      <c r="AA9" s="148">
        <f t="shared" si="5"/>
        <v>1000</v>
      </c>
      <c r="AB9" s="148">
        <f>AA9/INDEX(Parameters!$B:$B,MATCH("AfschrijftermijnVVE"&amp;12*$C9,Parameters!$A:$A,0))</f>
        <v>27.777777777777779</v>
      </c>
      <c r="AC9" s="148">
        <f>INDEX('Tarieven ZM'!$G:$G,$W9)</f>
        <v>1000</v>
      </c>
      <c r="AD9" s="161">
        <f>-INDEX(Parameters!$B:$B,MATCH(AD$3,Parameters!$A:$A,0))*$AC9</f>
        <v>0</v>
      </c>
      <c r="AE9" s="161">
        <f>-INDEX(Parameters!$B:$B,MATCH(AE$3,Parameters!$A:$A,0))*$AC9</f>
        <v>0</v>
      </c>
      <c r="AF9" s="148">
        <f t="shared" si="6"/>
        <v>1000</v>
      </c>
      <c r="AG9" s="151">
        <f t="shared" si="7"/>
        <v>1027.7777777777778</v>
      </c>
      <c r="AH9" s="123"/>
      <c r="AI9" s="147">
        <f>MATCH($T9,'Tarieven W&amp;O'!$B:$B,0)</f>
        <v>191</v>
      </c>
      <c r="AJ9" s="148">
        <f>IF(AI9&lt;&gt;"nvt",INDEX('Tarieven W&amp;O'!$H:$H,$AI9),0)</f>
        <v>0</v>
      </c>
      <c r="AK9" s="148">
        <f>IF(AI9&lt;&gt;"nvt",INDEX('Tarieven W&amp;O'!$I:$I,$AI9),0)</f>
        <v>0</v>
      </c>
      <c r="AL9" s="149">
        <f>IF(AI9&lt;&gt;"nvt",-INDEX(Parameters!$B:$B,MATCH(AL$3&amp;$M9,Parameters!$A:$A,0))*(AJ9+AK9),0)</f>
        <v>0</v>
      </c>
      <c r="AM9" s="149"/>
      <c r="AN9" s="148">
        <f t="shared" si="8"/>
        <v>0</v>
      </c>
      <c r="AO9" s="171">
        <f>AN9/INDEX(Parameters!$B:$B,MATCH("AfschrijftermijnVVE"&amp;12*$C9,Parameters!$A:$A,0))</f>
        <v>0</v>
      </c>
      <c r="AP9" s="148">
        <f>MATCH($U9,'Tarieven W&amp;O'!$B:$B,0)</f>
        <v>191</v>
      </c>
      <c r="AQ9" s="150">
        <f>IF(AP9&lt;&gt;"nvt",INDEX('Tarieven W&amp;O'!$G:$G,$AP9),0)</f>
        <v>15.11</v>
      </c>
      <c r="AR9" s="277">
        <f>-INDEX(Parameters!$B:$B,MATCH(AR$3&amp;M9&amp;$N9,Parameters!$A:$A,0))*(AQ9)</f>
        <v>-1.5110000000000001</v>
      </c>
      <c r="AS9" s="148"/>
      <c r="AT9" s="148"/>
      <c r="AU9" s="202">
        <f t="shared" si="9"/>
        <v>13.599</v>
      </c>
      <c r="AV9" s="202">
        <f t="shared" si="10"/>
        <v>13.599</v>
      </c>
      <c r="AW9" s="202"/>
      <c r="AX9" s="150">
        <f>Parameters!$B$6*AV9</f>
        <v>0.13599</v>
      </c>
      <c r="AY9" s="202">
        <v>0</v>
      </c>
      <c r="AZ9" s="150"/>
      <c r="BA9" s="150">
        <f t="shared" si="11"/>
        <v>0.13599</v>
      </c>
      <c r="BB9" s="150"/>
      <c r="BC9" s="151">
        <f t="shared" si="12"/>
        <v>13.73499</v>
      </c>
      <c r="BD9" s="123"/>
      <c r="BE9" s="140">
        <f t="shared" si="13"/>
        <v>1014.0427877777778</v>
      </c>
      <c r="BF9" s="141">
        <f t="shared" si="14"/>
        <v>0.98663622594594591</v>
      </c>
      <c r="BG9" s="142" t="b">
        <f t="shared" si="15"/>
        <v>0</v>
      </c>
      <c r="BI9" s="188" t="s">
        <v>538</v>
      </c>
      <c r="BJ9" s="189"/>
      <c r="BK9">
        <f>VLOOKUP(J9,'Tarieven ZM'!$B$7:$I$146,8,0)</f>
        <v>0</v>
      </c>
      <c r="BL9" s="203" t="str">
        <f t="shared" si="16"/>
        <v>SDSL7x24</v>
      </c>
      <c r="BM9" s="268">
        <v>0</v>
      </c>
      <c r="BN9" s="171">
        <f>BM9/INDEX(Parameters!$B:$B,MATCH("AfschrijftermijnVVE"&amp;12*$C9,Parameters!$A:$A,0))</f>
        <v>0</v>
      </c>
      <c r="BO9" s="262">
        <f>INDEX('inkoop ULL tbv Epacity'!I:I,MATCH($BL9,'inkoop ULL tbv Epacity'!H:H,0))</f>
        <v>2.39</v>
      </c>
      <c r="BP9" s="263">
        <f t="shared" si="17"/>
        <v>2.39</v>
      </c>
      <c r="BQ9" s="203"/>
      <c r="BR9" s="262">
        <f>Parameters!$B$12*AG9</f>
        <v>102.77777777777779</v>
      </c>
      <c r="BS9" s="262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SUM(Distributievergoedingen!$F$12,Distributievergoedingen!$I$12,Distributievergoedingen!$L$12,Distributievergoedingen!$O$12)*AF9+SUM(Distributievergoedingen!$O$12*AA9+Distributievergoedingen!$R$12+Distributievergoedingen!$U$12+Distributievergoedingen!$X$12)/(MAX(36,12*L9))</f>
        <v>112.77777777777777</v>
      </c>
      <c r="BT9" s="262"/>
      <c r="BU9" s="150">
        <f t="shared" si="18"/>
        <v>215.55555555555554</v>
      </c>
      <c r="BW9" s="151">
        <f t="shared" si="19"/>
        <v>217.94555555555553</v>
      </c>
      <c r="BY9" s="140">
        <f t="shared" si="20"/>
        <v>809.8322222222223</v>
      </c>
      <c r="BZ9" s="141">
        <f t="shared" si="21"/>
        <v>0.78794486486486492</v>
      </c>
      <c r="CA9" s="142" t="b">
        <f t="shared" si="22"/>
        <v>0</v>
      </c>
    </row>
    <row r="10" spans="1:79">
      <c r="A10" t="str">
        <f t="shared" si="0"/>
        <v>1SDSLPremium7x24</v>
      </c>
      <c r="B10" t="str">
        <f t="shared" si="1"/>
        <v>1SDSLPremium7x24</v>
      </c>
      <c r="C10" s="75">
        <v>1</v>
      </c>
      <c r="D10" s="75" t="s">
        <v>64</v>
      </c>
      <c r="E10" s="75" t="s">
        <v>70</v>
      </c>
      <c r="F10" s="75" t="s">
        <v>34</v>
      </c>
      <c r="G10" s="75" t="s">
        <v>115</v>
      </c>
      <c r="H10" s="75" t="s">
        <v>115</v>
      </c>
      <c r="I10" s="75" t="s">
        <v>115</v>
      </c>
      <c r="J10" s="142" t="str">
        <f t="shared" si="23"/>
        <v>SDSLPremium7x24</v>
      </c>
      <c r="L10" s="160">
        <f>INDEX(Mapping!$J:$J,MATCH(C$3&amp;C10,Mapping!$B:$B,0))</f>
        <v>1</v>
      </c>
      <c r="M10" s="148" t="str">
        <f>INDEX(Mapping!$H:$H,MATCH($E10,Mapping!$B:$B,0))</f>
        <v>WBA ZM Ethernet</v>
      </c>
      <c r="N10" s="148" t="str">
        <f>INDEX(Mapping!$J:$J,MATCH($J10,Mapping!$B:$B,0))</f>
        <v>SDSL</v>
      </c>
      <c r="O10" s="148" t="str">
        <f>INDEX(Mapping!$K:$K,MATCH($J10,Mapping!$B:$B,0))</f>
        <v>7x24</v>
      </c>
      <c r="Q10" s="148"/>
      <c r="R10" s="148" t="str">
        <f>INDEX(Mapping!$H:$H,MATCH($H10,Mapping!$B:$B,0))</f>
        <v>nvt</v>
      </c>
      <c r="S10" s="148" t="str">
        <f>INDEX(Mapping!$H:$H,MATCH($I10,Mapping!$B:$B,0))</f>
        <v>nvt</v>
      </c>
      <c r="T10" s="148" t="str">
        <f t="shared" si="3"/>
        <v>WBA ZM EthernetSDSL7x24</v>
      </c>
      <c r="U10" s="142" t="str">
        <f t="shared" si="4"/>
        <v>WBA ZM EthernetSDSL7x24</v>
      </c>
      <c r="W10" s="160">
        <f>MATCH($J10,'Tarieven ZM'!$B:$B,0)</f>
        <v>117</v>
      </c>
      <c r="X10" s="148">
        <f>INDEX('Tarieven ZM'!$H:$H,$W10)</f>
        <v>1000</v>
      </c>
      <c r="Y10" s="161">
        <f>-INDEX(Parameters!$B:$B,MATCH(Y$3,Parameters!$A:$A,0))*$X10</f>
        <v>0</v>
      </c>
      <c r="Z10" s="149">
        <f>-INDEX(Parameters!$B:$B,MATCH(Z$3,Parameters!$A:$A,0))*$X10</f>
        <v>0</v>
      </c>
      <c r="AA10" s="148">
        <f t="shared" si="5"/>
        <v>1000</v>
      </c>
      <c r="AB10" s="148">
        <f>AA10/INDEX(Parameters!$B:$B,MATCH("AfschrijftermijnVVE"&amp;12*$C10,Parameters!$A:$A,0))</f>
        <v>27.777777777777779</v>
      </c>
      <c r="AC10" s="148">
        <f>INDEX('Tarieven ZM'!$G:$G,$W10)</f>
        <v>1000</v>
      </c>
      <c r="AD10" s="161">
        <f>-INDEX(Parameters!$B:$B,MATCH(AD$3,Parameters!$A:$A,0))*$AC10</f>
        <v>0</v>
      </c>
      <c r="AE10" s="161">
        <f>-INDEX(Parameters!$B:$B,MATCH(AE$3,Parameters!$A:$A,0))*$AC10</f>
        <v>0</v>
      </c>
      <c r="AF10" s="148">
        <f t="shared" si="6"/>
        <v>1000</v>
      </c>
      <c r="AG10" s="151">
        <f t="shared" si="7"/>
        <v>1027.7777777777778</v>
      </c>
      <c r="AH10" s="123"/>
      <c r="AI10" s="147">
        <f>MATCH($T10,'Tarieven W&amp;O'!$B:$B,0)</f>
        <v>201</v>
      </c>
      <c r="AJ10" s="148">
        <f>IF(AI10&lt;&gt;"nvt",INDEX('Tarieven W&amp;O'!$H:$H,$AI10),0)</f>
        <v>0</v>
      </c>
      <c r="AK10" s="148">
        <f>IF(AI10&lt;&gt;"nvt",INDEX('Tarieven W&amp;O'!$I:$I,$AI10),0)</f>
        <v>0</v>
      </c>
      <c r="AL10" s="149">
        <f>IF(AI10&lt;&gt;"nvt",-INDEX(Parameters!$B:$B,MATCH(AL$3&amp;$M10,Parameters!$A:$A,0))*(AJ10+AK10),0)</f>
        <v>0</v>
      </c>
      <c r="AM10" s="149"/>
      <c r="AN10" s="148">
        <f t="shared" si="8"/>
        <v>0</v>
      </c>
      <c r="AO10" s="171">
        <f>AN10/INDEX(Parameters!$B:$B,MATCH("AfschrijftermijnVVE"&amp;12*$C10,Parameters!$A:$A,0))</f>
        <v>0</v>
      </c>
      <c r="AP10" s="148">
        <f>MATCH($U10,'Tarieven W&amp;O'!$B:$B,0)</f>
        <v>201</v>
      </c>
      <c r="AQ10" s="150">
        <f>IF(AP10&lt;&gt;"nvt",INDEX('Tarieven W&amp;O'!$G:$G,$AP10),0)</f>
        <v>8.1199999999999992</v>
      </c>
      <c r="AR10" s="277">
        <f>-INDEX(Parameters!$B:$B,MATCH(AR$3&amp;M10&amp;$N10,Parameters!$A:$A,0))*(AQ10)</f>
        <v>0</v>
      </c>
      <c r="AS10" s="148"/>
      <c r="AT10" s="148"/>
      <c r="AU10" s="202">
        <f t="shared" si="9"/>
        <v>8.1199999999999992</v>
      </c>
      <c r="AV10" s="202">
        <f t="shared" si="10"/>
        <v>8.1199999999999992</v>
      </c>
      <c r="AW10" s="202"/>
      <c r="AX10" s="150">
        <f>Parameters!$B$6*AV10</f>
        <v>8.1199999999999994E-2</v>
      </c>
      <c r="AY10" s="202">
        <v>0</v>
      </c>
      <c r="AZ10" s="150"/>
      <c r="BA10" s="150">
        <f t="shared" si="11"/>
        <v>8.1199999999999994E-2</v>
      </c>
      <c r="BB10" s="150"/>
      <c r="BC10" s="151">
        <f t="shared" si="12"/>
        <v>8.2012</v>
      </c>
      <c r="BD10" s="123"/>
      <c r="BE10" s="140">
        <f t="shared" si="13"/>
        <v>1019.5765777777779</v>
      </c>
      <c r="BF10" s="141">
        <f t="shared" si="14"/>
        <v>0.99202045405405403</v>
      </c>
      <c r="BG10" s="142" t="b">
        <f t="shared" si="15"/>
        <v>0</v>
      </c>
      <c r="BI10" s="188" t="s">
        <v>538</v>
      </c>
      <c r="BJ10" s="189"/>
      <c r="BK10">
        <f>VLOOKUP(J10,'Tarieven ZM'!$B$7:$I$146,8,0)</f>
        <v>0</v>
      </c>
      <c r="BL10" s="203" t="str">
        <f t="shared" si="16"/>
        <v>SDSL7x24</v>
      </c>
      <c r="BM10" s="268">
        <v>0</v>
      </c>
      <c r="BN10" s="171">
        <f>BM10/INDEX(Parameters!$B:$B,MATCH("AfschrijftermijnVVE"&amp;12*$C10,Parameters!$A:$A,0))</f>
        <v>0</v>
      </c>
      <c r="BO10" s="262">
        <f>INDEX('inkoop ULL tbv Epacity'!I:I,MATCH($BL10,'inkoop ULL tbv Epacity'!H:H,0))</f>
        <v>2.39</v>
      </c>
      <c r="BP10" s="263">
        <f t="shared" si="17"/>
        <v>2.39</v>
      </c>
      <c r="BQ10" s="203"/>
      <c r="BR10" s="262">
        <f>Parameters!$B$12*AG10</f>
        <v>102.77777777777779</v>
      </c>
      <c r="BS10" s="262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SUM(Distributievergoedingen!$F$12,Distributievergoedingen!$I$12,Distributievergoedingen!$L$12,Distributievergoedingen!$O$12)*AF10+SUM(Distributievergoedingen!$O$12*AA10+Distributievergoedingen!$R$12+Distributievergoedingen!$U$12+Distributievergoedingen!$X$12)/(MAX(36,12*L10))</f>
        <v>112.77777777777777</v>
      </c>
      <c r="BT10" s="262"/>
      <c r="BU10" s="150">
        <f t="shared" si="18"/>
        <v>215.55555555555554</v>
      </c>
      <c r="BW10" s="151">
        <f t="shared" si="19"/>
        <v>217.94555555555553</v>
      </c>
      <c r="BY10" s="140">
        <f t="shared" si="20"/>
        <v>809.8322222222223</v>
      </c>
      <c r="BZ10" s="141">
        <f t="shared" si="21"/>
        <v>0.78794486486486492</v>
      </c>
      <c r="CA10" s="142" t="b">
        <f t="shared" si="22"/>
        <v>0</v>
      </c>
    </row>
    <row r="11" spans="1:79">
      <c r="A11" t="str">
        <f t="shared" ref="A11:A14" si="24">C11&amp;D11&amp;E11&amp;F11</f>
        <v>1VDSLEntry7x24</v>
      </c>
      <c r="B11" t="str">
        <f t="shared" ref="B11:B14" si="25">A11</f>
        <v>1VDSLEntry7x24</v>
      </c>
      <c r="C11" s="75">
        <v>1</v>
      </c>
      <c r="D11" s="75" t="s">
        <v>77</v>
      </c>
      <c r="E11" s="75" t="s">
        <v>78</v>
      </c>
      <c r="F11" s="75" t="s">
        <v>34</v>
      </c>
      <c r="G11" s="75" t="s">
        <v>115</v>
      </c>
      <c r="H11" s="75" t="s">
        <v>115</v>
      </c>
      <c r="I11" s="75" t="s">
        <v>115</v>
      </c>
      <c r="J11" s="142" t="str">
        <f t="shared" si="23"/>
        <v>VDSLEntry7x24</v>
      </c>
      <c r="L11" s="160">
        <f>INDEX(Mapping!$J:$J,MATCH(C$3&amp;C11,Mapping!$B:$B,0))</f>
        <v>1</v>
      </c>
      <c r="M11" s="148" t="str">
        <f>INDEX(Mapping!$H:$H,MATCH($E11,Mapping!$B:$B,0))</f>
        <v>WBA CM Ethernet</v>
      </c>
      <c r="N11" s="148" t="str">
        <f>INDEX(Mapping!$J:$J,MATCH($J11,Mapping!$B:$B,0))</f>
        <v>VDSL</v>
      </c>
      <c r="O11" s="148" t="str">
        <f>INDEX(Mapping!$K:$K,MATCH($J11,Mapping!$B:$B,0))</f>
        <v>7x24</v>
      </c>
      <c r="Q11" s="148"/>
      <c r="R11" s="148" t="str">
        <f>INDEX(Mapping!$H:$H,MATCH($H11,Mapping!$B:$B,0))</f>
        <v>nvt</v>
      </c>
      <c r="S11" s="148" t="str">
        <f>INDEX(Mapping!$H:$H,MATCH($I11,Mapping!$B:$B,0))</f>
        <v>nvt</v>
      </c>
      <c r="T11" s="148" t="str">
        <f t="shared" si="3"/>
        <v>WBA CM EthernetVDSL7x24</v>
      </c>
      <c r="U11" s="142" t="str">
        <f t="shared" si="4"/>
        <v>WBA CM EthernetVDSL7x24</v>
      </c>
      <c r="W11" s="160">
        <f>MATCH($J11,'Tarieven ZM'!$B:$B,0)</f>
        <v>118</v>
      </c>
      <c r="X11" s="148">
        <f>INDEX('Tarieven ZM'!$H:$H,$W11)</f>
        <v>1000</v>
      </c>
      <c r="Y11" s="161">
        <f>-INDEX(Parameters!$B:$B,MATCH(Y$3,Parameters!$A:$A,0))*$X11</f>
        <v>0</v>
      </c>
      <c r="Z11" s="149">
        <f>-INDEX(Parameters!$B:$B,MATCH(Z$3,Parameters!$A:$A,0))*$X11</f>
        <v>0</v>
      </c>
      <c r="AA11" s="148">
        <f t="shared" ref="AA11:AA12" si="26">SUM(X11:Z11)</f>
        <v>1000</v>
      </c>
      <c r="AB11" s="148">
        <f>AA11/INDEX(Parameters!$B:$B,MATCH("AfschrijftermijnVVE"&amp;12*$C11,Parameters!$A:$A,0))</f>
        <v>27.777777777777779</v>
      </c>
      <c r="AC11" s="148">
        <f>INDEX('Tarieven ZM'!$G:$G,$W11)</f>
        <v>1000</v>
      </c>
      <c r="AD11" s="161">
        <f>-INDEX(Parameters!$B:$B,MATCH(AD$3,Parameters!$A:$A,0))*$AC11</f>
        <v>0</v>
      </c>
      <c r="AE11" s="161">
        <f>-INDEX(Parameters!$B:$B,MATCH(AE$3,Parameters!$A:$A,0))*$AC11</f>
        <v>0</v>
      </c>
      <c r="AF11" s="148">
        <f t="shared" ref="AF11:AF12" si="27">SUM(AC11:AE11)</f>
        <v>1000</v>
      </c>
      <c r="AG11" s="151">
        <f t="shared" ref="AG11:AG12" si="28">SUM(AB11,AF11)</f>
        <v>1027.7777777777778</v>
      </c>
      <c r="AH11" s="123"/>
      <c r="AI11" s="147">
        <f>MATCH($T11,'Tarieven W&amp;O'!$B:$B,0)</f>
        <v>190</v>
      </c>
      <c r="AJ11" s="148">
        <f>IF(AI11&lt;&gt;"nvt",INDEX('Tarieven W&amp;O'!$H:$H,$AI11),0)</f>
        <v>0</v>
      </c>
      <c r="AK11" s="148">
        <f>IF(AI11&lt;&gt;"nvt",INDEX('Tarieven W&amp;O'!$I:$I,$AI11),0)</f>
        <v>0</v>
      </c>
      <c r="AL11" s="149">
        <f>IF(AI11&lt;&gt;"nvt",-INDEX(Parameters!$B:$B,MATCH(AL$3&amp;$M11,Parameters!$A:$A,0))*(AJ11+AK11),0)</f>
        <v>0</v>
      </c>
      <c r="AM11" s="149"/>
      <c r="AN11" s="148">
        <f t="shared" si="8"/>
        <v>0</v>
      </c>
      <c r="AO11" s="171">
        <f>AN11/INDEX(Parameters!$B:$B,MATCH("AfschrijftermijnVVE"&amp;12*$C11,Parameters!$A:$A,0))</f>
        <v>0</v>
      </c>
      <c r="AP11" s="148">
        <f>MATCH($U11,'Tarieven W&amp;O'!$B:$B,0)</f>
        <v>190</v>
      </c>
      <c r="AQ11" s="150">
        <f>IF(AP11&lt;&gt;"nvt",INDEX('Tarieven W&amp;O'!$G:$G,$AP11),0)</f>
        <v>15.11</v>
      </c>
      <c r="AR11" s="277">
        <f>-INDEX(Parameters!$B:$B,MATCH(AR$3&amp;M11&amp;$N11,Parameters!$A:$A,0))*(AQ11)</f>
        <v>-1.5110000000000001</v>
      </c>
      <c r="AS11" s="148"/>
      <c r="AT11" s="148"/>
      <c r="AU11" s="202">
        <f t="shared" si="9"/>
        <v>13.599</v>
      </c>
      <c r="AV11" s="202">
        <f t="shared" si="10"/>
        <v>13.599</v>
      </c>
      <c r="AW11" s="202"/>
      <c r="AX11" s="150">
        <f>Parameters!$B$6*AV11</f>
        <v>0.13599</v>
      </c>
      <c r="AY11" s="202">
        <v>0</v>
      </c>
      <c r="AZ11" s="150"/>
      <c r="BA11" s="150">
        <f t="shared" si="11"/>
        <v>0.13599</v>
      </c>
      <c r="BB11" s="150"/>
      <c r="BC11" s="151">
        <f t="shared" si="12"/>
        <v>13.73499</v>
      </c>
      <c r="BD11" s="123"/>
      <c r="BE11" s="140">
        <f t="shared" si="13"/>
        <v>1014.0427877777778</v>
      </c>
      <c r="BF11" s="141">
        <f t="shared" si="14"/>
        <v>0.98663622594594591</v>
      </c>
      <c r="BG11" s="142" t="b">
        <f t="shared" si="15"/>
        <v>0</v>
      </c>
      <c r="BI11" s="188" t="s">
        <v>538</v>
      </c>
      <c r="BJ11" s="189"/>
      <c r="BK11">
        <f>VLOOKUP(J11,'Tarieven ZM'!$B$7:$I$146,8,0)</f>
        <v>0</v>
      </c>
      <c r="BL11" s="203" t="str">
        <f t="shared" si="16"/>
        <v>VDSL7x24</v>
      </c>
      <c r="BM11" s="268">
        <v>0</v>
      </c>
      <c r="BN11" s="171">
        <f>BM11/INDEX(Parameters!$B:$B,MATCH("AfschrijftermijnVVE"&amp;12*$C11,Parameters!$A:$A,0))</f>
        <v>0</v>
      </c>
      <c r="BO11" s="262">
        <f>INDEX('inkoop ULL tbv Epacity'!I:I,MATCH($BL11,'inkoop ULL tbv Epacity'!H:H,0))</f>
        <v>8.1300000000000008</v>
      </c>
      <c r="BP11" s="263">
        <f t="shared" si="17"/>
        <v>8.1300000000000008</v>
      </c>
      <c r="BQ11" s="203"/>
      <c r="BR11" s="262">
        <f>Parameters!$B$12*AG11</f>
        <v>102.77777777777779</v>
      </c>
      <c r="BS11" s="262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SUM(Distributievergoedingen!$F$12,Distributievergoedingen!$I$12,Distributievergoedingen!$L$12,Distributievergoedingen!$O$12)*AF11+SUM(Distributievergoedingen!$O$12*AA11+Distributievergoedingen!$R$12+Distributievergoedingen!$U$12+Distributievergoedingen!$X$12)/(MAX(36,12*L11))</f>
        <v>112.77777777777777</v>
      </c>
      <c r="BT11" s="262"/>
      <c r="BU11" s="150">
        <f t="shared" si="18"/>
        <v>215.55555555555554</v>
      </c>
      <c r="BW11" s="151">
        <f t="shared" si="19"/>
        <v>223.68555555555554</v>
      </c>
      <c r="BY11" s="140">
        <f t="shared" si="20"/>
        <v>804.09222222222229</v>
      </c>
      <c r="BZ11" s="141">
        <f t="shared" si="21"/>
        <v>0.78236000000000006</v>
      </c>
      <c r="CA11" s="142" t="b">
        <f t="shared" si="22"/>
        <v>0</v>
      </c>
    </row>
    <row r="12" spans="1:79">
      <c r="A12" t="str">
        <f t="shared" si="24"/>
        <v>1VDSLPremium7x24</v>
      </c>
      <c r="B12" t="str">
        <f t="shared" si="25"/>
        <v>1VDSLPremium7x24</v>
      </c>
      <c r="C12" s="75">
        <v>1</v>
      </c>
      <c r="D12" s="75" t="s">
        <v>77</v>
      </c>
      <c r="E12" s="75" t="s">
        <v>70</v>
      </c>
      <c r="F12" s="75" t="s">
        <v>34</v>
      </c>
      <c r="G12" s="75" t="s">
        <v>115</v>
      </c>
      <c r="H12" s="75" t="s">
        <v>115</v>
      </c>
      <c r="I12" s="75" t="s">
        <v>115</v>
      </c>
      <c r="J12" s="142" t="str">
        <f t="shared" si="23"/>
        <v>VDSLPremium7x24</v>
      </c>
      <c r="L12" s="160">
        <f>INDEX(Mapping!$J:$J,MATCH(C$3&amp;C12,Mapping!$B:$B,0))</f>
        <v>1</v>
      </c>
      <c r="M12" s="148" t="str">
        <f>INDEX(Mapping!$H:$H,MATCH($E12,Mapping!$B:$B,0))</f>
        <v>WBA ZM Ethernet</v>
      </c>
      <c r="N12" s="148" t="str">
        <f>INDEX(Mapping!$J:$J,MATCH($J12,Mapping!$B:$B,0))</f>
        <v>VDSL</v>
      </c>
      <c r="O12" s="148" t="str">
        <f>INDEX(Mapping!$K:$K,MATCH($J12,Mapping!$B:$B,0))</f>
        <v>7x24</v>
      </c>
      <c r="Q12" s="148"/>
      <c r="R12" s="148" t="str">
        <f>INDEX(Mapping!$H:$H,MATCH($H12,Mapping!$B:$B,0))</f>
        <v>nvt</v>
      </c>
      <c r="S12" s="148" t="str">
        <f>INDEX(Mapping!$H:$H,MATCH($I12,Mapping!$B:$B,0))</f>
        <v>nvt</v>
      </c>
      <c r="T12" s="148" t="str">
        <f t="shared" si="3"/>
        <v>WBA ZM EthernetVDSL7x24</v>
      </c>
      <c r="U12" s="142" t="str">
        <f t="shared" si="4"/>
        <v>WBA ZM EthernetVDSL7x24</v>
      </c>
      <c r="W12" s="160">
        <f>MATCH($J12,'Tarieven ZM'!$B:$B,0)</f>
        <v>119</v>
      </c>
      <c r="X12" s="148">
        <f>INDEX('Tarieven ZM'!$H:$H,$W12)</f>
        <v>1000</v>
      </c>
      <c r="Y12" s="161">
        <f>-INDEX(Parameters!$B:$B,MATCH(Y$3,Parameters!$A:$A,0))*$X12</f>
        <v>0</v>
      </c>
      <c r="Z12" s="149">
        <f>-INDEX(Parameters!$B:$B,MATCH(Z$3,Parameters!$A:$A,0))*$X12</f>
        <v>0</v>
      </c>
      <c r="AA12" s="148">
        <f t="shared" si="26"/>
        <v>1000</v>
      </c>
      <c r="AB12" s="148">
        <f>AA12/INDEX(Parameters!$B:$B,MATCH("AfschrijftermijnVVE"&amp;12*$C12,Parameters!$A:$A,0))</f>
        <v>27.777777777777779</v>
      </c>
      <c r="AC12" s="148">
        <f>INDEX('Tarieven ZM'!$G:$G,$W12)</f>
        <v>1000</v>
      </c>
      <c r="AD12" s="161">
        <f>-INDEX(Parameters!$B:$B,MATCH(AD$3,Parameters!$A:$A,0))*$AC12</f>
        <v>0</v>
      </c>
      <c r="AE12" s="161">
        <f>-INDEX(Parameters!$B:$B,MATCH(AE$3,Parameters!$A:$A,0))*$AC12</f>
        <v>0</v>
      </c>
      <c r="AF12" s="148">
        <f t="shared" si="27"/>
        <v>1000</v>
      </c>
      <c r="AG12" s="151">
        <f t="shared" si="28"/>
        <v>1027.7777777777778</v>
      </c>
      <c r="AH12" s="123"/>
      <c r="AI12" s="147">
        <f>MATCH($T12,'Tarieven W&amp;O'!$B:$B,0)</f>
        <v>200</v>
      </c>
      <c r="AJ12" s="148">
        <f>IF(AI12&lt;&gt;"nvt",INDEX('Tarieven W&amp;O'!$H:$H,$AI12),0)</f>
        <v>0</v>
      </c>
      <c r="AK12" s="148">
        <f>IF(AI12&lt;&gt;"nvt",INDEX('Tarieven W&amp;O'!$I:$I,$AI12),0)</f>
        <v>0</v>
      </c>
      <c r="AL12" s="149">
        <f>IF(AI12&lt;&gt;"nvt",-INDEX(Parameters!$B:$B,MATCH(AL$3&amp;$M12,Parameters!$A:$A,0))*(AJ12+AK12),0)</f>
        <v>0</v>
      </c>
      <c r="AM12" s="149"/>
      <c r="AN12" s="148">
        <f t="shared" si="8"/>
        <v>0</v>
      </c>
      <c r="AO12" s="171">
        <f>AN12/INDEX(Parameters!$B:$B,MATCH("AfschrijftermijnVVE"&amp;12*$C12,Parameters!$A:$A,0))</f>
        <v>0</v>
      </c>
      <c r="AP12" s="148">
        <f>MATCH($U12,'Tarieven W&amp;O'!$B:$B,0)</f>
        <v>200</v>
      </c>
      <c r="AQ12" s="150">
        <f>IF(AP12&lt;&gt;"nvt",INDEX('Tarieven W&amp;O'!$G:$G,$AP12),0)</f>
        <v>8.1199999999999992</v>
      </c>
      <c r="AR12" s="277">
        <f>-INDEX(Parameters!$B:$B,MATCH(AR$3&amp;M12&amp;$N12,Parameters!$A:$A,0))*(AQ12)</f>
        <v>0</v>
      </c>
      <c r="AS12" s="148"/>
      <c r="AT12" s="148"/>
      <c r="AU12" s="202">
        <f t="shared" si="9"/>
        <v>8.1199999999999992</v>
      </c>
      <c r="AV12" s="202">
        <f t="shared" si="10"/>
        <v>8.1199999999999992</v>
      </c>
      <c r="AW12" s="202"/>
      <c r="AX12" s="150">
        <f>Parameters!$B$6*AV12</f>
        <v>8.1199999999999994E-2</v>
      </c>
      <c r="AY12" s="202">
        <v>0</v>
      </c>
      <c r="AZ12" s="150"/>
      <c r="BA12" s="150">
        <f t="shared" si="11"/>
        <v>8.1199999999999994E-2</v>
      </c>
      <c r="BB12" s="150"/>
      <c r="BC12" s="151">
        <f t="shared" si="12"/>
        <v>8.2012</v>
      </c>
      <c r="BD12" s="123"/>
      <c r="BE12" s="140">
        <f t="shared" si="13"/>
        <v>1019.5765777777779</v>
      </c>
      <c r="BF12" s="141">
        <f t="shared" si="14"/>
        <v>0.99202045405405403</v>
      </c>
      <c r="BG12" s="142" t="b">
        <f t="shared" si="15"/>
        <v>0</v>
      </c>
      <c r="BI12" s="188" t="s">
        <v>538</v>
      </c>
      <c r="BJ12" s="189"/>
      <c r="BK12">
        <f>VLOOKUP(J12,'Tarieven ZM'!$B$7:$I$146,8,0)</f>
        <v>0</v>
      </c>
      <c r="BL12" s="203" t="str">
        <f t="shared" si="16"/>
        <v>VDSL7x24</v>
      </c>
      <c r="BM12" s="268">
        <v>0</v>
      </c>
      <c r="BN12" s="171">
        <f>BM12/INDEX(Parameters!$B:$B,MATCH("AfschrijftermijnVVE"&amp;12*$C12,Parameters!$A:$A,0))</f>
        <v>0</v>
      </c>
      <c r="BO12" s="262">
        <f>INDEX('inkoop ULL tbv Epacity'!I:I,MATCH($BL12,'inkoop ULL tbv Epacity'!H:H,0))</f>
        <v>8.1300000000000008</v>
      </c>
      <c r="BP12" s="263">
        <f t="shared" si="17"/>
        <v>8.1300000000000008</v>
      </c>
      <c r="BQ12" s="203"/>
      <c r="BR12" s="262">
        <f>Parameters!$B$12*AG12</f>
        <v>102.77777777777779</v>
      </c>
      <c r="BS12" s="262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SUM(Distributievergoedingen!$F$12,Distributievergoedingen!$I$12,Distributievergoedingen!$L$12,Distributievergoedingen!$O$12)*AF12+SUM(Distributievergoedingen!$O$12*AA12+Distributievergoedingen!$R$12+Distributievergoedingen!$U$12+Distributievergoedingen!$X$12)/(MAX(36,12*L12))</f>
        <v>112.77777777777777</v>
      </c>
      <c r="BT12" s="262"/>
      <c r="BU12" s="150">
        <f t="shared" si="18"/>
        <v>215.55555555555554</v>
      </c>
      <c r="BW12" s="151">
        <f t="shared" si="19"/>
        <v>223.68555555555554</v>
      </c>
      <c r="BY12" s="140">
        <f t="shared" si="20"/>
        <v>804.09222222222229</v>
      </c>
      <c r="BZ12" s="141">
        <f t="shared" si="21"/>
        <v>0.78236000000000006</v>
      </c>
      <c r="CA12" s="142" t="b">
        <f t="shared" si="22"/>
        <v>0</v>
      </c>
    </row>
    <row r="13" spans="1:79" s="203" customFormat="1">
      <c r="A13" s="203" t="str">
        <f t="shared" si="24"/>
        <v>1VDSL BondingEntry7x24</v>
      </c>
      <c r="B13" s="203" t="str">
        <f t="shared" si="25"/>
        <v>1VDSL BondingEntry7x24</v>
      </c>
      <c r="C13" s="438">
        <v>1</v>
      </c>
      <c r="D13" s="438" t="s">
        <v>170</v>
      </c>
      <c r="E13" s="438" t="s">
        <v>78</v>
      </c>
      <c r="F13" s="438" t="s">
        <v>34</v>
      </c>
      <c r="G13" s="438" t="s">
        <v>115</v>
      </c>
      <c r="H13" s="438" t="s">
        <v>115</v>
      </c>
      <c r="I13" s="438" t="s">
        <v>115</v>
      </c>
      <c r="J13" s="274" t="str">
        <f t="shared" si="23"/>
        <v>VDSL BondingEntry7x24</v>
      </c>
      <c r="L13" s="273">
        <f>INDEX(Mapping!$J:$J,MATCH(C$3&amp;C13,Mapping!$B:$B,0))</f>
        <v>1</v>
      </c>
      <c r="M13" s="179" t="str">
        <f>INDEX(Mapping!$H:$H,MATCH($E13,Mapping!$B:$B,0))</f>
        <v>WBA CM Ethernet</v>
      </c>
      <c r="N13" s="179" t="str">
        <f>INDEX(Mapping!$J:$J,MATCH($J13,Mapping!$B:$B,0))</f>
        <v>VDSL</v>
      </c>
      <c r="O13" s="179" t="str">
        <f>INDEX(Mapping!$K:$K,MATCH($J13,Mapping!$B:$B,0))</f>
        <v>7x24</v>
      </c>
      <c r="P13"/>
      <c r="Q13" s="179"/>
      <c r="R13" s="179" t="str">
        <f>INDEX(Mapping!$H:$H,MATCH($H13,Mapping!$B:$B,0))</f>
        <v>nvt</v>
      </c>
      <c r="S13" s="179" t="str">
        <f>INDEX(Mapping!$H:$H,MATCH($I13,Mapping!$B:$B,0))</f>
        <v>nvt</v>
      </c>
      <c r="T13" s="179" t="str">
        <f t="shared" ref="T13:T14" si="29">M13&amp;N13&amp;O13</f>
        <v>WBA CM EthernetVDSL7x24</v>
      </c>
      <c r="U13" s="274" t="str">
        <f t="shared" ref="U13:U14" si="30">T13</f>
        <v>WBA CM EthernetVDSL7x24</v>
      </c>
      <c r="W13" s="273">
        <f>MATCH($J13,'Tarieven ZM'!$B:$B,0)</f>
        <v>120</v>
      </c>
      <c r="X13" s="179">
        <f>INDEX('Tarieven ZM'!$H:$H,$W13)</f>
        <v>1000</v>
      </c>
      <c r="Y13" s="276">
        <f>-INDEX(Parameters!$B:$B,MATCH(Y$3,Parameters!$A:$A,0))*$X13</f>
        <v>0</v>
      </c>
      <c r="Z13" s="277">
        <f>-INDEX(Parameters!$B:$B,MATCH(Z$3,Parameters!$A:$A,0))*$X13</f>
        <v>0</v>
      </c>
      <c r="AA13" s="179">
        <f t="shared" ref="AA13:AA14" si="31">SUM(X13:Z13)</f>
        <v>1000</v>
      </c>
      <c r="AB13" s="179">
        <f>AA13/INDEX(Parameters!$B:$B,MATCH("AfschrijftermijnVVE"&amp;12*$C13,Parameters!$A:$A,0))</f>
        <v>27.777777777777779</v>
      </c>
      <c r="AC13" s="179">
        <f>INDEX('Tarieven ZM'!$G:$G,$W13)</f>
        <v>1000</v>
      </c>
      <c r="AD13" s="276">
        <f>-INDEX(Parameters!$B:$B,MATCH(AD$3,Parameters!$A:$A,0))*$AC13</f>
        <v>0</v>
      </c>
      <c r="AE13" s="276">
        <f>-INDEX(Parameters!$B:$B,MATCH(AE$3,Parameters!$A:$A,0))*$AC13</f>
        <v>0</v>
      </c>
      <c r="AF13" s="179">
        <f t="shared" ref="AF13:AF14" si="32">SUM(AC13:AE13)</f>
        <v>1000</v>
      </c>
      <c r="AG13" s="278">
        <f t="shared" ref="AG13:AG14" si="33">SUM(AB13,AF13)</f>
        <v>1027.7777777777778</v>
      </c>
      <c r="AH13" s="209"/>
      <c r="AI13" s="279">
        <f>MATCH($T13,'Tarieven W&amp;O'!$B:$B,0)</f>
        <v>190</v>
      </c>
      <c r="AJ13" s="179">
        <f>IF(AI13&lt;&gt;"nvt",INDEX('Tarieven W&amp;O'!$H:$H,$AI13),0)</f>
        <v>0</v>
      </c>
      <c r="AK13" s="179">
        <f>IF(AI13&lt;&gt;"nvt",INDEX('Tarieven W&amp;O'!$I:$I,$AI13),0)</f>
        <v>0</v>
      </c>
      <c r="AL13" s="277">
        <f>IF(AI13&lt;&gt;"nvt",-INDEX(Parameters!$B:$B,MATCH(AL$3&amp;$M13,Parameters!$A:$A,0))*(AJ13+AK13),0)</f>
        <v>0</v>
      </c>
      <c r="AM13" s="277"/>
      <c r="AN13" s="179">
        <f t="shared" ref="AN13:AN14" si="34">SUM(AJ13:AM13)</f>
        <v>0</v>
      </c>
      <c r="AO13" s="262">
        <f>AN13/INDEX(Parameters!$B:$B,MATCH("AfschrijftermijnVVE"&amp;12*$C13,Parameters!$A:$A,0))</f>
        <v>0</v>
      </c>
      <c r="AP13" s="179">
        <f>MATCH($U13,'Tarieven W&amp;O'!$B:$B,0)</f>
        <v>190</v>
      </c>
      <c r="AQ13" s="202">
        <f>IF(AP13&lt;&gt;"nvt",INDEX('Tarieven W&amp;O'!$G:$G,$AP13),0)</f>
        <v>15.11</v>
      </c>
      <c r="AR13" s="277">
        <f>-INDEX(Parameters!$B:$B,MATCH(AR$3&amp;M13&amp;$N13,Parameters!$A:$A,0))*(AQ13)</f>
        <v>-1.5110000000000001</v>
      </c>
      <c r="AS13" s="179"/>
      <c r="AT13" s="179"/>
      <c r="AU13" s="202">
        <f t="shared" ref="AU13:AU14" si="35">SUM(AQ13:AT13)</f>
        <v>13.599</v>
      </c>
      <c r="AV13" s="202">
        <f t="shared" ref="AV13:AV14" si="36">SUM(AO13,AU13)</f>
        <v>13.599</v>
      </c>
      <c r="AW13" s="202"/>
      <c r="AX13" s="202">
        <f>Parameters!$B$6*AV13</f>
        <v>0.13599</v>
      </c>
      <c r="AY13" s="202">
        <v>0</v>
      </c>
      <c r="AZ13" s="202"/>
      <c r="BA13" s="202">
        <f t="shared" ref="BA13:BA14" si="37">SUM(AX13:AZ13)</f>
        <v>0.13599</v>
      </c>
      <c r="BB13" s="202"/>
      <c r="BC13" s="278">
        <f t="shared" ref="BC13:BC14" si="38">SUM(AV13,BA13)</f>
        <v>13.73499</v>
      </c>
      <c r="BD13" s="209"/>
      <c r="BE13" s="280">
        <f t="shared" ref="BE13:BE14" si="39">AG13-BC13</f>
        <v>1014.0427877777778</v>
      </c>
      <c r="BF13" s="264">
        <f t="shared" ref="BF13:BF14" si="40">IF(AG13=0,-999%,BE13/AG13)</f>
        <v>0.98663622594594591</v>
      </c>
      <c r="BG13" s="274" t="b">
        <f t="shared" ref="BG13:BG14" si="41">BF13&lt;0</f>
        <v>0</v>
      </c>
      <c r="BI13" s="443" t="s">
        <v>538</v>
      </c>
      <c r="BJ13" s="281"/>
      <c r="BK13" s="203">
        <f>VLOOKUP(J13,'Tarieven ZM'!$B$7:$I$146,8,0)</f>
        <v>0</v>
      </c>
      <c r="BL13" s="203" t="str">
        <f t="shared" si="16"/>
        <v>VDSL7x24</v>
      </c>
      <c r="BM13" s="282">
        <v>0</v>
      </c>
      <c r="BN13" s="262">
        <f>BM13/INDEX(Parameters!$B:$B,MATCH("AfschrijftermijnVVE"&amp;12*$C13,Parameters!$A:$A,0))</f>
        <v>0</v>
      </c>
      <c r="BO13" s="262">
        <f>INDEX('inkoop ULL tbv Epacity'!I:I,MATCH($BL13,'inkoop ULL tbv Epacity'!H:H,0))</f>
        <v>8.1300000000000008</v>
      </c>
      <c r="BP13" s="263">
        <f t="shared" ref="BP13:BP14" si="42">BN13+BO13</f>
        <v>8.1300000000000008</v>
      </c>
      <c r="BR13" s="262">
        <f>Parameters!$B$12*AG13</f>
        <v>102.77777777777779</v>
      </c>
      <c r="BS13" s="262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SUM(Distributievergoedingen!$F$12,Distributievergoedingen!$I$12,Distributievergoedingen!$L$12,Distributievergoedingen!$O$12)*AF13+SUM(Distributievergoedingen!$O$12*AA13+Distributievergoedingen!$R$12+Distributievergoedingen!$U$12+Distributievergoedingen!$X$12)/(MAX(36,12*L13))</f>
        <v>112.77777777777777</v>
      </c>
      <c r="BT13" s="262"/>
      <c r="BU13" s="202">
        <f t="shared" ref="BU13:BU14" si="43">SUM(BR13:BT13)</f>
        <v>215.55555555555554</v>
      </c>
      <c r="BW13" s="278">
        <f t="shared" ref="BW13:BW14" si="44">SUM(BP13,BU13)</f>
        <v>223.68555555555554</v>
      </c>
      <c r="BY13" s="280">
        <f t="shared" ref="BY13:BY14" si="45">AG13-BW13</f>
        <v>804.09222222222229</v>
      </c>
      <c r="BZ13" s="264">
        <f t="shared" ref="BZ13:BZ14" si="46">IF(AG13=0,-999%,BY13/AG13)</f>
        <v>0.78236000000000006</v>
      </c>
      <c r="CA13" s="274" t="b">
        <f t="shared" ref="CA13:CA14" si="47">BZ13&lt;0</f>
        <v>0</v>
      </c>
    </row>
    <row r="14" spans="1:79" s="203" customFormat="1">
      <c r="A14" s="203" t="str">
        <f t="shared" si="24"/>
        <v>1VDSL BondingPremium7x24</v>
      </c>
      <c r="B14" s="203" t="str">
        <f t="shared" si="25"/>
        <v>1VDSL BondingPremium7x24</v>
      </c>
      <c r="C14" s="438">
        <v>1</v>
      </c>
      <c r="D14" s="438" t="s">
        <v>170</v>
      </c>
      <c r="E14" s="438" t="s">
        <v>70</v>
      </c>
      <c r="F14" s="438" t="s">
        <v>34</v>
      </c>
      <c r="G14" s="438" t="s">
        <v>115</v>
      </c>
      <c r="H14" s="438" t="s">
        <v>115</v>
      </c>
      <c r="I14" s="438" t="s">
        <v>115</v>
      </c>
      <c r="J14" s="274" t="str">
        <f t="shared" si="23"/>
        <v>VDSL BondingPremium7x24</v>
      </c>
      <c r="L14" s="273">
        <f>INDEX(Mapping!$J:$J,MATCH(C$3&amp;C14,Mapping!$B:$B,0))</f>
        <v>1</v>
      </c>
      <c r="M14" s="179" t="str">
        <f>INDEX(Mapping!$H:$H,MATCH($E14,Mapping!$B:$B,0))</f>
        <v>WBA ZM Ethernet</v>
      </c>
      <c r="N14" s="179" t="str">
        <f>INDEX(Mapping!$J:$J,MATCH($J14,Mapping!$B:$B,0))</f>
        <v>VDSL</v>
      </c>
      <c r="O14" s="179" t="str">
        <f>INDEX(Mapping!$K:$K,MATCH($J14,Mapping!$B:$B,0))</f>
        <v>7x24</v>
      </c>
      <c r="P14"/>
      <c r="Q14" s="179"/>
      <c r="R14" s="179" t="str">
        <f>INDEX(Mapping!$H:$H,MATCH($H14,Mapping!$B:$B,0))</f>
        <v>nvt</v>
      </c>
      <c r="S14" s="179" t="str">
        <f>INDEX(Mapping!$H:$H,MATCH($I14,Mapping!$B:$B,0))</f>
        <v>nvt</v>
      </c>
      <c r="T14" s="179" t="str">
        <f t="shared" si="29"/>
        <v>WBA ZM EthernetVDSL7x24</v>
      </c>
      <c r="U14" s="274" t="str">
        <f t="shared" si="30"/>
        <v>WBA ZM EthernetVDSL7x24</v>
      </c>
      <c r="W14" s="273">
        <f>MATCH($J14,'Tarieven ZM'!$B:$B,0)</f>
        <v>121</v>
      </c>
      <c r="X14" s="179">
        <f>INDEX('Tarieven ZM'!$H:$H,$W14)</f>
        <v>1000</v>
      </c>
      <c r="Y14" s="276">
        <f>-INDEX(Parameters!$B:$B,MATCH(Y$3,Parameters!$A:$A,0))*$X14</f>
        <v>0</v>
      </c>
      <c r="Z14" s="277">
        <f>-INDEX(Parameters!$B:$B,MATCH(Z$3,Parameters!$A:$A,0))*$X14</f>
        <v>0</v>
      </c>
      <c r="AA14" s="179">
        <f t="shared" si="31"/>
        <v>1000</v>
      </c>
      <c r="AB14" s="179">
        <f>AA14/INDEX(Parameters!$B:$B,MATCH("AfschrijftermijnVVE"&amp;12*$C14,Parameters!$A:$A,0))</f>
        <v>27.777777777777779</v>
      </c>
      <c r="AC14" s="179">
        <f>INDEX('Tarieven ZM'!$G:$G,$W14)</f>
        <v>1000</v>
      </c>
      <c r="AD14" s="276">
        <f>-INDEX(Parameters!$B:$B,MATCH(AD$3,Parameters!$A:$A,0))*$AC14</f>
        <v>0</v>
      </c>
      <c r="AE14" s="276">
        <f>-INDEX(Parameters!$B:$B,MATCH(AE$3,Parameters!$A:$A,0))*$AC14</f>
        <v>0</v>
      </c>
      <c r="AF14" s="179">
        <f t="shared" si="32"/>
        <v>1000</v>
      </c>
      <c r="AG14" s="278">
        <f t="shared" si="33"/>
        <v>1027.7777777777778</v>
      </c>
      <c r="AH14" s="209"/>
      <c r="AI14" s="279">
        <f>MATCH($T14,'Tarieven W&amp;O'!$B:$B,0)</f>
        <v>200</v>
      </c>
      <c r="AJ14" s="179">
        <f>IF(AI14&lt;&gt;"nvt",INDEX('Tarieven W&amp;O'!$H:$H,$AI14),0)</f>
        <v>0</v>
      </c>
      <c r="AK14" s="179">
        <f>IF(AI14&lt;&gt;"nvt",INDEX('Tarieven W&amp;O'!$I:$I,$AI14),0)</f>
        <v>0</v>
      </c>
      <c r="AL14" s="277">
        <f>IF(AI14&lt;&gt;"nvt",-INDEX(Parameters!$B:$B,MATCH(AL$3&amp;$M14,Parameters!$A:$A,0))*(AJ14+AK14),0)</f>
        <v>0</v>
      </c>
      <c r="AM14" s="277"/>
      <c r="AN14" s="179">
        <f t="shared" si="34"/>
        <v>0</v>
      </c>
      <c r="AO14" s="262">
        <f>AN14/INDEX(Parameters!$B:$B,MATCH("AfschrijftermijnVVE"&amp;12*$C14,Parameters!$A:$A,0))</f>
        <v>0</v>
      </c>
      <c r="AP14" s="179">
        <f>MATCH($U14,'Tarieven W&amp;O'!$B:$B,0)</f>
        <v>200</v>
      </c>
      <c r="AQ14" s="202">
        <f>IF(AP14&lt;&gt;"nvt",INDEX('Tarieven W&amp;O'!$G:$G,$AP14),0)</f>
        <v>8.1199999999999992</v>
      </c>
      <c r="AR14" s="277">
        <f>-INDEX(Parameters!$B:$B,MATCH(AR$3&amp;M14&amp;$N14,Parameters!$A:$A,0))*(AQ14)</f>
        <v>0</v>
      </c>
      <c r="AS14" s="179"/>
      <c r="AT14" s="179"/>
      <c r="AU14" s="202">
        <f t="shared" si="35"/>
        <v>8.1199999999999992</v>
      </c>
      <c r="AV14" s="202">
        <f t="shared" si="36"/>
        <v>8.1199999999999992</v>
      </c>
      <c r="AW14" s="202"/>
      <c r="AX14" s="202">
        <f>Parameters!$B$6*AV14</f>
        <v>8.1199999999999994E-2</v>
      </c>
      <c r="AY14" s="202">
        <v>0</v>
      </c>
      <c r="AZ14" s="202"/>
      <c r="BA14" s="202">
        <f t="shared" si="37"/>
        <v>8.1199999999999994E-2</v>
      </c>
      <c r="BB14" s="202"/>
      <c r="BC14" s="278">
        <f t="shared" si="38"/>
        <v>8.2012</v>
      </c>
      <c r="BD14" s="209"/>
      <c r="BE14" s="280">
        <f t="shared" si="39"/>
        <v>1019.5765777777779</v>
      </c>
      <c r="BF14" s="264">
        <f t="shared" si="40"/>
        <v>0.99202045405405403</v>
      </c>
      <c r="BG14" s="274" t="b">
        <f t="shared" si="41"/>
        <v>0</v>
      </c>
      <c r="BI14" s="443" t="s">
        <v>538</v>
      </c>
      <c r="BJ14" s="281"/>
      <c r="BK14" s="203">
        <f>VLOOKUP(J14,'Tarieven ZM'!$B$7:$I$146,8,0)</f>
        <v>0</v>
      </c>
      <c r="BL14" s="203" t="str">
        <f t="shared" si="16"/>
        <v>VDSL7x24</v>
      </c>
      <c r="BM14" s="282">
        <v>0</v>
      </c>
      <c r="BN14" s="262">
        <f>BM14/INDEX(Parameters!$B:$B,MATCH("AfschrijftermijnVVE"&amp;12*$C14,Parameters!$A:$A,0))</f>
        <v>0</v>
      </c>
      <c r="BO14" s="262">
        <f>INDEX('inkoop ULL tbv Epacity'!I:I,MATCH($BL14,'inkoop ULL tbv Epacity'!H:H,0))</f>
        <v>8.1300000000000008</v>
      </c>
      <c r="BP14" s="263">
        <f t="shared" si="42"/>
        <v>8.1300000000000008</v>
      </c>
      <c r="BR14" s="262">
        <f>Parameters!$B$12*AG14</f>
        <v>102.77777777777779</v>
      </c>
      <c r="BS14" s="262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SUM(Distributievergoedingen!$F$12,Distributievergoedingen!$I$12,Distributievergoedingen!$L$12,Distributievergoedingen!$O$12)*AF14+SUM(Distributievergoedingen!$O$12*AA14+Distributievergoedingen!$R$12+Distributievergoedingen!$U$12+Distributievergoedingen!$X$12)/(MAX(36,12*L14))</f>
        <v>112.77777777777777</v>
      </c>
      <c r="BT14" s="262"/>
      <c r="BU14" s="202">
        <f t="shared" si="43"/>
        <v>215.55555555555554</v>
      </c>
      <c r="BW14" s="278">
        <f t="shared" si="44"/>
        <v>223.68555555555554</v>
      </c>
      <c r="BY14" s="280">
        <f t="shared" si="45"/>
        <v>804.09222222222229</v>
      </c>
      <c r="BZ14" s="264">
        <f t="shared" si="46"/>
        <v>0.78236000000000006</v>
      </c>
      <c r="CA14" s="274" t="b">
        <f t="shared" si="47"/>
        <v>0</v>
      </c>
    </row>
    <row r="15" spans="1:79" s="203" customFormat="1">
      <c r="A15" s="203" t="str">
        <f t="shared" ref="A15:A24" si="48">C15&amp;D15&amp;E15&amp;F15</f>
        <v>1ADSLEntrykantooruren</v>
      </c>
      <c r="B15" s="203" t="str">
        <f t="shared" ref="B15:B24" si="49">A15</f>
        <v>1ADSLEntrykantooruren</v>
      </c>
      <c r="C15" s="75">
        <v>1</v>
      </c>
      <c r="D15" s="75" t="s">
        <v>42</v>
      </c>
      <c r="E15" s="75" t="s">
        <v>78</v>
      </c>
      <c r="F15" s="438" t="s">
        <v>1250</v>
      </c>
      <c r="G15" s="438" t="s">
        <v>115</v>
      </c>
      <c r="H15" s="438" t="s">
        <v>115</v>
      </c>
      <c r="I15" s="438" t="s">
        <v>115</v>
      </c>
      <c r="J15" s="274" t="str">
        <f t="shared" ref="J15:J24" si="50">D15&amp;E15&amp;F15</f>
        <v>ADSLEntrykantooruren</v>
      </c>
      <c r="L15" s="273">
        <f>INDEX(Mapping!$J:$J,MATCH(C$3&amp;C15,Mapping!$B:$B,0))</f>
        <v>1</v>
      </c>
      <c r="M15" s="179" t="str">
        <f>INDEX(Mapping!$H:$H,MATCH($E15,Mapping!$B:$B,0))</f>
        <v>WBA CM Ethernet</v>
      </c>
      <c r="N15" s="179" t="str">
        <f>INDEX(Mapping!$J:$J,MATCH($J15,Mapping!$B:$B,0))</f>
        <v>ADSL</v>
      </c>
      <c r="O15" s="179" t="str">
        <f>INDEX(Mapping!$K:$K,MATCH($J15,Mapping!$B:$B,0))</f>
        <v>Standard</v>
      </c>
      <c r="P15"/>
      <c r="Q15" s="179"/>
      <c r="R15" s="179" t="str">
        <f>INDEX(Mapping!$H:$H,MATCH($H15,Mapping!$B:$B,0))</f>
        <v>nvt</v>
      </c>
      <c r="S15" s="179" t="str">
        <f>INDEX(Mapping!$H:$H,MATCH($I15,Mapping!$B:$B,0))</f>
        <v>nvt</v>
      </c>
      <c r="T15" s="179" t="str">
        <f t="shared" ref="T15:T24" si="51">M15&amp;N15&amp;O15</f>
        <v>WBA CM EthernetADSLStandard</v>
      </c>
      <c r="U15" s="274" t="str">
        <f t="shared" ref="U15:U24" si="52">T15</f>
        <v>WBA CM EthernetADSLStandard</v>
      </c>
      <c r="W15" s="273">
        <f>MATCH($J15,'Tarieven ZM'!$B:$B,0)</f>
        <v>125</v>
      </c>
      <c r="X15" s="179">
        <f>INDEX('Tarieven ZM'!$H:$H,$W15)</f>
        <v>1000</v>
      </c>
      <c r="Y15" s="276">
        <f>-INDEX(Parameters!$B:$B,MATCH(Y$3,Parameters!$A:$A,0))*$X15</f>
        <v>0</v>
      </c>
      <c r="Z15" s="277">
        <f>-INDEX(Parameters!$B:$B,MATCH(Z$3,Parameters!$A:$A,0))*$X15</f>
        <v>0</v>
      </c>
      <c r="AA15" s="179">
        <f t="shared" ref="AA15:AA24" si="53">SUM(X15:Z15)</f>
        <v>1000</v>
      </c>
      <c r="AB15" s="179">
        <f>AA15/INDEX(Parameters!$B:$B,MATCH("AfschrijftermijnVVE"&amp;12*$C15,Parameters!$A:$A,0))</f>
        <v>27.777777777777779</v>
      </c>
      <c r="AC15" s="179">
        <f>INDEX('Tarieven ZM'!$G:$G,$W15)</f>
        <v>1000</v>
      </c>
      <c r="AD15" s="276">
        <f>-INDEX(Parameters!$B:$B,MATCH(AD$3,Parameters!$A:$A,0))*$AC15</f>
        <v>0</v>
      </c>
      <c r="AE15" s="276">
        <f>-INDEX(Parameters!$B:$B,MATCH(AE$3,Parameters!$A:$A,0))*$AC15</f>
        <v>0</v>
      </c>
      <c r="AF15" s="179">
        <f t="shared" ref="AF15:AF24" si="54">SUM(AC15:AE15)</f>
        <v>1000</v>
      </c>
      <c r="AG15" s="278">
        <f t="shared" ref="AG15:AG24" si="55">SUM(AB15,AF15)</f>
        <v>1027.7777777777778</v>
      </c>
      <c r="AH15" s="209"/>
      <c r="AI15" s="279">
        <f>MATCH($T15,'Tarieven W&amp;O'!$B:$B,0)</f>
        <v>205</v>
      </c>
      <c r="AJ15" s="179">
        <f>IF(AI15&lt;&gt;"nvt",INDEX('Tarieven W&amp;O'!$H:$H,$AI15),0)</f>
        <v>0</v>
      </c>
      <c r="AK15" s="179">
        <f>IF(AI15&lt;&gt;"nvt",INDEX('Tarieven W&amp;O'!$I:$I,$AI15),0)</f>
        <v>0</v>
      </c>
      <c r="AL15" s="277">
        <f>IF(AI15&lt;&gt;"nvt",-INDEX(Parameters!$B:$B,MATCH(AL$3&amp;$M15,Parameters!$A:$A,0))*(AJ15+AK15),0)</f>
        <v>0</v>
      </c>
      <c r="AM15" s="277"/>
      <c r="AN15" s="179">
        <f t="shared" ref="AN15:AN24" si="56">SUM(AJ15:AM15)</f>
        <v>0</v>
      </c>
      <c r="AO15" s="262">
        <f>AN15/INDEX(Parameters!$B:$B,MATCH("AfschrijftermijnVVE"&amp;12*$C15,Parameters!$A:$A,0))</f>
        <v>0</v>
      </c>
      <c r="AP15" s="179">
        <f>MATCH($U15,'Tarieven W&amp;O'!$B:$B,0)</f>
        <v>205</v>
      </c>
      <c r="AQ15" s="202">
        <f>IF(AP15&lt;&gt;"nvt",INDEX('Tarieven W&amp;O'!$G:$G,$AP15),0)</f>
        <v>0</v>
      </c>
      <c r="AR15" s="277">
        <f>-INDEX(Parameters!$B:$B,MATCH(AR$3&amp;M15&amp;$N15,Parameters!$A:$A,0))*(AQ15)</f>
        <v>0</v>
      </c>
      <c r="AS15" s="179"/>
      <c r="AT15" s="179"/>
      <c r="AU15" s="202">
        <f t="shared" ref="AU15:AU24" si="57">SUM(AQ15:AT15)</f>
        <v>0</v>
      </c>
      <c r="AV15" s="202">
        <f t="shared" ref="AV15:AV24" si="58">SUM(AO15,AU15)</f>
        <v>0</v>
      </c>
      <c r="AW15" s="202"/>
      <c r="AX15" s="202">
        <f>Parameters!$B$6*AV15</f>
        <v>0</v>
      </c>
      <c r="AY15" s="202">
        <v>0</v>
      </c>
      <c r="AZ15" s="202"/>
      <c r="BA15" s="202">
        <f t="shared" ref="BA15:BA24" si="59">SUM(AX15:AZ15)</f>
        <v>0</v>
      </c>
      <c r="BB15" s="202"/>
      <c r="BC15" s="278">
        <f t="shared" ref="BC15:BC24" si="60">SUM(AV15,BA15)</f>
        <v>0</v>
      </c>
      <c r="BD15" s="209"/>
      <c r="BE15" s="280">
        <f t="shared" ref="BE15:BE24" si="61">AG15-BC15</f>
        <v>1027.7777777777778</v>
      </c>
      <c r="BF15" s="264">
        <f t="shared" ref="BF15:BF24" si="62">IF(AG15=0,-999%,BE15/AG15)</f>
        <v>1</v>
      </c>
      <c r="BG15" s="274" t="b">
        <f t="shared" ref="BG15:BG24" si="63">BF15&lt;0</f>
        <v>0</v>
      </c>
      <c r="BI15" s="443" t="s">
        <v>538</v>
      </c>
      <c r="BJ15" s="281"/>
      <c r="BK15" s="203">
        <f>VLOOKUP(J15,'Tarieven ZM'!$B$7:$I$146,8,0)</f>
        <v>0</v>
      </c>
      <c r="BL15" s="203" t="str">
        <f t="shared" si="16"/>
        <v>ADSLStandard</v>
      </c>
      <c r="BM15" s="282">
        <v>0</v>
      </c>
      <c r="BN15" s="262">
        <f>BM15/INDEX(Parameters!$B:$B,MATCH("AfschrijftermijnVVE"&amp;12*$C15,Parameters!$A:$A,0))</f>
        <v>0</v>
      </c>
      <c r="BO15" s="262">
        <f>INDEX('inkoop ULL tbv Epacity'!I:I,MATCH($BL15,'inkoop ULL tbv Epacity'!H:H,0))</f>
        <v>0</v>
      </c>
      <c r="BP15" s="263">
        <f t="shared" ref="BP15:BP24" si="64">BN15+BO15</f>
        <v>0</v>
      </c>
      <c r="BR15" s="262">
        <f>Parameters!$B$12*AG15</f>
        <v>102.77777777777779</v>
      </c>
      <c r="BS15" s="262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SUM(Distributievergoedingen!$F$12,Distributievergoedingen!$I$12,Distributievergoedingen!$L$12,Distributievergoedingen!$O$12)*AF15+SUM(Distributievergoedingen!$O$12*AA15+Distributievergoedingen!$R$12+Distributievergoedingen!$U$12+Distributievergoedingen!$X$12)/(MAX(36,12*L15))</f>
        <v>112.77777777777777</v>
      </c>
      <c r="BT15" s="262"/>
      <c r="BU15" s="202">
        <f t="shared" ref="BU15:BU24" si="65">SUM(BR15:BT15)</f>
        <v>215.55555555555554</v>
      </c>
      <c r="BW15" s="278">
        <f t="shared" ref="BW15:BW24" si="66">SUM(BP15,BU15)</f>
        <v>215.55555555555554</v>
      </c>
      <c r="BY15" s="280">
        <f t="shared" ref="BY15:BY24" si="67">AG15-BW15</f>
        <v>812.22222222222229</v>
      </c>
      <c r="BZ15" s="264">
        <f t="shared" ref="BZ15:BZ24" si="68">IF(AG15=0,-999%,BY15/AG15)</f>
        <v>0.7902702702702703</v>
      </c>
      <c r="CA15" s="274" t="b">
        <f t="shared" ref="CA15:CA24" si="69">BZ15&lt;0</f>
        <v>0</v>
      </c>
    </row>
    <row r="16" spans="1:79" s="203" customFormat="1">
      <c r="A16" s="203" t="str">
        <f t="shared" si="48"/>
        <v>1ADSLPremiumkantooruren</v>
      </c>
      <c r="B16" s="203" t="str">
        <f t="shared" si="49"/>
        <v>1ADSLPremiumkantooruren</v>
      </c>
      <c r="C16" s="75">
        <v>1</v>
      </c>
      <c r="D16" s="75" t="s">
        <v>42</v>
      </c>
      <c r="E16" s="75" t="s">
        <v>70</v>
      </c>
      <c r="F16" s="438" t="s">
        <v>1250</v>
      </c>
      <c r="G16" s="438" t="s">
        <v>115</v>
      </c>
      <c r="H16" s="438" t="s">
        <v>115</v>
      </c>
      <c r="I16" s="438" t="s">
        <v>115</v>
      </c>
      <c r="J16" s="274" t="str">
        <f t="shared" si="50"/>
        <v>ADSLPremiumkantooruren</v>
      </c>
      <c r="L16" s="273">
        <f>INDEX(Mapping!$J:$J,MATCH(C$3&amp;C16,Mapping!$B:$B,0))</f>
        <v>1</v>
      </c>
      <c r="M16" s="179" t="str">
        <f>INDEX(Mapping!$H:$H,MATCH($E16,Mapping!$B:$B,0))</f>
        <v>WBA ZM Ethernet</v>
      </c>
      <c r="N16" s="179" t="str">
        <f>INDEX(Mapping!$J:$J,MATCH($J16,Mapping!$B:$B,0))</f>
        <v>ADSL</v>
      </c>
      <c r="O16" s="179" t="str">
        <f>INDEX(Mapping!$K:$K,MATCH($J16,Mapping!$B:$B,0))</f>
        <v>Standard</v>
      </c>
      <c r="P16"/>
      <c r="Q16" s="179"/>
      <c r="R16" s="179" t="str">
        <f>INDEX(Mapping!$H:$H,MATCH($H16,Mapping!$B:$B,0))</f>
        <v>nvt</v>
      </c>
      <c r="S16" s="179" t="str">
        <f>INDEX(Mapping!$H:$H,MATCH($I16,Mapping!$B:$B,0))</f>
        <v>nvt</v>
      </c>
      <c r="T16" s="179" t="str">
        <f t="shared" si="51"/>
        <v>WBA ZM EthernetADSLStandard</v>
      </c>
      <c r="U16" s="274" t="str">
        <f t="shared" si="52"/>
        <v>WBA ZM EthernetADSLStandard</v>
      </c>
      <c r="W16" s="273">
        <f>MATCH($J16,'Tarieven ZM'!$B:$B,0)</f>
        <v>126</v>
      </c>
      <c r="X16" s="179">
        <f>INDEX('Tarieven ZM'!$H:$H,$W16)</f>
        <v>1000</v>
      </c>
      <c r="Y16" s="276">
        <f>-INDEX(Parameters!$B:$B,MATCH(Y$3,Parameters!$A:$A,0))*$X16</f>
        <v>0</v>
      </c>
      <c r="Z16" s="277">
        <f>-INDEX(Parameters!$B:$B,MATCH(Z$3,Parameters!$A:$A,0))*$X16</f>
        <v>0</v>
      </c>
      <c r="AA16" s="179">
        <f t="shared" si="53"/>
        <v>1000</v>
      </c>
      <c r="AB16" s="179">
        <f>AA16/INDEX(Parameters!$B:$B,MATCH("AfschrijftermijnVVE"&amp;12*$C16,Parameters!$A:$A,0))</f>
        <v>27.777777777777779</v>
      </c>
      <c r="AC16" s="179">
        <f>INDEX('Tarieven ZM'!$G:$G,$W16)</f>
        <v>1000</v>
      </c>
      <c r="AD16" s="276">
        <f>-INDEX(Parameters!$B:$B,MATCH(AD$3,Parameters!$A:$A,0))*$AC16</f>
        <v>0</v>
      </c>
      <c r="AE16" s="276">
        <f>-INDEX(Parameters!$B:$B,MATCH(AE$3,Parameters!$A:$A,0))*$AC16</f>
        <v>0</v>
      </c>
      <c r="AF16" s="179">
        <f t="shared" si="54"/>
        <v>1000</v>
      </c>
      <c r="AG16" s="278">
        <f t="shared" si="55"/>
        <v>1027.7777777777778</v>
      </c>
      <c r="AH16" s="209"/>
      <c r="AI16" s="279">
        <f>MATCH($T16,'Tarieven W&amp;O'!$B:$B,0)</f>
        <v>210</v>
      </c>
      <c r="AJ16" s="179">
        <f>IF(AI16&lt;&gt;"nvt",INDEX('Tarieven W&amp;O'!$H:$H,$AI16),0)</f>
        <v>0</v>
      </c>
      <c r="AK16" s="179">
        <f>IF(AI16&lt;&gt;"nvt",INDEX('Tarieven W&amp;O'!$I:$I,$AI16),0)</f>
        <v>0</v>
      </c>
      <c r="AL16" s="277">
        <f>IF(AI16&lt;&gt;"nvt",-INDEX(Parameters!$B:$B,MATCH(AL$3&amp;$M16,Parameters!$A:$A,0))*(AJ16+AK16),0)</f>
        <v>0</v>
      </c>
      <c r="AM16" s="277"/>
      <c r="AN16" s="179">
        <f t="shared" si="56"/>
        <v>0</v>
      </c>
      <c r="AO16" s="262">
        <f>AN16/INDEX(Parameters!$B:$B,MATCH("AfschrijftermijnVVE"&amp;12*$C16,Parameters!$A:$A,0))</f>
        <v>0</v>
      </c>
      <c r="AP16" s="179">
        <f>MATCH($U16,'Tarieven W&amp;O'!$B:$B,0)</f>
        <v>210</v>
      </c>
      <c r="AQ16" s="202">
        <f>IF(AP16&lt;&gt;"nvt",INDEX('Tarieven W&amp;O'!$G:$G,$AP16),0)</f>
        <v>0</v>
      </c>
      <c r="AR16" s="277">
        <f>-INDEX(Parameters!$B:$B,MATCH(AR$3&amp;M16&amp;$N16,Parameters!$A:$A,0))*(AQ16)</f>
        <v>0</v>
      </c>
      <c r="AS16" s="179"/>
      <c r="AT16" s="179"/>
      <c r="AU16" s="202">
        <f t="shared" si="57"/>
        <v>0</v>
      </c>
      <c r="AV16" s="202">
        <f t="shared" si="58"/>
        <v>0</v>
      </c>
      <c r="AW16" s="202"/>
      <c r="AX16" s="202">
        <f>Parameters!$B$6*AV16</f>
        <v>0</v>
      </c>
      <c r="AY16" s="202">
        <v>0</v>
      </c>
      <c r="AZ16" s="202"/>
      <c r="BA16" s="202">
        <f t="shared" si="59"/>
        <v>0</v>
      </c>
      <c r="BB16" s="202"/>
      <c r="BC16" s="278">
        <f t="shared" si="60"/>
        <v>0</v>
      </c>
      <c r="BD16" s="209"/>
      <c r="BE16" s="280">
        <f t="shared" si="61"/>
        <v>1027.7777777777778</v>
      </c>
      <c r="BF16" s="264">
        <f t="shared" si="62"/>
        <v>1</v>
      </c>
      <c r="BG16" s="274" t="b">
        <f t="shared" si="63"/>
        <v>0</v>
      </c>
      <c r="BI16" s="443" t="s">
        <v>538</v>
      </c>
      <c r="BJ16" s="281"/>
      <c r="BK16" s="203">
        <f>VLOOKUP(J16,'Tarieven ZM'!$B$7:$I$146,8,0)</f>
        <v>0</v>
      </c>
      <c r="BL16" s="203" t="str">
        <f t="shared" si="16"/>
        <v>ADSLStandard</v>
      </c>
      <c r="BM16" s="282">
        <v>0</v>
      </c>
      <c r="BN16" s="262">
        <f>BM16/INDEX(Parameters!$B:$B,MATCH("AfschrijftermijnVVE"&amp;12*$C16,Parameters!$A:$A,0))</f>
        <v>0</v>
      </c>
      <c r="BO16" s="262">
        <f>INDEX('inkoop ULL tbv Epacity'!I:I,MATCH($BL16,'inkoop ULL tbv Epacity'!H:H,0))</f>
        <v>0</v>
      </c>
      <c r="BP16" s="263">
        <f t="shared" si="64"/>
        <v>0</v>
      </c>
      <c r="BR16" s="262">
        <f>Parameters!$B$12*AG16</f>
        <v>102.77777777777779</v>
      </c>
      <c r="BS16" s="262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SUM(Distributievergoedingen!$F$12,Distributievergoedingen!$I$12,Distributievergoedingen!$L$12,Distributievergoedingen!$O$12)*AF16+SUM(Distributievergoedingen!$O$12*AA16+Distributievergoedingen!$R$12+Distributievergoedingen!$U$12+Distributievergoedingen!$X$12)/(MAX(36,12*L16))</f>
        <v>112.77777777777777</v>
      </c>
      <c r="BT16" s="262"/>
      <c r="BU16" s="202">
        <f t="shared" si="65"/>
        <v>215.55555555555554</v>
      </c>
      <c r="BW16" s="278">
        <f t="shared" si="66"/>
        <v>215.55555555555554</v>
      </c>
      <c r="BY16" s="280">
        <f t="shared" si="67"/>
        <v>812.22222222222229</v>
      </c>
      <c r="BZ16" s="264">
        <f t="shared" si="68"/>
        <v>0.7902702702702703</v>
      </c>
      <c r="CA16" s="274" t="b">
        <f t="shared" si="69"/>
        <v>0</v>
      </c>
    </row>
    <row r="17" spans="1:79" s="203" customFormat="1">
      <c r="A17" s="203" t="str">
        <f t="shared" si="48"/>
        <v>1SDSLEntrykantooruren</v>
      </c>
      <c r="B17" s="203" t="str">
        <f t="shared" si="49"/>
        <v>1SDSLEntrykantooruren</v>
      </c>
      <c r="C17" s="75">
        <v>1</v>
      </c>
      <c r="D17" s="75" t="s">
        <v>64</v>
      </c>
      <c r="E17" s="75" t="s">
        <v>78</v>
      </c>
      <c r="F17" s="438" t="s">
        <v>1250</v>
      </c>
      <c r="G17" s="438" t="s">
        <v>115</v>
      </c>
      <c r="H17" s="438" t="s">
        <v>115</v>
      </c>
      <c r="I17" s="438" t="s">
        <v>115</v>
      </c>
      <c r="J17" s="274" t="str">
        <f t="shared" si="50"/>
        <v>SDSLEntrykantooruren</v>
      </c>
      <c r="L17" s="273">
        <f>INDEX(Mapping!$J:$J,MATCH(C$3&amp;C17,Mapping!$B:$B,0))</f>
        <v>1</v>
      </c>
      <c r="M17" s="179" t="str">
        <f>INDEX(Mapping!$H:$H,MATCH($E17,Mapping!$B:$B,0))</f>
        <v>WBA CM Ethernet</v>
      </c>
      <c r="N17" s="179" t="str">
        <f>INDEX(Mapping!$J:$J,MATCH($J17,Mapping!$B:$B,0))</f>
        <v>SDSL</v>
      </c>
      <c r="O17" s="179" t="str">
        <f>INDEX(Mapping!$K:$K,MATCH($J17,Mapping!$B:$B,0))</f>
        <v>Standard</v>
      </c>
      <c r="P17"/>
      <c r="Q17" s="179"/>
      <c r="R17" s="179" t="str">
        <f>INDEX(Mapping!$H:$H,MATCH($H17,Mapping!$B:$B,0))</f>
        <v>nvt</v>
      </c>
      <c r="S17" s="179" t="str">
        <f>INDEX(Mapping!$H:$H,MATCH($I17,Mapping!$B:$B,0))</f>
        <v>nvt</v>
      </c>
      <c r="T17" s="179" t="str">
        <f t="shared" si="51"/>
        <v>WBA CM EthernetSDSLStandard</v>
      </c>
      <c r="U17" s="274" t="str">
        <f t="shared" si="52"/>
        <v>WBA CM EthernetSDSLStandard</v>
      </c>
      <c r="W17" s="273">
        <f>MATCH($J17,'Tarieven ZM'!$B:$B,0)</f>
        <v>127</v>
      </c>
      <c r="X17" s="179">
        <f>INDEX('Tarieven ZM'!$H:$H,$W17)</f>
        <v>1000</v>
      </c>
      <c r="Y17" s="276">
        <f>-INDEX(Parameters!$B:$B,MATCH(Y$3,Parameters!$A:$A,0))*$X17</f>
        <v>0</v>
      </c>
      <c r="Z17" s="277">
        <f>-INDEX(Parameters!$B:$B,MATCH(Z$3,Parameters!$A:$A,0))*$X17</f>
        <v>0</v>
      </c>
      <c r="AA17" s="179">
        <f t="shared" si="53"/>
        <v>1000</v>
      </c>
      <c r="AB17" s="179">
        <f>AA17/INDEX(Parameters!$B:$B,MATCH("AfschrijftermijnVVE"&amp;12*$C17,Parameters!$A:$A,0))</f>
        <v>27.777777777777779</v>
      </c>
      <c r="AC17" s="179">
        <f>INDEX('Tarieven ZM'!$G:$G,$W17)</f>
        <v>1000</v>
      </c>
      <c r="AD17" s="276">
        <f>-INDEX(Parameters!$B:$B,MATCH(AD$3,Parameters!$A:$A,0))*$AC17</f>
        <v>0</v>
      </c>
      <c r="AE17" s="276">
        <f>-INDEX(Parameters!$B:$B,MATCH(AE$3,Parameters!$A:$A,0))*$AC17</f>
        <v>0</v>
      </c>
      <c r="AF17" s="179">
        <f t="shared" si="54"/>
        <v>1000</v>
      </c>
      <c r="AG17" s="278">
        <f t="shared" si="55"/>
        <v>1027.7777777777778</v>
      </c>
      <c r="AH17" s="209"/>
      <c r="AI17" s="279">
        <f>MATCH($T17,'Tarieven W&amp;O'!$B:$B,0)</f>
        <v>207</v>
      </c>
      <c r="AJ17" s="179">
        <f>IF(AI17&lt;&gt;"nvt",INDEX('Tarieven W&amp;O'!$H:$H,$AI17),0)</f>
        <v>0</v>
      </c>
      <c r="AK17" s="179">
        <f>IF(AI17&lt;&gt;"nvt",INDEX('Tarieven W&amp;O'!$I:$I,$AI17),0)</f>
        <v>0</v>
      </c>
      <c r="AL17" s="277">
        <f>IF(AI17&lt;&gt;"nvt",-INDEX(Parameters!$B:$B,MATCH(AL$3&amp;$M17,Parameters!$A:$A,0))*(AJ17+AK17),0)</f>
        <v>0</v>
      </c>
      <c r="AM17" s="277"/>
      <c r="AN17" s="179">
        <f t="shared" si="56"/>
        <v>0</v>
      </c>
      <c r="AO17" s="262">
        <f>AN17/INDEX(Parameters!$B:$B,MATCH("AfschrijftermijnVVE"&amp;12*$C17,Parameters!$A:$A,0))</f>
        <v>0</v>
      </c>
      <c r="AP17" s="179">
        <f>MATCH($U17,'Tarieven W&amp;O'!$B:$B,0)</f>
        <v>207</v>
      </c>
      <c r="AQ17" s="202">
        <f>IF(AP17&lt;&gt;"nvt",INDEX('Tarieven W&amp;O'!$G:$G,$AP17),0)</f>
        <v>0</v>
      </c>
      <c r="AR17" s="277">
        <f>-INDEX(Parameters!$B:$B,MATCH(AR$3&amp;M17&amp;$N17,Parameters!$A:$A,0))*(AQ17)</f>
        <v>0</v>
      </c>
      <c r="AS17" s="179"/>
      <c r="AT17" s="179"/>
      <c r="AU17" s="202">
        <f t="shared" si="57"/>
        <v>0</v>
      </c>
      <c r="AV17" s="202">
        <f t="shared" si="58"/>
        <v>0</v>
      </c>
      <c r="AW17" s="202"/>
      <c r="AX17" s="202">
        <f>Parameters!$B$6*AV17</f>
        <v>0</v>
      </c>
      <c r="AY17" s="202">
        <v>0</v>
      </c>
      <c r="AZ17" s="202"/>
      <c r="BA17" s="202">
        <f t="shared" si="59"/>
        <v>0</v>
      </c>
      <c r="BB17" s="202"/>
      <c r="BC17" s="278">
        <f t="shared" si="60"/>
        <v>0</v>
      </c>
      <c r="BD17" s="209"/>
      <c r="BE17" s="280">
        <f t="shared" si="61"/>
        <v>1027.7777777777778</v>
      </c>
      <c r="BF17" s="264">
        <f t="shared" si="62"/>
        <v>1</v>
      </c>
      <c r="BG17" s="274" t="b">
        <f t="shared" si="63"/>
        <v>0</v>
      </c>
      <c r="BI17" s="443" t="s">
        <v>538</v>
      </c>
      <c r="BJ17" s="281"/>
      <c r="BK17" s="203">
        <f>VLOOKUP(J17,'Tarieven ZM'!$B$7:$I$146,8,0)</f>
        <v>0</v>
      </c>
      <c r="BL17" s="203" t="str">
        <f t="shared" si="16"/>
        <v>SDSLStandard</v>
      </c>
      <c r="BM17" s="282">
        <v>0</v>
      </c>
      <c r="BN17" s="262">
        <f>BM17/INDEX(Parameters!$B:$B,MATCH("AfschrijftermijnVVE"&amp;12*$C17,Parameters!$A:$A,0))</f>
        <v>0</v>
      </c>
      <c r="BO17" s="262">
        <f>INDEX('inkoop ULL tbv Epacity'!I:I,MATCH($BL17,'inkoop ULL tbv Epacity'!H:H,0))</f>
        <v>0</v>
      </c>
      <c r="BP17" s="263">
        <f t="shared" si="64"/>
        <v>0</v>
      </c>
      <c r="BR17" s="262">
        <f>Parameters!$B$12*AG17</f>
        <v>102.77777777777779</v>
      </c>
      <c r="BS17" s="262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SUM(Distributievergoedingen!$F$12,Distributievergoedingen!$I$12,Distributievergoedingen!$L$12,Distributievergoedingen!$O$12)*AF17+SUM(Distributievergoedingen!$O$12*AA17+Distributievergoedingen!$R$12+Distributievergoedingen!$U$12+Distributievergoedingen!$X$12)/(MAX(36,12*L17))</f>
        <v>112.77777777777777</v>
      </c>
      <c r="BT17" s="262"/>
      <c r="BU17" s="202">
        <f t="shared" si="65"/>
        <v>215.55555555555554</v>
      </c>
      <c r="BW17" s="278">
        <f t="shared" si="66"/>
        <v>215.55555555555554</v>
      </c>
      <c r="BY17" s="280">
        <f t="shared" si="67"/>
        <v>812.22222222222229</v>
      </c>
      <c r="BZ17" s="264">
        <f t="shared" si="68"/>
        <v>0.7902702702702703</v>
      </c>
      <c r="CA17" s="274" t="b">
        <f t="shared" si="69"/>
        <v>0</v>
      </c>
    </row>
    <row r="18" spans="1:79" s="203" customFormat="1">
      <c r="A18" s="203" t="str">
        <f t="shared" si="48"/>
        <v>1SDSLPremiumkantooruren</v>
      </c>
      <c r="B18" s="203" t="str">
        <f t="shared" si="49"/>
        <v>1SDSLPremiumkantooruren</v>
      </c>
      <c r="C18" s="75">
        <v>1</v>
      </c>
      <c r="D18" s="75" t="s">
        <v>64</v>
      </c>
      <c r="E18" s="75" t="s">
        <v>70</v>
      </c>
      <c r="F18" s="438" t="s">
        <v>1250</v>
      </c>
      <c r="G18" s="438" t="s">
        <v>115</v>
      </c>
      <c r="H18" s="438" t="s">
        <v>115</v>
      </c>
      <c r="I18" s="438" t="s">
        <v>115</v>
      </c>
      <c r="J18" s="274" t="str">
        <f t="shared" si="50"/>
        <v>SDSLPremiumkantooruren</v>
      </c>
      <c r="L18" s="273">
        <f>INDEX(Mapping!$J:$J,MATCH(C$3&amp;C18,Mapping!$B:$B,0))</f>
        <v>1</v>
      </c>
      <c r="M18" s="179" t="str">
        <f>INDEX(Mapping!$H:$H,MATCH($E18,Mapping!$B:$B,0))</f>
        <v>WBA ZM Ethernet</v>
      </c>
      <c r="N18" s="179" t="str">
        <f>INDEX(Mapping!$J:$J,MATCH($J18,Mapping!$B:$B,0))</f>
        <v>SDSL</v>
      </c>
      <c r="O18" s="179" t="str">
        <f>INDEX(Mapping!$K:$K,MATCH($J18,Mapping!$B:$B,0))</f>
        <v>Standard</v>
      </c>
      <c r="P18"/>
      <c r="Q18" s="179"/>
      <c r="R18" s="179" t="str">
        <f>INDEX(Mapping!$H:$H,MATCH($H18,Mapping!$B:$B,0))</f>
        <v>nvt</v>
      </c>
      <c r="S18" s="179" t="str">
        <f>INDEX(Mapping!$H:$H,MATCH($I18,Mapping!$B:$B,0))</f>
        <v>nvt</v>
      </c>
      <c r="T18" s="179" t="str">
        <f t="shared" si="51"/>
        <v>WBA ZM EthernetSDSLStandard</v>
      </c>
      <c r="U18" s="274" t="str">
        <f t="shared" si="52"/>
        <v>WBA ZM EthernetSDSLStandard</v>
      </c>
      <c r="W18" s="273">
        <f>MATCH($J18,'Tarieven ZM'!$B:$B,0)</f>
        <v>128</v>
      </c>
      <c r="X18" s="179">
        <f>INDEX('Tarieven ZM'!$H:$H,$W18)</f>
        <v>1000</v>
      </c>
      <c r="Y18" s="276">
        <f>-INDEX(Parameters!$B:$B,MATCH(Y$3,Parameters!$A:$A,0))*$X18</f>
        <v>0</v>
      </c>
      <c r="Z18" s="277">
        <f>-INDEX(Parameters!$B:$B,MATCH(Z$3,Parameters!$A:$A,0))*$X18</f>
        <v>0</v>
      </c>
      <c r="AA18" s="179">
        <f t="shared" si="53"/>
        <v>1000</v>
      </c>
      <c r="AB18" s="179">
        <f>AA18/INDEX(Parameters!$B:$B,MATCH("AfschrijftermijnVVE"&amp;12*$C18,Parameters!$A:$A,0))</f>
        <v>27.777777777777779</v>
      </c>
      <c r="AC18" s="179">
        <f>INDEX('Tarieven ZM'!$G:$G,$W18)</f>
        <v>1000</v>
      </c>
      <c r="AD18" s="276">
        <f>-INDEX(Parameters!$B:$B,MATCH(AD$3,Parameters!$A:$A,0))*$AC18</f>
        <v>0</v>
      </c>
      <c r="AE18" s="276">
        <f>-INDEX(Parameters!$B:$B,MATCH(AE$3,Parameters!$A:$A,0))*$AC18</f>
        <v>0</v>
      </c>
      <c r="AF18" s="179">
        <f t="shared" si="54"/>
        <v>1000</v>
      </c>
      <c r="AG18" s="278">
        <f t="shared" si="55"/>
        <v>1027.7777777777778</v>
      </c>
      <c r="AH18" s="209"/>
      <c r="AI18" s="279">
        <f>MATCH($T18,'Tarieven W&amp;O'!$B:$B,0)</f>
        <v>212</v>
      </c>
      <c r="AJ18" s="179">
        <f>IF(AI18&lt;&gt;"nvt",INDEX('Tarieven W&amp;O'!$H:$H,$AI18),0)</f>
        <v>0</v>
      </c>
      <c r="AK18" s="179">
        <f>IF(AI18&lt;&gt;"nvt",INDEX('Tarieven W&amp;O'!$I:$I,$AI18),0)</f>
        <v>0</v>
      </c>
      <c r="AL18" s="277">
        <f>IF(AI18&lt;&gt;"nvt",-INDEX(Parameters!$B:$B,MATCH(AL$3&amp;$M18,Parameters!$A:$A,0))*(AJ18+AK18),0)</f>
        <v>0</v>
      </c>
      <c r="AM18" s="277"/>
      <c r="AN18" s="179">
        <f t="shared" si="56"/>
        <v>0</v>
      </c>
      <c r="AO18" s="262">
        <f>AN18/INDEX(Parameters!$B:$B,MATCH("AfschrijftermijnVVE"&amp;12*$C18,Parameters!$A:$A,0))</f>
        <v>0</v>
      </c>
      <c r="AP18" s="179">
        <f>MATCH($U18,'Tarieven W&amp;O'!$B:$B,0)</f>
        <v>212</v>
      </c>
      <c r="AQ18" s="202">
        <f>IF(AP18&lt;&gt;"nvt",INDEX('Tarieven W&amp;O'!$G:$G,$AP18),0)</f>
        <v>0</v>
      </c>
      <c r="AR18" s="277">
        <f>-INDEX(Parameters!$B:$B,MATCH(AR$3&amp;M18&amp;$N18,Parameters!$A:$A,0))*(AQ18)</f>
        <v>0</v>
      </c>
      <c r="AS18" s="179"/>
      <c r="AT18" s="179"/>
      <c r="AU18" s="202">
        <f t="shared" si="57"/>
        <v>0</v>
      </c>
      <c r="AV18" s="202">
        <f t="shared" si="58"/>
        <v>0</v>
      </c>
      <c r="AW18" s="202"/>
      <c r="AX18" s="202">
        <f>Parameters!$B$6*AV18</f>
        <v>0</v>
      </c>
      <c r="AY18" s="202">
        <v>0</v>
      </c>
      <c r="AZ18" s="202"/>
      <c r="BA18" s="202">
        <f t="shared" si="59"/>
        <v>0</v>
      </c>
      <c r="BB18" s="202"/>
      <c r="BC18" s="278">
        <f t="shared" si="60"/>
        <v>0</v>
      </c>
      <c r="BD18" s="209"/>
      <c r="BE18" s="280">
        <f t="shared" si="61"/>
        <v>1027.7777777777778</v>
      </c>
      <c r="BF18" s="264">
        <f t="shared" si="62"/>
        <v>1</v>
      </c>
      <c r="BG18" s="274" t="b">
        <f t="shared" si="63"/>
        <v>0</v>
      </c>
      <c r="BI18" s="443" t="s">
        <v>538</v>
      </c>
      <c r="BJ18" s="281"/>
      <c r="BK18" s="203">
        <f>VLOOKUP(J18,'Tarieven ZM'!$B$7:$I$146,8,0)</f>
        <v>0</v>
      </c>
      <c r="BL18" s="203" t="str">
        <f t="shared" si="16"/>
        <v>SDSLStandard</v>
      </c>
      <c r="BM18" s="282">
        <v>0</v>
      </c>
      <c r="BN18" s="262">
        <f>BM18/INDEX(Parameters!$B:$B,MATCH("AfschrijftermijnVVE"&amp;12*$C18,Parameters!$A:$A,0))</f>
        <v>0</v>
      </c>
      <c r="BO18" s="262">
        <f>INDEX('inkoop ULL tbv Epacity'!I:I,MATCH($BL18,'inkoop ULL tbv Epacity'!H:H,0))</f>
        <v>0</v>
      </c>
      <c r="BP18" s="263">
        <f t="shared" si="64"/>
        <v>0</v>
      </c>
      <c r="BR18" s="262">
        <f>Parameters!$B$12*AG18</f>
        <v>102.77777777777779</v>
      </c>
      <c r="BS18" s="262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SUM(Distributievergoedingen!$F$12,Distributievergoedingen!$I$12,Distributievergoedingen!$L$12,Distributievergoedingen!$O$12)*AF18+SUM(Distributievergoedingen!$O$12*AA18+Distributievergoedingen!$R$12+Distributievergoedingen!$U$12+Distributievergoedingen!$X$12)/(MAX(36,12*L18))</f>
        <v>112.77777777777777</v>
      </c>
      <c r="BT18" s="262"/>
      <c r="BU18" s="202">
        <f t="shared" si="65"/>
        <v>215.55555555555554</v>
      </c>
      <c r="BW18" s="278">
        <f t="shared" si="66"/>
        <v>215.55555555555554</v>
      </c>
      <c r="BY18" s="280">
        <f t="shared" si="67"/>
        <v>812.22222222222229</v>
      </c>
      <c r="BZ18" s="264">
        <f t="shared" si="68"/>
        <v>0.7902702702702703</v>
      </c>
      <c r="CA18" s="274" t="b">
        <f t="shared" si="69"/>
        <v>0</v>
      </c>
    </row>
    <row r="19" spans="1:79" s="203" customFormat="1">
      <c r="A19" s="203" t="str">
        <f t="shared" si="48"/>
        <v>1VDSLEntrykantooruren</v>
      </c>
      <c r="B19" s="203" t="str">
        <f t="shared" si="49"/>
        <v>1VDSLEntrykantooruren</v>
      </c>
      <c r="C19" s="438">
        <v>1</v>
      </c>
      <c r="D19" s="438" t="s">
        <v>77</v>
      </c>
      <c r="E19" s="438" t="s">
        <v>78</v>
      </c>
      <c r="F19" s="438" t="s">
        <v>1250</v>
      </c>
      <c r="G19" s="438" t="s">
        <v>115</v>
      </c>
      <c r="H19" s="438" t="s">
        <v>115</v>
      </c>
      <c r="I19" s="438" t="s">
        <v>115</v>
      </c>
      <c r="J19" s="274" t="str">
        <f t="shared" si="50"/>
        <v>VDSLEntrykantooruren</v>
      </c>
      <c r="L19" s="273">
        <f>INDEX(Mapping!$J:$J,MATCH(C$3&amp;C19,Mapping!$B:$B,0))</f>
        <v>1</v>
      </c>
      <c r="M19" s="179" t="str">
        <f>INDEX(Mapping!$H:$H,MATCH($E19,Mapping!$B:$B,0))</f>
        <v>WBA CM Ethernet</v>
      </c>
      <c r="N19" s="179" t="str">
        <f>INDEX(Mapping!$J:$J,MATCH($J19,Mapping!$B:$B,0))</f>
        <v>VDSL</v>
      </c>
      <c r="O19" s="179" t="str">
        <f>INDEX(Mapping!$K:$K,MATCH($J19,Mapping!$B:$B,0))</f>
        <v>Standard</v>
      </c>
      <c r="P19"/>
      <c r="Q19" s="179"/>
      <c r="R19" s="179" t="str">
        <f>INDEX(Mapping!$H:$H,MATCH($H19,Mapping!$B:$B,0))</f>
        <v>nvt</v>
      </c>
      <c r="S19" s="179" t="str">
        <f>INDEX(Mapping!$H:$H,MATCH($I19,Mapping!$B:$B,0))</f>
        <v>nvt</v>
      </c>
      <c r="T19" s="179" t="str">
        <f t="shared" si="51"/>
        <v>WBA CM EthernetVDSLStandard</v>
      </c>
      <c r="U19" s="274" t="str">
        <f t="shared" si="52"/>
        <v>WBA CM EthernetVDSLStandard</v>
      </c>
      <c r="W19" s="273">
        <f>MATCH($J19,'Tarieven ZM'!$B:$B,0)</f>
        <v>129</v>
      </c>
      <c r="X19" s="179">
        <f>INDEX('Tarieven ZM'!$H:$H,$W19)</f>
        <v>1000</v>
      </c>
      <c r="Y19" s="276">
        <f>-INDEX(Parameters!$B:$B,MATCH(Y$3,Parameters!$A:$A,0))*$X19</f>
        <v>0</v>
      </c>
      <c r="Z19" s="277">
        <f>-INDEX(Parameters!$B:$B,MATCH(Z$3,Parameters!$A:$A,0))*$X19</f>
        <v>0</v>
      </c>
      <c r="AA19" s="179">
        <f t="shared" si="53"/>
        <v>1000</v>
      </c>
      <c r="AB19" s="179">
        <f>AA19/INDEX(Parameters!$B:$B,MATCH("AfschrijftermijnVVE"&amp;12*$C19,Parameters!$A:$A,0))</f>
        <v>27.777777777777779</v>
      </c>
      <c r="AC19" s="179">
        <f>INDEX('Tarieven ZM'!$G:$G,$W19)</f>
        <v>1000</v>
      </c>
      <c r="AD19" s="276">
        <f>-INDEX(Parameters!$B:$B,MATCH(AD$3,Parameters!$A:$A,0))*$AC19</f>
        <v>0</v>
      </c>
      <c r="AE19" s="276">
        <f>-INDEX(Parameters!$B:$B,MATCH(AE$3,Parameters!$A:$A,0))*$AC19</f>
        <v>0</v>
      </c>
      <c r="AF19" s="179">
        <f t="shared" si="54"/>
        <v>1000</v>
      </c>
      <c r="AG19" s="278">
        <f t="shared" si="55"/>
        <v>1027.7777777777778</v>
      </c>
      <c r="AH19" s="209"/>
      <c r="AI19" s="279">
        <f>MATCH($T19,'Tarieven W&amp;O'!$B:$B,0)</f>
        <v>206</v>
      </c>
      <c r="AJ19" s="179">
        <f>IF(AI19&lt;&gt;"nvt",INDEX('Tarieven W&amp;O'!$H:$H,$AI19),0)</f>
        <v>0</v>
      </c>
      <c r="AK19" s="179">
        <f>IF(AI19&lt;&gt;"nvt",INDEX('Tarieven W&amp;O'!$I:$I,$AI19),0)</f>
        <v>0</v>
      </c>
      <c r="AL19" s="277">
        <f>IF(AI19&lt;&gt;"nvt",-INDEX(Parameters!$B:$B,MATCH(AL$3&amp;$M19,Parameters!$A:$A,0))*(AJ19+AK19),0)</f>
        <v>0</v>
      </c>
      <c r="AM19" s="277"/>
      <c r="AN19" s="179">
        <f t="shared" si="56"/>
        <v>0</v>
      </c>
      <c r="AO19" s="262">
        <f>AN19/INDEX(Parameters!$B:$B,MATCH("AfschrijftermijnVVE"&amp;12*$C19,Parameters!$A:$A,0))</f>
        <v>0</v>
      </c>
      <c r="AP19" s="179">
        <f>MATCH($U19,'Tarieven W&amp;O'!$B:$B,0)</f>
        <v>206</v>
      </c>
      <c r="AQ19" s="202">
        <f>IF(AP19&lt;&gt;"nvt",INDEX('Tarieven W&amp;O'!$G:$G,$AP19),0)</f>
        <v>0</v>
      </c>
      <c r="AR19" s="277">
        <f>-INDEX(Parameters!$B:$B,MATCH(AR$3&amp;M19&amp;$N19,Parameters!$A:$A,0))*(AQ19)</f>
        <v>0</v>
      </c>
      <c r="AS19" s="179"/>
      <c r="AT19" s="179"/>
      <c r="AU19" s="202">
        <f t="shared" si="57"/>
        <v>0</v>
      </c>
      <c r="AV19" s="202">
        <f t="shared" si="58"/>
        <v>0</v>
      </c>
      <c r="AW19" s="202"/>
      <c r="AX19" s="202">
        <f>Parameters!$B$6*AV19</f>
        <v>0</v>
      </c>
      <c r="AY19" s="202">
        <v>0</v>
      </c>
      <c r="AZ19" s="202"/>
      <c r="BA19" s="202">
        <f t="shared" si="59"/>
        <v>0</v>
      </c>
      <c r="BB19" s="202"/>
      <c r="BC19" s="278">
        <f t="shared" si="60"/>
        <v>0</v>
      </c>
      <c r="BD19" s="209"/>
      <c r="BE19" s="280">
        <f t="shared" si="61"/>
        <v>1027.7777777777778</v>
      </c>
      <c r="BF19" s="264">
        <f t="shared" si="62"/>
        <v>1</v>
      </c>
      <c r="BG19" s="274" t="b">
        <f t="shared" si="63"/>
        <v>0</v>
      </c>
      <c r="BI19" s="443" t="s">
        <v>538</v>
      </c>
      <c r="BJ19" s="281"/>
      <c r="BK19" s="203">
        <f>VLOOKUP(J19,'Tarieven ZM'!$B$7:$I$146,8,0)</f>
        <v>0</v>
      </c>
      <c r="BL19" s="203" t="str">
        <f t="shared" si="16"/>
        <v>VDSLStandard</v>
      </c>
      <c r="BM19" s="282">
        <v>0</v>
      </c>
      <c r="BN19" s="262">
        <f>BM19/INDEX(Parameters!$B:$B,MATCH("AfschrijftermijnVVE"&amp;12*$C19,Parameters!$A:$A,0))</f>
        <v>0</v>
      </c>
      <c r="BO19" s="262">
        <f>INDEX('inkoop ULL tbv Epacity'!I:I,MATCH($BL19,'inkoop ULL tbv Epacity'!H:H,0))</f>
        <v>0</v>
      </c>
      <c r="BP19" s="263">
        <f t="shared" si="64"/>
        <v>0</v>
      </c>
      <c r="BR19" s="262">
        <f>Parameters!$B$12*AG19</f>
        <v>102.77777777777779</v>
      </c>
      <c r="BS19" s="262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SUM(Distributievergoedingen!$F$12,Distributievergoedingen!$I$12,Distributievergoedingen!$L$12,Distributievergoedingen!$O$12)*AF19+SUM(Distributievergoedingen!$O$12*AA19+Distributievergoedingen!$R$12+Distributievergoedingen!$U$12+Distributievergoedingen!$X$12)/(MAX(36,12*L19))</f>
        <v>112.77777777777777</v>
      </c>
      <c r="BT19" s="262"/>
      <c r="BU19" s="202">
        <f t="shared" si="65"/>
        <v>215.55555555555554</v>
      </c>
      <c r="BW19" s="278">
        <f t="shared" si="66"/>
        <v>215.55555555555554</v>
      </c>
      <c r="BY19" s="280">
        <f t="shared" si="67"/>
        <v>812.22222222222229</v>
      </c>
      <c r="BZ19" s="264">
        <f t="shared" si="68"/>
        <v>0.7902702702702703</v>
      </c>
      <c r="CA19" s="274" t="b">
        <f t="shared" si="69"/>
        <v>0</v>
      </c>
    </row>
    <row r="20" spans="1:79" s="203" customFormat="1">
      <c r="A20" s="203" t="str">
        <f t="shared" si="48"/>
        <v>1VDSLPremiumkantooruren</v>
      </c>
      <c r="B20" s="203" t="str">
        <f t="shared" si="49"/>
        <v>1VDSLPremiumkantooruren</v>
      </c>
      <c r="C20" s="438">
        <v>1</v>
      </c>
      <c r="D20" s="438" t="s">
        <v>77</v>
      </c>
      <c r="E20" s="438" t="s">
        <v>70</v>
      </c>
      <c r="F20" s="438" t="s">
        <v>1250</v>
      </c>
      <c r="G20" s="438" t="s">
        <v>115</v>
      </c>
      <c r="H20" s="438" t="s">
        <v>115</v>
      </c>
      <c r="I20" s="438" t="s">
        <v>115</v>
      </c>
      <c r="J20" s="274" t="str">
        <f t="shared" si="50"/>
        <v>VDSLPremiumkantooruren</v>
      </c>
      <c r="L20" s="273">
        <f>INDEX(Mapping!$J:$J,MATCH(C$3&amp;C20,Mapping!$B:$B,0))</f>
        <v>1</v>
      </c>
      <c r="M20" s="179" t="str">
        <f>INDEX(Mapping!$H:$H,MATCH($E20,Mapping!$B:$B,0))</f>
        <v>WBA ZM Ethernet</v>
      </c>
      <c r="N20" s="179" t="str">
        <f>INDEX(Mapping!$J:$J,MATCH($J20,Mapping!$B:$B,0))</f>
        <v>VDSL</v>
      </c>
      <c r="O20" s="179" t="str">
        <f>INDEX(Mapping!$K:$K,MATCH($J20,Mapping!$B:$B,0))</f>
        <v>Standard</v>
      </c>
      <c r="P20"/>
      <c r="Q20" s="179"/>
      <c r="R20" s="179" t="str">
        <f>INDEX(Mapping!$H:$H,MATCH($H20,Mapping!$B:$B,0))</f>
        <v>nvt</v>
      </c>
      <c r="S20" s="179" t="str">
        <f>INDEX(Mapping!$H:$H,MATCH($I20,Mapping!$B:$B,0))</f>
        <v>nvt</v>
      </c>
      <c r="T20" s="179" t="str">
        <f t="shared" si="51"/>
        <v>WBA ZM EthernetVDSLStandard</v>
      </c>
      <c r="U20" s="274" t="str">
        <f t="shared" si="52"/>
        <v>WBA ZM EthernetVDSLStandard</v>
      </c>
      <c r="W20" s="273">
        <f>MATCH($J20,'Tarieven ZM'!$B:$B,0)</f>
        <v>130</v>
      </c>
      <c r="X20" s="179">
        <f>INDEX('Tarieven ZM'!$H:$H,$W20)</f>
        <v>1000</v>
      </c>
      <c r="Y20" s="276">
        <f>-INDEX(Parameters!$B:$B,MATCH(Y$3,Parameters!$A:$A,0))*$X20</f>
        <v>0</v>
      </c>
      <c r="Z20" s="277">
        <f>-INDEX(Parameters!$B:$B,MATCH(Z$3,Parameters!$A:$A,0))*$X20</f>
        <v>0</v>
      </c>
      <c r="AA20" s="179">
        <f t="shared" si="53"/>
        <v>1000</v>
      </c>
      <c r="AB20" s="179">
        <f>AA20/INDEX(Parameters!$B:$B,MATCH("AfschrijftermijnVVE"&amp;12*$C20,Parameters!$A:$A,0))</f>
        <v>27.777777777777779</v>
      </c>
      <c r="AC20" s="179">
        <f>INDEX('Tarieven ZM'!$G:$G,$W20)</f>
        <v>1000</v>
      </c>
      <c r="AD20" s="276">
        <f>-INDEX(Parameters!$B:$B,MATCH(AD$3,Parameters!$A:$A,0))*$AC20</f>
        <v>0</v>
      </c>
      <c r="AE20" s="276">
        <f>-INDEX(Parameters!$B:$B,MATCH(AE$3,Parameters!$A:$A,0))*$AC20</f>
        <v>0</v>
      </c>
      <c r="AF20" s="179">
        <f t="shared" si="54"/>
        <v>1000</v>
      </c>
      <c r="AG20" s="278">
        <f t="shared" si="55"/>
        <v>1027.7777777777778</v>
      </c>
      <c r="AH20" s="209"/>
      <c r="AI20" s="279">
        <f>MATCH($T20,'Tarieven W&amp;O'!$B:$B,0)</f>
        <v>211</v>
      </c>
      <c r="AJ20" s="179">
        <f>IF(AI20&lt;&gt;"nvt",INDEX('Tarieven W&amp;O'!$H:$H,$AI20),0)</f>
        <v>0</v>
      </c>
      <c r="AK20" s="179">
        <f>IF(AI20&lt;&gt;"nvt",INDEX('Tarieven W&amp;O'!$I:$I,$AI20),0)</f>
        <v>0</v>
      </c>
      <c r="AL20" s="277">
        <f>IF(AI20&lt;&gt;"nvt",-INDEX(Parameters!$B:$B,MATCH(AL$3&amp;$M20,Parameters!$A:$A,0))*(AJ20+AK20),0)</f>
        <v>0</v>
      </c>
      <c r="AM20" s="277"/>
      <c r="AN20" s="179">
        <f t="shared" si="56"/>
        <v>0</v>
      </c>
      <c r="AO20" s="262">
        <f>AN20/INDEX(Parameters!$B:$B,MATCH("AfschrijftermijnVVE"&amp;12*$C20,Parameters!$A:$A,0))</f>
        <v>0</v>
      </c>
      <c r="AP20" s="179">
        <f>MATCH($U20,'Tarieven W&amp;O'!$B:$B,0)</f>
        <v>211</v>
      </c>
      <c r="AQ20" s="202">
        <f>IF(AP20&lt;&gt;"nvt",INDEX('Tarieven W&amp;O'!$G:$G,$AP20),0)</f>
        <v>0</v>
      </c>
      <c r="AR20" s="277">
        <f>-INDEX(Parameters!$B:$B,MATCH(AR$3&amp;M20&amp;$N20,Parameters!$A:$A,0))*(AQ20)</f>
        <v>0</v>
      </c>
      <c r="AS20" s="179"/>
      <c r="AT20" s="179"/>
      <c r="AU20" s="202">
        <f t="shared" si="57"/>
        <v>0</v>
      </c>
      <c r="AV20" s="202">
        <f t="shared" si="58"/>
        <v>0</v>
      </c>
      <c r="AW20" s="202"/>
      <c r="AX20" s="202">
        <f>Parameters!$B$6*AV20</f>
        <v>0</v>
      </c>
      <c r="AY20" s="202">
        <v>0</v>
      </c>
      <c r="AZ20" s="202"/>
      <c r="BA20" s="202">
        <f t="shared" si="59"/>
        <v>0</v>
      </c>
      <c r="BB20" s="202"/>
      <c r="BC20" s="278">
        <f t="shared" si="60"/>
        <v>0</v>
      </c>
      <c r="BD20" s="209"/>
      <c r="BE20" s="280">
        <f t="shared" si="61"/>
        <v>1027.7777777777778</v>
      </c>
      <c r="BF20" s="264">
        <f t="shared" si="62"/>
        <v>1</v>
      </c>
      <c r="BG20" s="274" t="b">
        <f t="shared" si="63"/>
        <v>0</v>
      </c>
      <c r="BI20" s="443" t="s">
        <v>538</v>
      </c>
      <c r="BJ20" s="281"/>
      <c r="BK20" s="203">
        <f>VLOOKUP(J20,'Tarieven ZM'!$B$7:$I$146,8,0)</f>
        <v>0</v>
      </c>
      <c r="BL20" s="203" t="str">
        <f t="shared" si="16"/>
        <v>VDSLStandard</v>
      </c>
      <c r="BM20" s="282">
        <v>0</v>
      </c>
      <c r="BN20" s="262">
        <f>BM20/INDEX(Parameters!$B:$B,MATCH("AfschrijftermijnVVE"&amp;12*$C20,Parameters!$A:$A,0))</f>
        <v>0</v>
      </c>
      <c r="BO20" s="262">
        <f>INDEX('inkoop ULL tbv Epacity'!I:I,MATCH($BL20,'inkoop ULL tbv Epacity'!H:H,0))</f>
        <v>0</v>
      </c>
      <c r="BP20" s="263">
        <f t="shared" si="64"/>
        <v>0</v>
      </c>
      <c r="BR20" s="262">
        <f>Parameters!$B$12*AG20</f>
        <v>102.77777777777779</v>
      </c>
      <c r="BS20" s="262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SUM(Distributievergoedingen!$F$12,Distributievergoedingen!$I$12,Distributievergoedingen!$L$12,Distributievergoedingen!$O$12)*AF20+SUM(Distributievergoedingen!$O$12*AA20+Distributievergoedingen!$R$12+Distributievergoedingen!$U$12+Distributievergoedingen!$X$12)/(MAX(36,12*L20))</f>
        <v>112.77777777777777</v>
      </c>
      <c r="BT20" s="262"/>
      <c r="BU20" s="202">
        <f t="shared" si="65"/>
        <v>215.55555555555554</v>
      </c>
      <c r="BW20" s="278">
        <f t="shared" si="66"/>
        <v>215.55555555555554</v>
      </c>
      <c r="BY20" s="280">
        <f t="shared" si="67"/>
        <v>812.22222222222229</v>
      </c>
      <c r="BZ20" s="264">
        <f t="shared" si="68"/>
        <v>0.7902702702702703</v>
      </c>
      <c r="CA20" s="274" t="b">
        <f t="shared" si="69"/>
        <v>0</v>
      </c>
    </row>
    <row r="21" spans="1:79" s="203" customFormat="1">
      <c r="A21" s="203" t="str">
        <f t="shared" si="48"/>
        <v>1VDSL BondingEntrykantooruren</v>
      </c>
      <c r="B21" s="203" t="str">
        <f t="shared" si="49"/>
        <v>1VDSL BondingEntrykantooruren</v>
      </c>
      <c r="C21" s="438">
        <v>1</v>
      </c>
      <c r="D21" s="438" t="s">
        <v>170</v>
      </c>
      <c r="E21" s="438" t="s">
        <v>78</v>
      </c>
      <c r="F21" s="438" t="s">
        <v>1250</v>
      </c>
      <c r="G21" s="438" t="s">
        <v>115</v>
      </c>
      <c r="H21" s="438" t="s">
        <v>115</v>
      </c>
      <c r="I21" s="438" t="s">
        <v>115</v>
      </c>
      <c r="J21" s="274" t="str">
        <f t="shared" si="50"/>
        <v>VDSL BondingEntrykantooruren</v>
      </c>
      <c r="L21" s="273">
        <f>INDEX(Mapping!$J:$J,MATCH(C$3&amp;C21,Mapping!$B:$B,0))</f>
        <v>1</v>
      </c>
      <c r="M21" s="179" t="str">
        <f>INDEX(Mapping!$H:$H,MATCH($E21,Mapping!$B:$B,0))</f>
        <v>WBA CM Ethernet</v>
      </c>
      <c r="N21" s="179" t="str">
        <f>INDEX(Mapping!$J:$J,MATCH($J21,Mapping!$B:$B,0))</f>
        <v>VDSL</v>
      </c>
      <c r="O21" s="179" t="str">
        <f>INDEX(Mapping!$K:$K,MATCH($J21,Mapping!$B:$B,0))</f>
        <v>Standard</v>
      </c>
      <c r="P21"/>
      <c r="Q21" s="179"/>
      <c r="R21" s="179" t="str">
        <f>INDEX(Mapping!$H:$H,MATCH($H21,Mapping!$B:$B,0))</f>
        <v>nvt</v>
      </c>
      <c r="S21" s="179" t="str">
        <f>INDEX(Mapping!$H:$H,MATCH($I21,Mapping!$B:$B,0))</f>
        <v>nvt</v>
      </c>
      <c r="T21" s="179" t="str">
        <f t="shared" si="51"/>
        <v>WBA CM EthernetVDSLStandard</v>
      </c>
      <c r="U21" s="274" t="str">
        <f t="shared" si="52"/>
        <v>WBA CM EthernetVDSLStandard</v>
      </c>
      <c r="W21" s="273">
        <f>MATCH($J21,'Tarieven ZM'!$B:$B,0)</f>
        <v>131</v>
      </c>
      <c r="X21" s="179">
        <f>INDEX('Tarieven ZM'!$H:$H,$W21)</f>
        <v>1000</v>
      </c>
      <c r="Y21" s="276">
        <f>-INDEX(Parameters!$B:$B,MATCH(Y$3,Parameters!$A:$A,0))*$X21</f>
        <v>0</v>
      </c>
      <c r="Z21" s="277">
        <f>-INDEX(Parameters!$B:$B,MATCH(Z$3,Parameters!$A:$A,0))*$X21</f>
        <v>0</v>
      </c>
      <c r="AA21" s="179">
        <f t="shared" si="53"/>
        <v>1000</v>
      </c>
      <c r="AB21" s="179">
        <f>AA21/INDEX(Parameters!$B:$B,MATCH("AfschrijftermijnVVE"&amp;12*$C21,Parameters!$A:$A,0))</f>
        <v>27.777777777777779</v>
      </c>
      <c r="AC21" s="179">
        <f>INDEX('Tarieven ZM'!$G:$G,$W21)</f>
        <v>1000</v>
      </c>
      <c r="AD21" s="276">
        <f>-INDEX(Parameters!$B:$B,MATCH(AD$3,Parameters!$A:$A,0))*$AC21</f>
        <v>0</v>
      </c>
      <c r="AE21" s="276">
        <f>-INDEX(Parameters!$B:$B,MATCH(AE$3,Parameters!$A:$A,0))*$AC21</f>
        <v>0</v>
      </c>
      <c r="AF21" s="179">
        <f t="shared" si="54"/>
        <v>1000</v>
      </c>
      <c r="AG21" s="278">
        <f t="shared" si="55"/>
        <v>1027.7777777777778</v>
      </c>
      <c r="AH21" s="209"/>
      <c r="AI21" s="279">
        <f>MATCH($T21,'Tarieven W&amp;O'!$B:$B,0)</f>
        <v>206</v>
      </c>
      <c r="AJ21" s="179">
        <f>IF(AI21&lt;&gt;"nvt",INDEX('Tarieven W&amp;O'!$H:$H,$AI21),0)</f>
        <v>0</v>
      </c>
      <c r="AK21" s="179">
        <f>IF(AI21&lt;&gt;"nvt",INDEX('Tarieven W&amp;O'!$I:$I,$AI21),0)</f>
        <v>0</v>
      </c>
      <c r="AL21" s="277">
        <f>IF(AI21&lt;&gt;"nvt",-INDEX(Parameters!$B:$B,MATCH(AL$3&amp;$M21,Parameters!$A:$A,0))*(AJ21+AK21),0)</f>
        <v>0</v>
      </c>
      <c r="AM21" s="277"/>
      <c r="AN21" s="179">
        <f t="shared" si="56"/>
        <v>0</v>
      </c>
      <c r="AO21" s="262">
        <f>AN21/INDEX(Parameters!$B:$B,MATCH("AfschrijftermijnVVE"&amp;12*$C21,Parameters!$A:$A,0))</f>
        <v>0</v>
      </c>
      <c r="AP21" s="179">
        <f>MATCH($U21,'Tarieven W&amp;O'!$B:$B,0)</f>
        <v>206</v>
      </c>
      <c r="AQ21" s="202">
        <f>IF(AP21&lt;&gt;"nvt",INDEX('Tarieven W&amp;O'!$G:$G,$AP21),0)</f>
        <v>0</v>
      </c>
      <c r="AR21" s="277">
        <f>-INDEX(Parameters!$B:$B,MATCH(AR$3&amp;M21&amp;$N21,Parameters!$A:$A,0))*(AQ21)</f>
        <v>0</v>
      </c>
      <c r="AS21" s="179"/>
      <c r="AT21" s="179"/>
      <c r="AU21" s="202">
        <f t="shared" si="57"/>
        <v>0</v>
      </c>
      <c r="AV21" s="202">
        <f t="shared" si="58"/>
        <v>0</v>
      </c>
      <c r="AW21" s="202"/>
      <c r="AX21" s="202">
        <f>Parameters!$B$6*AV21</f>
        <v>0</v>
      </c>
      <c r="AY21" s="202">
        <v>0</v>
      </c>
      <c r="AZ21" s="202"/>
      <c r="BA21" s="202">
        <f t="shared" si="59"/>
        <v>0</v>
      </c>
      <c r="BB21" s="202"/>
      <c r="BC21" s="278">
        <f t="shared" si="60"/>
        <v>0</v>
      </c>
      <c r="BD21" s="209"/>
      <c r="BE21" s="280">
        <f t="shared" si="61"/>
        <v>1027.7777777777778</v>
      </c>
      <c r="BF21" s="264">
        <f t="shared" si="62"/>
        <v>1</v>
      </c>
      <c r="BG21" s="274" t="b">
        <f t="shared" si="63"/>
        <v>0</v>
      </c>
      <c r="BI21" s="443" t="s">
        <v>538</v>
      </c>
      <c r="BJ21" s="281"/>
      <c r="BK21" s="203">
        <f>VLOOKUP(J21,'Tarieven ZM'!$B$7:$I$146,8,0)</f>
        <v>0</v>
      </c>
      <c r="BL21" s="203" t="str">
        <f t="shared" si="16"/>
        <v>VDSLStandard</v>
      </c>
      <c r="BM21" s="282">
        <v>0</v>
      </c>
      <c r="BN21" s="262">
        <f>BM21/INDEX(Parameters!$B:$B,MATCH("AfschrijftermijnVVE"&amp;12*$C21,Parameters!$A:$A,0))</f>
        <v>0</v>
      </c>
      <c r="BO21" s="262">
        <f>INDEX('inkoop ULL tbv Epacity'!I:I,MATCH($BL21,'inkoop ULL tbv Epacity'!H:H,0))</f>
        <v>0</v>
      </c>
      <c r="BP21" s="263">
        <f t="shared" si="64"/>
        <v>0</v>
      </c>
      <c r="BR21" s="262">
        <f>Parameters!$B$12*AG21</f>
        <v>102.77777777777779</v>
      </c>
      <c r="BS21" s="262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SUM(Distributievergoedingen!$F$12,Distributievergoedingen!$I$12,Distributievergoedingen!$L$12,Distributievergoedingen!$O$12)*AF21+SUM(Distributievergoedingen!$O$12*AA21+Distributievergoedingen!$R$12+Distributievergoedingen!$U$12+Distributievergoedingen!$X$12)/(MAX(36,12*L21))</f>
        <v>112.77777777777777</v>
      </c>
      <c r="BT21" s="262"/>
      <c r="BU21" s="202">
        <f t="shared" si="65"/>
        <v>215.55555555555554</v>
      </c>
      <c r="BW21" s="278">
        <f t="shared" si="66"/>
        <v>215.55555555555554</v>
      </c>
      <c r="BY21" s="280">
        <f t="shared" si="67"/>
        <v>812.22222222222229</v>
      </c>
      <c r="BZ21" s="264">
        <f t="shared" si="68"/>
        <v>0.7902702702702703</v>
      </c>
      <c r="CA21" s="274" t="b">
        <f t="shared" si="69"/>
        <v>0</v>
      </c>
    </row>
    <row r="22" spans="1:79" s="203" customFormat="1">
      <c r="A22" s="203" t="str">
        <f t="shared" si="48"/>
        <v>1VDSL BondingPremiumkantooruren</v>
      </c>
      <c r="B22" s="203" t="str">
        <f t="shared" si="49"/>
        <v>1VDSL BondingPremiumkantooruren</v>
      </c>
      <c r="C22" s="438">
        <v>1</v>
      </c>
      <c r="D22" s="438" t="s">
        <v>170</v>
      </c>
      <c r="E22" s="438" t="s">
        <v>70</v>
      </c>
      <c r="F22" s="438" t="s">
        <v>1250</v>
      </c>
      <c r="G22" s="438" t="s">
        <v>115</v>
      </c>
      <c r="H22" s="438" t="s">
        <v>115</v>
      </c>
      <c r="I22" s="438" t="s">
        <v>115</v>
      </c>
      <c r="J22" s="274" t="str">
        <f t="shared" si="50"/>
        <v>VDSL BondingPremiumkantooruren</v>
      </c>
      <c r="L22" s="273">
        <f>INDEX(Mapping!$J:$J,MATCH(C$3&amp;C22,Mapping!$B:$B,0))</f>
        <v>1</v>
      </c>
      <c r="M22" s="179" t="str">
        <f>INDEX(Mapping!$H:$H,MATCH($E22,Mapping!$B:$B,0))</f>
        <v>WBA ZM Ethernet</v>
      </c>
      <c r="N22" s="179" t="str">
        <f>INDEX(Mapping!$J:$J,MATCH($J22,Mapping!$B:$B,0))</f>
        <v>VDSL</v>
      </c>
      <c r="O22" s="179" t="str">
        <f>INDEX(Mapping!$K:$K,MATCH($J22,Mapping!$B:$B,0))</f>
        <v>Standard</v>
      </c>
      <c r="P22"/>
      <c r="Q22" s="179"/>
      <c r="R22" s="179" t="str">
        <f>INDEX(Mapping!$H:$H,MATCH($H22,Mapping!$B:$B,0))</f>
        <v>nvt</v>
      </c>
      <c r="S22" s="179" t="str">
        <f>INDEX(Mapping!$H:$H,MATCH($I22,Mapping!$B:$B,0))</f>
        <v>nvt</v>
      </c>
      <c r="T22" s="179" t="str">
        <f t="shared" si="51"/>
        <v>WBA ZM EthernetVDSLStandard</v>
      </c>
      <c r="U22" s="274" t="str">
        <f t="shared" si="52"/>
        <v>WBA ZM EthernetVDSLStandard</v>
      </c>
      <c r="W22" s="273">
        <f>MATCH($J22,'Tarieven ZM'!$B:$B,0)</f>
        <v>132</v>
      </c>
      <c r="X22" s="179">
        <f>INDEX('Tarieven ZM'!$H:$H,$W22)</f>
        <v>1000</v>
      </c>
      <c r="Y22" s="276">
        <f>-INDEX(Parameters!$B:$B,MATCH(Y$3,Parameters!$A:$A,0))*$X22</f>
        <v>0</v>
      </c>
      <c r="Z22" s="277">
        <f>-INDEX(Parameters!$B:$B,MATCH(Z$3,Parameters!$A:$A,0))*$X22</f>
        <v>0</v>
      </c>
      <c r="AA22" s="179">
        <f t="shared" si="53"/>
        <v>1000</v>
      </c>
      <c r="AB22" s="179">
        <f>AA22/INDEX(Parameters!$B:$B,MATCH("AfschrijftermijnVVE"&amp;12*$C22,Parameters!$A:$A,0))</f>
        <v>27.777777777777779</v>
      </c>
      <c r="AC22" s="179">
        <f>INDEX('Tarieven ZM'!$G:$G,$W22)</f>
        <v>1000</v>
      </c>
      <c r="AD22" s="276">
        <f>-INDEX(Parameters!$B:$B,MATCH(AD$3,Parameters!$A:$A,0))*$AC22</f>
        <v>0</v>
      </c>
      <c r="AE22" s="276">
        <f>-INDEX(Parameters!$B:$B,MATCH(AE$3,Parameters!$A:$A,0))*$AC22</f>
        <v>0</v>
      </c>
      <c r="AF22" s="179">
        <f t="shared" si="54"/>
        <v>1000</v>
      </c>
      <c r="AG22" s="278">
        <f t="shared" si="55"/>
        <v>1027.7777777777778</v>
      </c>
      <c r="AH22" s="209"/>
      <c r="AI22" s="279">
        <f>MATCH($T22,'Tarieven W&amp;O'!$B:$B,0)</f>
        <v>211</v>
      </c>
      <c r="AJ22" s="179">
        <f>IF(AI22&lt;&gt;"nvt",INDEX('Tarieven W&amp;O'!$H:$H,$AI22),0)</f>
        <v>0</v>
      </c>
      <c r="AK22" s="179">
        <f>IF(AI22&lt;&gt;"nvt",INDEX('Tarieven W&amp;O'!$I:$I,$AI22),0)</f>
        <v>0</v>
      </c>
      <c r="AL22" s="277">
        <f>IF(AI22&lt;&gt;"nvt",-INDEX(Parameters!$B:$B,MATCH(AL$3&amp;$M22,Parameters!$A:$A,0))*(AJ22+AK22),0)</f>
        <v>0</v>
      </c>
      <c r="AM22" s="277"/>
      <c r="AN22" s="179">
        <f t="shared" si="56"/>
        <v>0</v>
      </c>
      <c r="AO22" s="262">
        <f>AN22/INDEX(Parameters!$B:$B,MATCH("AfschrijftermijnVVE"&amp;12*$C22,Parameters!$A:$A,0))</f>
        <v>0</v>
      </c>
      <c r="AP22" s="179">
        <f>MATCH($U22,'Tarieven W&amp;O'!$B:$B,0)</f>
        <v>211</v>
      </c>
      <c r="AQ22" s="202">
        <f>IF(AP22&lt;&gt;"nvt",INDEX('Tarieven W&amp;O'!$G:$G,$AP22),0)</f>
        <v>0</v>
      </c>
      <c r="AR22" s="277">
        <f>-INDEX(Parameters!$B:$B,MATCH(AR$3&amp;M22&amp;$N22,Parameters!$A:$A,0))*(AQ22)</f>
        <v>0</v>
      </c>
      <c r="AS22" s="179"/>
      <c r="AT22" s="179"/>
      <c r="AU22" s="202">
        <f t="shared" si="57"/>
        <v>0</v>
      </c>
      <c r="AV22" s="202">
        <f t="shared" si="58"/>
        <v>0</v>
      </c>
      <c r="AW22" s="202"/>
      <c r="AX22" s="202">
        <f>Parameters!$B$6*AV22</f>
        <v>0</v>
      </c>
      <c r="AY22" s="202">
        <v>0</v>
      </c>
      <c r="AZ22" s="202"/>
      <c r="BA22" s="202">
        <f t="shared" si="59"/>
        <v>0</v>
      </c>
      <c r="BB22" s="202"/>
      <c r="BC22" s="278">
        <f t="shared" si="60"/>
        <v>0</v>
      </c>
      <c r="BD22" s="209"/>
      <c r="BE22" s="280">
        <f t="shared" si="61"/>
        <v>1027.7777777777778</v>
      </c>
      <c r="BF22" s="264">
        <f t="shared" si="62"/>
        <v>1</v>
      </c>
      <c r="BG22" s="274" t="b">
        <f t="shared" si="63"/>
        <v>0</v>
      </c>
      <c r="BI22" s="443" t="s">
        <v>538</v>
      </c>
      <c r="BJ22" s="281"/>
      <c r="BK22" s="203">
        <f>VLOOKUP(J22,'Tarieven ZM'!$B$7:$I$146,8,0)</f>
        <v>0</v>
      </c>
      <c r="BL22" s="203" t="str">
        <f t="shared" si="16"/>
        <v>VDSLStandard</v>
      </c>
      <c r="BM22" s="282">
        <v>0</v>
      </c>
      <c r="BN22" s="262">
        <f>BM22/INDEX(Parameters!$B:$B,MATCH("AfschrijftermijnVVE"&amp;12*$C22,Parameters!$A:$A,0))</f>
        <v>0</v>
      </c>
      <c r="BO22" s="262">
        <f>INDEX('inkoop ULL tbv Epacity'!I:I,MATCH($BL22,'inkoop ULL tbv Epacity'!H:H,0))</f>
        <v>0</v>
      </c>
      <c r="BP22" s="263">
        <f t="shared" si="64"/>
        <v>0</v>
      </c>
      <c r="BR22" s="262">
        <f>Parameters!$B$12*AG22</f>
        <v>102.77777777777779</v>
      </c>
      <c r="BS22" s="262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SUM(Distributievergoedingen!$F$12,Distributievergoedingen!$I$12,Distributievergoedingen!$L$12,Distributievergoedingen!$O$12)*AF22+SUM(Distributievergoedingen!$O$12*AA22+Distributievergoedingen!$R$12+Distributievergoedingen!$U$12+Distributievergoedingen!$X$12)/(MAX(36,12*L22))</f>
        <v>112.77777777777777</v>
      </c>
      <c r="BT22" s="262"/>
      <c r="BU22" s="202">
        <f t="shared" si="65"/>
        <v>215.55555555555554</v>
      </c>
      <c r="BW22" s="278">
        <f t="shared" si="66"/>
        <v>215.55555555555554</v>
      </c>
      <c r="BY22" s="280">
        <f t="shared" si="67"/>
        <v>812.22222222222229</v>
      </c>
      <c r="BZ22" s="264">
        <f t="shared" si="68"/>
        <v>0.7902702702702703</v>
      </c>
      <c r="CA22" s="274" t="b">
        <f t="shared" si="69"/>
        <v>0</v>
      </c>
    </row>
    <row r="23" spans="1:79" s="203" customFormat="1">
      <c r="A23" s="203" t="str">
        <f t="shared" si="48"/>
        <v>1SA IPVPNEntrykantooruren</v>
      </c>
      <c r="B23" s="203" t="str">
        <f t="shared" si="49"/>
        <v>1SA IPVPNEntrykantooruren</v>
      </c>
      <c r="C23" s="438">
        <v>1</v>
      </c>
      <c r="D23" s="438" t="s">
        <v>93</v>
      </c>
      <c r="E23" s="438" t="s">
        <v>78</v>
      </c>
      <c r="F23" s="438" t="s">
        <v>1250</v>
      </c>
      <c r="G23" s="438" t="s">
        <v>115</v>
      </c>
      <c r="H23" s="438" t="s">
        <v>115</v>
      </c>
      <c r="I23" s="438" t="s">
        <v>115</v>
      </c>
      <c r="J23" s="274" t="str">
        <f t="shared" si="50"/>
        <v>SA IPVPNEntrykantooruren</v>
      </c>
      <c r="L23" s="273">
        <f>INDEX(Mapping!$J:$J,MATCH(C$3&amp;C23,Mapping!$B:$B,0))</f>
        <v>1</v>
      </c>
      <c r="M23" s="179" t="str">
        <f>INDEX(Mapping!$H:$H,MATCH($E23,Mapping!$B:$B,0))</f>
        <v>WBA CM Ethernet</v>
      </c>
      <c r="N23" s="179" t="str">
        <f>INDEX(Mapping!$J:$J,MATCH($J23,Mapping!$B:$B,0))</f>
        <v>FttH</v>
      </c>
      <c r="O23" s="179" t="str">
        <f>INDEX(Mapping!$K:$K,MATCH($J23,Mapping!$B:$B,0))</f>
        <v>Standard</v>
      </c>
      <c r="P23"/>
      <c r="Q23" s="179"/>
      <c r="R23" s="179" t="str">
        <f>INDEX(Mapping!$H:$H,MATCH($H23,Mapping!$B:$B,0))</f>
        <v>nvt</v>
      </c>
      <c r="S23" s="179" t="str">
        <f>INDEX(Mapping!$H:$H,MATCH($I23,Mapping!$B:$B,0))</f>
        <v>nvt</v>
      </c>
      <c r="T23" s="179" t="str">
        <f t="shared" si="51"/>
        <v>WBA CM EthernetFttHStandard</v>
      </c>
      <c r="U23" s="274" t="str">
        <f t="shared" si="52"/>
        <v>WBA CM EthernetFttHStandard</v>
      </c>
      <c r="W23" s="273">
        <f>MATCH($J23,'Tarieven ZM'!$B:$B,0)</f>
        <v>133</v>
      </c>
      <c r="X23" s="179">
        <f>INDEX('Tarieven ZM'!$H:$H,$W23)</f>
        <v>1000</v>
      </c>
      <c r="Y23" s="276">
        <f>-INDEX(Parameters!$B:$B,MATCH(Y$3,Parameters!$A:$A,0))*$X23</f>
        <v>0</v>
      </c>
      <c r="Z23" s="277">
        <f>-INDEX(Parameters!$B:$B,MATCH(Z$3,Parameters!$A:$A,0))*$X23</f>
        <v>0</v>
      </c>
      <c r="AA23" s="179">
        <f t="shared" si="53"/>
        <v>1000</v>
      </c>
      <c r="AB23" s="179">
        <f>AA23/INDEX(Parameters!$B:$B,MATCH("AfschrijftermijnVVE"&amp;12*$C23,Parameters!$A:$A,0))</f>
        <v>27.777777777777779</v>
      </c>
      <c r="AC23" s="179">
        <f>INDEX('Tarieven ZM'!$G:$G,$W23)</f>
        <v>1000</v>
      </c>
      <c r="AD23" s="276">
        <f>-INDEX(Parameters!$B:$B,MATCH(AD$3,Parameters!$A:$A,0))*$AC23</f>
        <v>0</v>
      </c>
      <c r="AE23" s="276">
        <f>-INDEX(Parameters!$B:$B,MATCH(AE$3,Parameters!$A:$A,0))*$AC23</f>
        <v>0</v>
      </c>
      <c r="AF23" s="179">
        <f t="shared" si="54"/>
        <v>1000</v>
      </c>
      <c r="AG23" s="278">
        <f t="shared" si="55"/>
        <v>1027.7777777777778</v>
      </c>
      <c r="AH23" s="209"/>
      <c r="AI23" s="279">
        <f>MATCH($T23,'Tarieven W&amp;O'!$B:$B,0)</f>
        <v>208</v>
      </c>
      <c r="AJ23" s="179">
        <f>IF(AI23&lt;&gt;"nvt",INDEX('Tarieven W&amp;O'!$H:$H,$AI23),0)</f>
        <v>0</v>
      </c>
      <c r="AK23" s="179">
        <f>IF(AI23&lt;&gt;"nvt",INDEX('Tarieven W&amp;O'!$I:$I,$AI23),0)</f>
        <v>0</v>
      </c>
      <c r="AL23" s="277">
        <f>IF(AI23&lt;&gt;"nvt",-INDEX(Parameters!$B:$B,MATCH(AL$3&amp;$M23,Parameters!$A:$A,0))*(AJ23+AK23),0)</f>
        <v>0</v>
      </c>
      <c r="AM23" s="277"/>
      <c r="AN23" s="179">
        <f t="shared" si="56"/>
        <v>0</v>
      </c>
      <c r="AO23" s="262">
        <f>AN23/INDEX(Parameters!$B:$B,MATCH("AfschrijftermijnVVE"&amp;12*$C23,Parameters!$A:$A,0))</f>
        <v>0</v>
      </c>
      <c r="AP23" s="179">
        <f>MATCH($U23,'Tarieven W&amp;O'!$B:$B,0)</f>
        <v>208</v>
      </c>
      <c r="AQ23" s="202">
        <f>IF(AP23&lt;&gt;"nvt",INDEX('Tarieven W&amp;O'!$G:$G,$AP23),0)</f>
        <v>0</v>
      </c>
      <c r="AR23" s="277">
        <f>-INDEX(Parameters!$B:$B,MATCH(AR$3&amp;M23&amp;$N23,Parameters!$A:$A,0))*(AQ23)</f>
        <v>0</v>
      </c>
      <c r="AS23" s="179"/>
      <c r="AT23" s="179"/>
      <c r="AU23" s="202">
        <f t="shared" si="57"/>
        <v>0</v>
      </c>
      <c r="AV23" s="202">
        <f t="shared" si="58"/>
        <v>0</v>
      </c>
      <c r="AW23" s="202"/>
      <c r="AX23" s="202">
        <f>Parameters!$B$6*AV23</f>
        <v>0</v>
      </c>
      <c r="AY23" s="202">
        <v>0</v>
      </c>
      <c r="AZ23" s="202"/>
      <c r="BA23" s="202">
        <f t="shared" si="59"/>
        <v>0</v>
      </c>
      <c r="BB23" s="202"/>
      <c r="BC23" s="278">
        <f t="shared" si="60"/>
        <v>0</v>
      </c>
      <c r="BD23" s="209"/>
      <c r="BE23" s="280">
        <f t="shared" si="61"/>
        <v>1027.7777777777778</v>
      </c>
      <c r="BF23" s="264">
        <f t="shared" si="62"/>
        <v>1</v>
      </c>
      <c r="BG23" s="274" t="b">
        <f t="shared" si="63"/>
        <v>0</v>
      </c>
      <c r="BI23" s="443" t="s">
        <v>538</v>
      </c>
      <c r="BJ23" s="281"/>
      <c r="BK23" s="203">
        <f>VLOOKUP(J23,'Tarieven ZM'!$B$7:$I$146,8,0)</f>
        <v>0</v>
      </c>
      <c r="BL23" s="203" t="str">
        <f t="shared" si="16"/>
        <v>FttHStandard</v>
      </c>
      <c r="BM23" s="282">
        <v>0</v>
      </c>
      <c r="BN23" s="262">
        <f>BM23/INDEX(Parameters!$B:$B,MATCH("AfschrijftermijnVVE"&amp;12*$C23,Parameters!$A:$A,0))</f>
        <v>0</v>
      </c>
      <c r="BO23" s="262">
        <f>INDEX('inkoop ULL tbv Epacity'!I:I,MATCH($BL23,'inkoop ULL tbv Epacity'!H:H,0))</f>
        <v>0</v>
      </c>
      <c r="BP23" s="263">
        <f t="shared" si="64"/>
        <v>0</v>
      </c>
      <c r="BR23" s="262">
        <f>Parameters!$B$12*AG23</f>
        <v>102.77777777777779</v>
      </c>
      <c r="BS23" s="262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SUM(Distributievergoedingen!$F$12,Distributievergoedingen!$I$12,Distributievergoedingen!$L$12,Distributievergoedingen!$O$12)*AF23+SUM(Distributievergoedingen!$O$12*AA23+Distributievergoedingen!$R$12+Distributievergoedingen!$U$12+Distributievergoedingen!$X$12)/(MAX(36,12*L23))</f>
        <v>112.77777777777777</v>
      </c>
      <c r="BT23" s="262"/>
      <c r="BU23" s="202">
        <f t="shared" si="65"/>
        <v>215.55555555555554</v>
      </c>
      <c r="BW23" s="278">
        <f t="shared" si="66"/>
        <v>215.55555555555554</v>
      </c>
      <c r="BY23" s="280">
        <f t="shared" si="67"/>
        <v>812.22222222222229</v>
      </c>
      <c r="BZ23" s="264">
        <f t="shared" si="68"/>
        <v>0.7902702702702703</v>
      </c>
      <c r="CA23" s="274" t="b">
        <f t="shared" si="69"/>
        <v>0</v>
      </c>
    </row>
    <row r="24" spans="1:79" s="203" customFormat="1">
      <c r="A24" s="203" t="str">
        <f t="shared" si="48"/>
        <v>1SA IPVPNPremiumkantooruren</v>
      </c>
      <c r="B24" s="203" t="str">
        <f t="shared" si="49"/>
        <v>1SA IPVPNPremiumkantooruren</v>
      </c>
      <c r="C24" s="438">
        <v>1</v>
      </c>
      <c r="D24" s="438" t="s">
        <v>93</v>
      </c>
      <c r="E24" s="438" t="s">
        <v>70</v>
      </c>
      <c r="F24" s="438" t="s">
        <v>1250</v>
      </c>
      <c r="G24" s="438" t="s">
        <v>115</v>
      </c>
      <c r="H24" s="438" t="s">
        <v>115</v>
      </c>
      <c r="I24" s="438" t="s">
        <v>115</v>
      </c>
      <c r="J24" s="274" t="str">
        <f t="shared" si="50"/>
        <v>SA IPVPNPremiumkantooruren</v>
      </c>
      <c r="L24" s="273">
        <f>INDEX(Mapping!$J:$J,MATCH(C$3&amp;C24,Mapping!$B:$B,0))</f>
        <v>1</v>
      </c>
      <c r="M24" s="179" t="str">
        <f>INDEX(Mapping!$H:$H,MATCH($E24,Mapping!$B:$B,0))</f>
        <v>WBA ZM Ethernet</v>
      </c>
      <c r="N24" s="179" t="str">
        <f>INDEX(Mapping!$J:$J,MATCH($J24,Mapping!$B:$B,0))</f>
        <v>FttH</v>
      </c>
      <c r="O24" s="179" t="str">
        <f>INDEX(Mapping!$K:$K,MATCH($J24,Mapping!$B:$B,0))</f>
        <v>Standard</v>
      </c>
      <c r="P24"/>
      <c r="Q24" s="179"/>
      <c r="R24" s="179" t="str">
        <f>INDEX(Mapping!$H:$H,MATCH($H24,Mapping!$B:$B,0))</f>
        <v>nvt</v>
      </c>
      <c r="S24" s="179" t="str">
        <f>INDEX(Mapping!$H:$H,MATCH($I24,Mapping!$B:$B,0))</f>
        <v>nvt</v>
      </c>
      <c r="T24" s="179" t="str">
        <f t="shared" si="51"/>
        <v>WBA ZM EthernetFttHStandard</v>
      </c>
      <c r="U24" s="274" t="str">
        <f t="shared" si="52"/>
        <v>WBA ZM EthernetFttHStandard</v>
      </c>
      <c r="W24" s="273">
        <f>MATCH($J24,'Tarieven ZM'!$B:$B,0)</f>
        <v>134</v>
      </c>
      <c r="X24" s="179">
        <f>INDEX('Tarieven ZM'!$H:$H,$W24)</f>
        <v>1000</v>
      </c>
      <c r="Y24" s="276">
        <f>-INDEX(Parameters!$B:$B,MATCH(Y$3,Parameters!$A:$A,0))*$X24</f>
        <v>0</v>
      </c>
      <c r="Z24" s="277">
        <f>-INDEX(Parameters!$B:$B,MATCH(Z$3,Parameters!$A:$A,0))*$X24</f>
        <v>0</v>
      </c>
      <c r="AA24" s="179">
        <f t="shared" si="53"/>
        <v>1000</v>
      </c>
      <c r="AB24" s="179">
        <f>AA24/INDEX(Parameters!$B:$B,MATCH("AfschrijftermijnVVE"&amp;12*$C24,Parameters!$A:$A,0))</f>
        <v>27.777777777777779</v>
      </c>
      <c r="AC24" s="179">
        <f>INDEX('Tarieven ZM'!$G:$G,$W24)</f>
        <v>1000</v>
      </c>
      <c r="AD24" s="276">
        <f>-INDEX(Parameters!$B:$B,MATCH(AD$3,Parameters!$A:$A,0))*$AC24</f>
        <v>0</v>
      </c>
      <c r="AE24" s="276">
        <f>-INDEX(Parameters!$B:$B,MATCH(AE$3,Parameters!$A:$A,0))*$AC24</f>
        <v>0</v>
      </c>
      <c r="AF24" s="179">
        <f t="shared" si="54"/>
        <v>1000</v>
      </c>
      <c r="AG24" s="278">
        <f t="shared" si="55"/>
        <v>1027.7777777777778</v>
      </c>
      <c r="AH24" s="209"/>
      <c r="AI24" s="279">
        <f>MATCH($T24,'Tarieven W&amp;O'!$B:$B,0)</f>
        <v>213</v>
      </c>
      <c r="AJ24" s="179">
        <f>IF(AI24&lt;&gt;"nvt",INDEX('Tarieven W&amp;O'!$H:$H,$AI24),0)</f>
        <v>0</v>
      </c>
      <c r="AK24" s="179">
        <f>IF(AI24&lt;&gt;"nvt",INDEX('Tarieven W&amp;O'!$I:$I,$AI24),0)</f>
        <v>0</v>
      </c>
      <c r="AL24" s="277">
        <f>IF(AI24&lt;&gt;"nvt",-INDEX(Parameters!$B:$B,MATCH(AL$3&amp;$M24,Parameters!$A:$A,0))*(AJ24+AK24),0)</f>
        <v>0</v>
      </c>
      <c r="AM24" s="277"/>
      <c r="AN24" s="179">
        <f t="shared" si="56"/>
        <v>0</v>
      </c>
      <c r="AO24" s="262">
        <f>AN24/INDEX(Parameters!$B:$B,MATCH("AfschrijftermijnVVE"&amp;12*$C24,Parameters!$A:$A,0))</f>
        <v>0</v>
      </c>
      <c r="AP24" s="179">
        <f>MATCH($U24,'Tarieven W&amp;O'!$B:$B,0)</f>
        <v>213</v>
      </c>
      <c r="AQ24" s="202">
        <f>IF(AP24&lt;&gt;"nvt",INDEX('Tarieven W&amp;O'!$G:$G,$AP24),0)</f>
        <v>0</v>
      </c>
      <c r="AR24" s="277">
        <f>-INDEX(Parameters!$B:$B,MATCH(AR$3&amp;M24&amp;$N24,Parameters!$A:$A,0))*(AQ24)</f>
        <v>0</v>
      </c>
      <c r="AS24" s="179"/>
      <c r="AT24" s="179"/>
      <c r="AU24" s="202">
        <f t="shared" si="57"/>
        <v>0</v>
      </c>
      <c r="AV24" s="202">
        <f t="shared" si="58"/>
        <v>0</v>
      </c>
      <c r="AW24" s="202"/>
      <c r="AX24" s="202">
        <f>Parameters!$B$6*AV24</f>
        <v>0</v>
      </c>
      <c r="AY24" s="202">
        <v>0</v>
      </c>
      <c r="AZ24" s="202"/>
      <c r="BA24" s="202">
        <f t="shared" si="59"/>
        <v>0</v>
      </c>
      <c r="BB24" s="202"/>
      <c r="BC24" s="278">
        <f t="shared" si="60"/>
        <v>0</v>
      </c>
      <c r="BD24" s="209"/>
      <c r="BE24" s="280">
        <f t="shared" si="61"/>
        <v>1027.7777777777778</v>
      </c>
      <c r="BF24" s="264">
        <f t="shared" si="62"/>
        <v>1</v>
      </c>
      <c r="BG24" s="274" t="b">
        <f t="shared" si="63"/>
        <v>0</v>
      </c>
      <c r="BI24" s="443" t="s">
        <v>538</v>
      </c>
      <c r="BJ24" s="281"/>
      <c r="BK24" s="203">
        <f>VLOOKUP(J24,'Tarieven ZM'!$B$7:$I$146,8,0)</f>
        <v>0</v>
      </c>
      <c r="BL24" s="203" t="str">
        <f t="shared" si="16"/>
        <v>FttHStandard</v>
      </c>
      <c r="BM24" s="282">
        <v>0</v>
      </c>
      <c r="BN24" s="262">
        <f>BM24/INDEX(Parameters!$B:$B,MATCH("AfschrijftermijnVVE"&amp;12*$C24,Parameters!$A:$A,0))</f>
        <v>0</v>
      </c>
      <c r="BO24" s="262">
        <f>INDEX('inkoop ULL tbv Epacity'!I:I,MATCH($BL24,'inkoop ULL tbv Epacity'!H:H,0))</f>
        <v>0</v>
      </c>
      <c r="BP24" s="263">
        <f t="shared" si="64"/>
        <v>0</v>
      </c>
      <c r="BR24" s="262">
        <f>Parameters!$B$12*AG24</f>
        <v>102.77777777777779</v>
      </c>
      <c r="BS24" s="262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SUM(Distributievergoedingen!$F$12,Distributievergoedingen!$I$12,Distributievergoedingen!$L$12,Distributievergoedingen!$O$12)*AF24+SUM(Distributievergoedingen!$O$12*AA24+Distributievergoedingen!$R$12+Distributievergoedingen!$U$12+Distributievergoedingen!$X$12)/(MAX(36,12*L24))</f>
        <v>112.77777777777777</v>
      </c>
      <c r="BT24" s="262"/>
      <c r="BU24" s="202">
        <f t="shared" si="65"/>
        <v>215.55555555555554</v>
      </c>
      <c r="BW24" s="278">
        <f t="shared" si="66"/>
        <v>215.55555555555554</v>
      </c>
      <c r="BY24" s="280">
        <f t="shared" si="67"/>
        <v>812.22222222222229</v>
      </c>
      <c r="BZ24" s="264">
        <f t="shared" si="68"/>
        <v>0.7902702702702703</v>
      </c>
      <c r="CA24" s="274" t="b">
        <f t="shared" si="69"/>
        <v>0</v>
      </c>
    </row>
    <row r="25" spans="1:79" s="203" customFormat="1">
      <c r="A25" s="203" t="str">
        <f t="shared" ref="A25:A26" si="70">C25&amp;D25&amp;E25&amp;F25</f>
        <v>1SA IPVPNEntry7x24</v>
      </c>
      <c r="B25" s="203" t="str">
        <f t="shared" ref="B25:B26" si="71">A25</f>
        <v>1SA IPVPNEntry7x24</v>
      </c>
      <c r="C25" s="438">
        <v>1</v>
      </c>
      <c r="D25" s="438" t="s">
        <v>93</v>
      </c>
      <c r="E25" s="438" t="s">
        <v>78</v>
      </c>
      <c r="F25" s="438" t="s">
        <v>34</v>
      </c>
      <c r="G25" s="438" t="s">
        <v>115</v>
      </c>
      <c r="H25" s="438" t="s">
        <v>115</v>
      </c>
      <c r="I25" s="438" t="s">
        <v>115</v>
      </c>
      <c r="J25" s="274" t="str">
        <f t="shared" ref="J25:J26" si="72">D25&amp;E25&amp;F25</f>
        <v>SA IPVPNEntry7x24</v>
      </c>
      <c r="L25" s="273">
        <f>INDEX(Mapping!$J:$J,MATCH(C$3&amp;C25,Mapping!$B:$B,0))</f>
        <v>1</v>
      </c>
      <c r="M25" s="179" t="str">
        <f>INDEX(Mapping!$H:$H,MATCH($E25,Mapping!$B:$B,0))</f>
        <v>WBA CM Ethernet</v>
      </c>
      <c r="N25" s="179" t="str">
        <f>INDEX(Mapping!$J:$J,MATCH($J25,Mapping!$B:$B,0))</f>
        <v>FttH</v>
      </c>
      <c r="O25" s="179" t="str">
        <f>INDEX(Mapping!$K:$K,MATCH($J25,Mapping!$B:$B,0))</f>
        <v>7x24</v>
      </c>
      <c r="P25"/>
      <c r="Q25" s="179"/>
      <c r="R25" s="179" t="str">
        <f>INDEX(Mapping!$H:$H,MATCH($H25,Mapping!$B:$B,0))</f>
        <v>nvt</v>
      </c>
      <c r="S25" s="179" t="str">
        <f>INDEX(Mapping!$H:$H,MATCH($I25,Mapping!$B:$B,0))</f>
        <v>nvt</v>
      </c>
      <c r="T25" s="179" t="str">
        <f t="shared" ref="T25:T26" si="73">M25&amp;N25&amp;O25</f>
        <v>WBA CM EthernetFttH7x24</v>
      </c>
      <c r="U25" s="274" t="str">
        <f t="shared" ref="U25:U26" si="74">T25</f>
        <v>WBA CM EthernetFttH7x24</v>
      </c>
      <c r="W25" s="273">
        <f>MATCH($J25,'Tarieven ZM'!$B:$B,0)</f>
        <v>122</v>
      </c>
      <c r="X25" s="179">
        <f>INDEX('Tarieven ZM'!$H:$H,$W25)</f>
        <v>1000</v>
      </c>
      <c r="Y25" s="276">
        <f>-INDEX(Parameters!$B:$B,MATCH(Y$3,Parameters!$A:$A,0))*$X25</f>
        <v>0</v>
      </c>
      <c r="Z25" s="277">
        <f>-INDEX(Parameters!$B:$B,MATCH(Z$3,Parameters!$A:$A,0))*$X25</f>
        <v>0</v>
      </c>
      <c r="AA25" s="179">
        <f t="shared" ref="AA25:AA26" si="75">SUM(X25:Z25)</f>
        <v>1000</v>
      </c>
      <c r="AB25" s="179">
        <f>AA25/INDEX(Parameters!$B:$B,MATCH("AfschrijftermijnVVE"&amp;12*$C25,Parameters!$A:$A,0))</f>
        <v>27.777777777777779</v>
      </c>
      <c r="AC25" s="179">
        <f>INDEX('Tarieven ZM'!$G:$G,$W25)</f>
        <v>1000</v>
      </c>
      <c r="AD25" s="276">
        <f>-INDEX(Parameters!$B:$B,MATCH(AD$3,Parameters!$A:$A,0))*$AC25</f>
        <v>0</v>
      </c>
      <c r="AE25" s="276">
        <f>-INDEX(Parameters!$B:$B,MATCH(AE$3,Parameters!$A:$A,0))*$AC25</f>
        <v>0</v>
      </c>
      <c r="AF25" s="179">
        <f t="shared" ref="AF25:AF26" si="76">SUM(AC25:AE25)</f>
        <v>1000</v>
      </c>
      <c r="AG25" s="278">
        <f t="shared" ref="AG25:AG26" si="77">SUM(AB25,AF25)</f>
        <v>1027.7777777777778</v>
      </c>
      <c r="AH25" s="209"/>
      <c r="AI25" s="279">
        <f>MATCH($T25,'Tarieven W&amp;O'!$B:$B,0)</f>
        <v>192</v>
      </c>
      <c r="AJ25" s="179">
        <f>IF(AI25&lt;&gt;"nvt",INDEX('Tarieven W&amp;O'!$H:$H,$AI25),0)</f>
        <v>0</v>
      </c>
      <c r="AK25" s="179">
        <f>IF(AI25&lt;&gt;"nvt",INDEX('Tarieven W&amp;O'!$I:$I,$AI25),0)</f>
        <v>0</v>
      </c>
      <c r="AL25" s="277">
        <f>IF(AI25&lt;&gt;"nvt",-INDEX(Parameters!$B:$B,MATCH(AL$3&amp;$M25,Parameters!$A:$A,0))*(AJ25+AK25),0)</f>
        <v>0</v>
      </c>
      <c r="AM25" s="277"/>
      <c r="AN25" s="179">
        <f t="shared" ref="AN25:AN26" si="78">SUM(AJ25:AM25)</f>
        <v>0</v>
      </c>
      <c r="AO25" s="262">
        <f>AN25/INDEX(Parameters!$B:$B,MATCH("AfschrijftermijnVVE"&amp;12*$C25,Parameters!$A:$A,0))</f>
        <v>0</v>
      </c>
      <c r="AP25" s="179">
        <f>MATCH($U25,'Tarieven W&amp;O'!$B:$B,0)</f>
        <v>192</v>
      </c>
      <c r="AQ25" s="202">
        <f>IF(AP25&lt;&gt;"nvt",INDEX('Tarieven W&amp;O'!$G:$G,$AP25),0)</f>
        <v>15.11</v>
      </c>
      <c r="AR25" s="277">
        <f>-INDEX(Parameters!$B:$B,MATCH(AR$3&amp;M25&amp;$N25,Parameters!$A:$A,0))*(AQ25)</f>
        <v>0</v>
      </c>
      <c r="AS25" s="179"/>
      <c r="AT25" s="179"/>
      <c r="AU25" s="202">
        <f t="shared" ref="AU25:AU26" si="79">SUM(AQ25:AT25)</f>
        <v>15.11</v>
      </c>
      <c r="AV25" s="202">
        <f t="shared" ref="AV25:AV26" si="80">SUM(AO25,AU25)</f>
        <v>15.11</v>
      </c>
      <c r="AW25" s="202"/>
      <c r="AX25" s="202">
        <f>Parameters!$B$6*AV25</f>
        <v>0.15109999999999998</v>
      </c>
      <c r="AY25" s="202">
        <v>0</v>
      </c>
      <c r="AZ25" s="202"/>
      <c r="BA25" s="202">
        <f t="shared" ref="BA25:BA26" si="81">SUM(AX25:AZ25)</f>
        <v>0.15109999999999998</v>
      </c>
      <c r="BB25" s="202"/>
      <c r="BC25" s="278">
        <f t="shared" ref="BC25:BC26" si="82">SUM(AV25,BA25)</f>
        <v>15.261099999999999</v>
      </c>
      <c r="BD25" s="209"/>
      <c r="BE25" s="280">
        <f t="shared" ref="BE25:BE26" si="83">AG25-BC25</f>
        <v>1012.5166777777779</v>
      </c>
      <c r="BF25" s="264">
        <f t="shared" ref="BF25:BF26" si="84">IF(AG25=0,-999%,BE25/AG25)</f>
        <v>0.98515136216216226</v>
      </c>
      <c r="BG25" s="274" t="b">
        <f t="shared" ref="BG25:BG26" si="85">BF25&lt;0</f>
        <v>0</v>
      </c>
      <c r="BI25" s="443" t="s">
        <v>538</v>
      </c>
      <c r="BJ25" s="281"/>
      <c r="BK25" s="203">
        <f>VLOOKUP(J25,'Tarieven ZM'!$B$7:$I$146,8,0)</f>
        <v>0</v>
      </c>
      <c r="BL25" s="203" t="str">
        <f t="shared" si="16"/>
        <v>FttH7x24</v>
      </c>
      <c r="BM25" s="282">
        <v>0</v>
      </c>
      <c r="BN25" s="262">
        <f>BM25/INDEX(Parameters!$B:$B,MATCH("AfschrijftermijnVVE"&amp;12*$C25,Parameters!$A:$A,0))</f>
        <v>0</v>
      </c>
      <c r="BO25" s="262">
        <f>INDEX('inkoop ULL tbv Epacity'!I:I,MATCH($BL25,'inkoop ULL tbv Epacity'!H:H,0))</f>
        <v>13.05</v>
      </c>
      <c r="BP25" s="263">
        <f t="shared" ref="BP25:BP26" si="86">BN25+BO25</f>
        <v>13.05</v>
      </c>
      <c r="BR25" s="262">
        <f>Parameters!$B$12*AG25</f>
        <v>102.77777777777779</v>
      </c>
      <c r="BS25" s="262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SUM(Distributievergoedingen!$F$12,Distributievergoedingen!$I$12,Distributievergoedingen!$L$12,Distributievergoedingen!$O$12)*AF25+SUM(Distributievergoedingen!$O$12*AA25+Distributievergoedingen!$R$12+Distributievergoedingen!$U$12+Distributievergoedingen!$X$12)/(MAX(36,12*L25))</f>
        <v>112.77777777777777</v>
      </c>
      <c r="BT25" s="262"/>
      <c r="BU25" s="202">
        <f t="shared" ref="BU25:BU26" si="87">SUM(BR25:BT25)</f>
        <v>215.55555555555554</v>
      </c>
      <c r="BW25" s="278">
        <f t="shared" ref="BW25:BW26" si="88">SUM(BP25,BU25)</f>
        <v>228.60555555555555</v>
      </c>
      <c r="BY25" s="280">
        <f t="shared" ref="BY25:BY26" si="89">AG25-BW25</f>
        <v>799.17222222222222</v>
      </c>
      <c r="BZ25" s="264">
        <f t="shared" ref="BZ25:BZ26" si="90">IF(AG25=0,-999%,BY25/AG25)</f>
        <v>0.7775729729729729</v>
      </c>
      <c r="CA25" s="274" t="b">
        <f t="shared" ref="CA25:CA26" si="91">BZ25&lt;0</f>
        <v>0</v>
      </c>
    </row>
    <row r="26" spans="1:79" s="203" customFormat="1">
      <c r="A26" s="203" t="str">
        <f t="shared" si="70"/>
        <v>1SA IPVPNPremium7x24</v>
      </c>
      <c r="B26" s="203" t="str">
        <f t="shared" si="71"/>
        <v>1SA IPVPNPremium7x24</v>
      </c>
      <c r="C26" s="438">
        <v>1</v>
      </c>
      <c r="D26" s="438" t="s">
        <v>93</v>
      </c>
      <c r="E26" s="438" t="s">
        <v>70</v>
      </c>
      <c r="F26" s="438" t="s">
        <v>34</v>
      </c>
      <c r="G26" s="438" t="s">
        <v>115</v>
      </c>
      <c r="H26" s="438" t="s">
        <v>115</v>
      </c>
      <c r="I26" s="438" t="s">
        <v>115</v>
      </c>
      <c r="J26" s="274" t="str">
        <f t="shared" si="72"/>
        <v>SA IPVPNPremium7x24</v>
      </c>
      <c r="L26" s="273">
        <f>INDEX(Mapping!$J:$J,MATCH(C$3&amp;C26,Mapping!$B:$B,0))</f>
        <v>1</v>
      </c>
      <c r="M26" s="179" t="str">
        <f>INDEX(Mapping!$H:$H,MATCH($E26,Mapping!$B:$B,0))</f>
        <v>WBA ZM Ethernet</v>
      </c>
      <c r="N26" s="179" t="str">
        <f>INDEX(Mapping!$J:$J,MATCH($J26,Mapping!$B:$B,0))</f>
        <v>FttH</v>
      </c>
      <c r="O26" s="179" t="str">
        <f>INDEX(Mapping!$K:$K,MATCH($J26,Mapping!$B:$B,0))</f>
        <v>7x24</v>
      </c>
      <c r="P26"/>
      <c r="Q26" s="179"/>
      <c r="R26" s="179" t="str">
        <f>INDEX(Mapping!$H:$H,MATCH($H26,Mapping!$B:$B,0))</f>
        <v>nvt</v>
      </c>
      <c r="S26" s="179" t="str">
        <f>INDEX(Mapping!$H:$H,MATCH($I26,Mapping!$B:$B,0))</f>
        <v>nvt</v>
      </c>
      <c r="T26" s="179" t="str">
        <f t="shared" si="73"/>
        <v>WBA ZM EthernetFttH7x24</v>
      </c>
      <c r="U26" s="274" t="str">
        <f t="shared" si="74"/>
        <v>WBA ZM EthernetFttH7x24</v>
      </c>
      <c r="W26" s="273">
        <f>MATCH($J26,'Tarieven ZM'!$B:$B,0)</f>
        <v>123</v>
      </c>
      <c r="X26" s="179">
        <f>INDEX('Tarieven ZM'!$H:$H,$W26)</f>
        <v>1000</v>
      </c>
      <c r="Y26" s="276">
        <f>-INDEX(Parameters!$B:$B,MATCH(Y$3,Parameters!$A:$A,0))*$X26</f>
        <v>0</v>
      </c>
      <c r="Z26" s="277">
        <f>-INDEX(Parameters!$B:$B,MATCH(Z$3,Parameters!$A:$A,0))*$X26</f>
        <v>0</v>
      </c>
      <c r="AA26" s="179">
        <f t="shared" si="75"/>
        <v>1000</v>
      </c>
      <c r="AB26" s="179">
        <f>AA26/INDEX(Parameters!$B:$B,MATCH("AfschrijftermijnVVE"&amp;12*$C26,Parameters!$A:$A,0))</f>
        <v>27.777777777777779</v>
      </c>
      <c r="AC26" s="179">
        <f>INDEX('Tarieven ZM'!$G:$G,$W26)</f>
        <v>1000</v>
      </c>
      <c r="AD26" s="276">
        <f>-INDEX(Parameters!$B:$B,MATCH(AD$3,Parameters!$A:$A,0))*$AC26</f>
        <v>0</v>
      </c>
      <c r="AE26" s="276">
        <f>-INDEX(Parameters!$B:$B,MATCH(AE$3,Parameters!$A:$A,0))*$AC26</f>
        <v>0</v>
      </c>
      <c r="AF26" s="179">
        <f t="shared" si="76"/>
        <v>1000</v>
      </c>
      <c r="AG26" s="278">
        <f t="shared" si="77"/>
        <v>1027.7777777777778</v>
      </c>
      <c r="AH26" s="209"/>
      <c r="AI26" s="279">
        <f>MATCH($T26,'Tarieven W&amp;O'!$B:$B,0)</f>
        <v>202</v>
      </c>
      <c r="AJ26" s="179">
        <f>IF(AI26&lt;&gt;"nvt",INDEX('Tarieven W&amp;O'!$H:$H,$AI26),0)</f>
        <v>0</v>
      </c>
      <c r="AK26" s="179">
        <f>IF(AI26&lt;&gt;"nvt",INDEX('Tarieven W&amp;O'!$I:$I,$AI26),0)</f>
        <v>0</v>
      </c>
      <c r="AL26" s="277">
        <f>IF(AI26&lt;&gt;"nvt",-INDEX(Parameters!$B:$B,MATCH(AL$3&amp;$M26,Parameters!$A:$A,0))*(AJ26+AK26),0)</f>
        <v>0</v>
      </c>
      <c r="AM26" s="277"/>
      <c r="AN26" s="179">
        <f t="shared" si="78"/>
        <v>0</v>
      </c>
      <c r="AO26" s="262">
        <f>AN26/INDEX(Parameters!$B:$B,MATCH("AfschrijftermijnVVE"&amp;12*$C26,Parameters!$A:$A,0))</f>
        <v>0</v>
      </c>
      <c r="AP26" s="179">
        <f>MATCH($U26,'Tarieven W&amp;O'!$B:$B,0)</f>
        <v>202</v>
      </c>
      <c r="AQ26" s="202">
        <f>IF(AP26&lt;&gt;"nvt",INDEX('Tarieven W&amp;O'!$G:$G,$AP26),0)</f>
        <v>15</v>
      </c>
      <c r="AR26" s="277">
        <f>-INDEX(Parameters!$B:$B,MATCH(AR$3&amp;M26&amp;$N26,Parameters!$A:$A,0))*(AQ26)</f>
        <v>0</v>
      </c>
      <c r="AS26" s="179"/>
      <c r="AT26" s="179"/>
      <c r="AU26" s="202">
        <f t="shared" si="79"/>
        <v>15</v>
      </c>
      <c r="AV26" s="202">
        <f t="shared" si="80"/>
        <v>15</v>
      </c>
      <c r="AW26" s="202"/>
      <c r="AX26" s="202">
        <f>Parameters!$B$6*AV26</f>
        <v>0.15</v>
      </c>
      <c r="AY26" s="202">
        <v>0</v>
      </c>
      <c r="AZ26" s="202"/>
      <c r="BA26" s="202">
        <f t="shared" si="81"/>
        <v>0.15</v>
      </c>
      <c r="BB26" s="202"/>
      <c r="BC26" s="278">
        <f t="shared" si="82"/>
        <v>15.15</v>
      </c>
      <c r="BD26" s="209"/>
      <c r="BE26" s="280">
        <f t="shared" si="83"/>
        <v>1012.6277777777779</v>
      </c>
      <c r="BF26" s="264">
        <f t="shared" si="84"/>
        <v>0.98525945945945947</v>
      </c>
      <c r="BG26" s="274" t="b">
        <f t="shared" si="85"/>
        <v>0</v>
      </c>
      <c r="BI26" s="443" t="s">
        <v>538</v>
      </c>
      <c r="BJ26" s="281"/>
      <c r="BK26" s="203">
        <f>VLOOKUP(J26,'Tarieven ZM'!$B$7:$I$146,8,0)</f>
        <v>0</v>
      </c>
      <c r="BL26" s="203" t="str">
        <f t="shared" si="16"/>
        <v>FttH7x24</v>
      </c>
      <c r="BM26" s="282">
        <v>0</v>
      </c>
      <c r="BN26" s="262">
        <f>BM26/INDEX(Parameters!$B:$B,MATCH("AfschrijftermijnVVE"&amp;12*$C26,Parameters!$A:$A,0))</f>
        <v>0</v>
      </c>
      <c r="BO26" s="262">
        <f>INDEX('inkoop ULL tbv Epacity'!I:I,MATCH($BL26,'inkoop ULL tbv Epacity'!H:H,0))</f>
        <v>13.05</v>
      </c>
      <c r="BP26" s="263">
        <f t="shared" si="86"/>
        <v>13.05</v>
      </c>
      <c r="BR26" s="262">
        <f>Parameters!$B$12*AG26</f>
        <v>102.77777777777779</v>
      </c>
      <c r="BS26" s="262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SUM(Distributievergoedingen!$F$12,Distributievergoedingen!$I$12,Distributievergoedingen!$L$12,Distributievergoedingen!$O$12)*AF26+SUM(Distributievergoedingen!$O$12*AA26+Distributievergoedingen!$R$12+Distributievergoedingen!$U$12+Distributievergoedingen!$X$12)/(MAX(36,12*L26))</f>
        <v>112.77777777777777</v>
      </c>
      <c r="BT26" s="262"/>
      <c r="BU26" s="202">
        <f t="shared" si="87"/>
        <v>215.55555555555554</v>
      </c>
      <c r="BW26" s="278">
        <f t="shared" si="88"/>
        <v>228.60555555555555</v>
      </c>
      <c r="BY26" s="280">
        <f t="shared" si="89"/>
        <v>799.17222222222222</v>
      </c>
      <c r="BZ26" s="264">
        <f t="shared" si="90"/>
        <v>0.7775729729729729</v>
      </c>
      <c r="CA26" s="274" t="b">
        <f t="shared" si="91"/>
        <v>0</v>
      </c>
    </row>
    <row r="27" spans="1:79" s="203" customFormat="1">
      <c r="A27" s="203" t="str">
        <f t="shared" ref="A27:A49" si="92">C27&amp;D27&amp;E27&amp;F27</f>
        <v>2ADSLPremiumwinkeluren</v>
      </c>
      <c r="B27" s="203" t="str">
        <f t="shared" ref="B27:B49" si="93">A27</f>
        <v>2ADSLPremiumwinkeluren</v>
      </c>
      <c r="C27" s="438">
        <v>2</v>
      </c>
      <c r="D27" s="438" t="s">
        <v>42</v>
      </c>
      <c r="E27" s="438" t="s">
        <v>70</v>
      </c>
      <c r="F27" s="438" t="s">
        <v>131</v>
      </c>
      <c r="G27" s="438" t="s">
        <v>115</v>
      </c>
      <c r="H27" s="438" t="s">
        <v>115</v>
      </c>
      <c r="I27" s="438" t="s">
        <v>115</v>
      </c>
      <c r="J27" s="274" t="str">
        <f t="shared" ref="J27:J49" si="94">D27&amp;E27&amp;F27</f>
        <v>ADSLPremiumwinkeluren</v>
      </c>
      <c r="L27" s="273">
        <f>INDEX(Mapping!$J:$J,MATCH(C$3&amp;C27,Mapping!$B:$B,0))</f>
        <v>1</v>
      </c>
      <c r="M27" s="179" t="str">
        <f>INDEX(Mapping!$H:$H,MATCH($E27,Mapping!$B:$B,0))</f>
        <v>WBA ZM Ethernet</v>
      </c>
      <c r="N27" s="179" t="str">
        <f>INDEX(Mapping!$J:$J,MATCH($J27,Mapping!$B:$B,0))</f>
        <v>ADSL</v>
      </c>
      <c r="O27" s="179" t="str">
        <f>INDEX(Mapping!$K:$K,MATCH($J27,Mapping!$B:$B,0))</f>
        <v>7x24</v>
      </c>
      <c r="P27"/>
      <c r="Q27" s="179"/>
      <c r="R27" s="179" t="str">
        <f>INDEX(Mapping!$H:$H,MATCH($H27,Mapping!$B:$B,0))</f>
        <v>nvt</v>
      </c>
      <c r="S27" s="179" t="str">
        <f>INDEX(Mapping!$H:$H,MATCH($I27,Mapping!$B:$B,0))</f>
        <v>nvt</v>
      </c>
      <c r="T27" s="179" t="str">
        <f t="shared" ref="T27:T49" si="95">M27&amp;N27&amp;O27</f>
        <v>WBA ZM EthernetADSL7x24</v>
      </c>
      <c r="U27" s="274" t="str">
        <f t="shared" ref="U27:U49" si="96">T27</f>
        <v>WBA ZM EthernetADSL7x24</v>
      </c>
      <c r="W27" s="273">
        <f>MATCH($J27,'Tarieven ZM'!$B:$B,0)</f>
        <v>111</v>
      </c>
      <c r="X27" s="179">
        <f>INDEX('Tarieven ZM'!$H:$H,$W27)</f>
        <v>1000</v>
      </c>
      <c r="Y27" s="276">
        <f>-INDEX(Parameters!$B:$B,MATCH(Y$3,Parameters!$A:$A,0))*$X27</f>
        <v>0</v>
      </c>
      <c r="Z27" s="277">
        <f>-INDEX(Parameters!$B:$B,MATCH(Z$3,Parameters!$A:$A,0))*$X27</f>
        <v>0</v>
      </c>
      <c r="AA27" s="179">
        <f t="shared" ref="AA27:AA49" si="97">SUM(X27:Z27)</f>
        <v>1000</v>
      </c>
      <c r="AB27" s="179">
        <f>AA27/INDEX(Parameters!$B:$B,MATCH("AfschrijftermijnVVE"&amp;12*$C27,Parameters!$A:$A,0))</f>
        <v>27.777777777777779</v>
      </c>
      <c r="AC27" s="179">
        <f>INDEX('Tarieven ZM'!$G:$G,$W27)</f>
        <v>1000</v>
      </c>
      <c r="AD27" s="276">
        <f>-INDEX(Parameters!$B:$B,MATCH(AD$3,Parameters!$A:$A,0))*$AC27</f>
        <v>0</v>
      </c>
      <c r="AE27" s="276">
        <f>-INDEX(Parameters!$B:$B,MATCH(AE$3,Parameters!$A:$A,0))*$AC27</f>
        <v>0</v>
      </c>
      <c r="AF27" s="179">
        <f t="shared" ref="AF27:AF49" si="98">SUM(AC27:AE27)</f>
        <v>1000</v>
      </c>
      <c r="AG27" s="278">
        <f t="shared" ref="AG27:AG49" si="99">SUM(AB27,AF27)</f>
        <v>1027.7777777777778</v>
      </c>
      <c r="AH27" s="209"/>
      <c r="AI27" s="279">
        <f>MATCH($T27,'Tarieven W&amp;O'!$B:$B,0)</f>
        <v>199</v>
      </c>
      <c r="AJ27" s="179">
        <f>IF(AI27&lt;&gt;"nvt",INDEX('Tarieven W&amp;O'!$H:$H,$AI27),0)</f>
        <v>0</v>
      </c>
      <c r="AK27" s="179">
        <f>IF(AI27&lt;&gt;"nvt",INDEX('Tarieven W&amp;O'!$I:$I,$AI27),0)</f>
        <v>0</v>
      </c>
      <c r="AL27" s="277">
        <f>IF(AI27&lt;&gt;"nvt",-INDEX(Parameters!$B:$B,MATCH(AL$3&amp;$M27,Parameters!$A:$A,0))*(AJ27+AK27),0)</f>
        <v>0</v>
      </c>
      <c r="AM27" s="277"/>
      <c r="AN27" s="179">
        <f t="shared" ref="AN27:AN49" si="100">SUM(AJ27:AM27)</f>
        <v>0</v>
      </c>
      <c r="AO27" s="262">
        <f>AN27/INDEX(Parameters!$B:$B,MATCH("AfschrijftermijnVVE"&amp;12*$C27,Parameters!$A:$A,0))</f>
        <v>0</v>
      </c>
      <c r="AP27" s="179">
        <f>MATCH($U27,'Tarieven W&amp;O'!$B:$B,0)</f>
        <v>199</v>
      </c>
      <c r="AQ27" s="202">
        <f>IF(AP27&lt;&gt;"nvt",INDEX('Tarieven W&amp;O'!$G:$G,$AP27),0)</f>
        <v>8.1199999999999992</v>
      </c>
      <c r="AR27" s="277">
        <f>-INDEX(Parameters!$B:$B,MATCH(AR$3&amp;M27&amp;$N27,Parameters!$A:$A,0))*(AQ27)</f>
        <v>0</v>
      </c>
      <c r="AS27" s="179"/>
      <c r="AT27" s="179"/>
      <c r="AU27" s="202">
        <f t="shared" ref="AU27:AU49" si="101">SUM(AQ27:AT27)</f>
        <v>8.1199999999999992</v>
      </c>
      <c r="AV27" s="202">
        <f t="shared" ref="AV27:AV49" si="102">SUM(AO27,AU27)</f>
        <v>8.1199999999999992</v>
      </c>
      <c r="AW27" s="202"/>
      <c r="AX27" s="202">
        <f>Parameters!$B$6*AV27</f>
        <v>8.1199999999999994E-2</v>
      </c>
      <c r="AY27" s="202">
        <v>0</v>
      </c>
      <c r="AZ27" s="202"/>
      <c r="BA27" s="202">
        <f t="shared" si="11"/>
        <v>8.1199999999999994E-2</v>
      </c>
      <c r="BB27" s="202"/>
      <c r="BC27" s="278">
        <f t="shared" si="12"/>
        <v>8.2012</v>
      </c>
      <c r="BD27" s="209"/>
      <c r="BE27" s="280">
        <f t="shared" ref="BE27:BE49" si="103">AG27-BC27</f>
        <v>1019.5765777777779</v>
      </c>
      <c r="BF27" s="264">
        <f t="shared" ref="BF27:BF49" si="104">IF(AG27=0,-999%,BE27/AG27)</f>
        <v>0.99202045405405403</v>
      </c>
      <c r="BG27" s="274" t="b">
        <f t="shared" ref="BG27:BG49" si="105">BF27&lt;0</f>
        <v>0</v>
      </c>
      <c r="BI27" s="443" t="s">
        <v>538</v>
      </c>
      <c r="BJ27" s="281"/>
      <c r="BK27" s="203">
        <f>VLOOKUP(J27,'Tarieven ZM'!$B$7:$I$146,8,0)</f>
        <v>0</v>
      </c>
      <c r="BL27" s="203" t="str">
        <f t="shared" si="16"/>
        <v>ADSL7x24</v>
      </c>
      <c r="BM27" s="282">
        <v>0</v>
      </c>
      <c r="BN27" s="262">
        <f>BM27/INDEX(Parameters!$B:$B,MATCH("AfschrijftermijnVVE"&amp;12*$C27,Parameters!$A:$A,0))</f>
        <v>0</v>
      </c>
      <c r="BO27" s="262">
        <f>INDEX('inkoop ULL tbv Epacity'!I:I,MATCH($BL27,'inkoop ULL tbv Epacity'!H:H,0))</f>
        <v>8.1300000000000008</v>
      </c>
      <c r="BP27" s="263">
        <f t="shared" si="17"/>
        <v>8.1300000000000008</v>
      </c>
      <c r="BR27" s="262">
        <f>Parameters!$B$12*AG27</f>
        <v>102.77777777777779</v>
      </c>
      <c r="BS27" s="262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SUM(Distributievergoedingen!$F$12,Distributievergoedingen!$I$12,Distributievergoedingen!$L$12,Distributievergoedingen!$O$12)*AF27+SUM(Distributievergoedingen!$O$12*AA27+Distributievergoedingen!$R$12+Distributievergoedingen!$U$12+Distributievergoedingen!$X$12)/(MAX(36,12*L27))</f>
        <v>112.77777777777777</v>
      </c>
      <c r="BT27" s="262"/>
      <c r="BU27" s="202">
        <f t="shared" si="18"/>
        <v>215.55555555555554</v>
      </c>
      <c r="BW27" s="278">
        <f t="shared" si="19"/>
        <v>223.68555555555554</v>
      </c>
      <c r="BY27" s="280">
        <f t="shared" si="20"/>
        <v>804.09222222222229</v>
      </c>
      <c r="BZ27" s="264">
        <f t="shared" si="21"/>
        <v>0.78236000000000006</v>
      </c>
      <c r="CA27" s="274" t="b">
        <f t="shared" si="22"/>
        <v>0</v>
      </c>
    </row>
    <row r="28" spans="1:79" s="203" customFormat="1">
      <c r="A28" s="203" t="str">
        <f t="shared" si="92"/>
        <v>2ADSLBasic7x24</v>
      </c>
      <c r="B28" s="203" t="str">
        <f t="shared" si="93"/>
        <v>2ADSLBasic7x24</v>
      </c>
      <c r="C28" s="438">
        <v>2</v>
      </c>
      <c r="D28" s="438" t="s">
        <v>42</v>
      </c>
      <c r="E28" s="438" t="s">
        <v>44</v>
      </c>
      <c r="F28" s="438" t="s">
        <v>34</v>
      </c>
      <c r="G28" s="438" t="s">
        <v>115</v>
      </c>
      <c r="H28" s="438" t="s">
        <v>115</v>
      </c>
      <c r="I28" s="438" t="s">
        <v>115</v>
      </c>
      <c r="J28" s="274" t="str">
        <f t="shared" si="94"/>
        <v>ADSLBasic7x24</v>
      </c>
      <c r="L28" s="273">
        <f>INDEX(Mapping!$J:$J,MATCH(C$3&amp;C28,Mapping!$B:$B,0))</f>
        <v>1</v>
      </c>
      <c r="M28" s="179" t="str">
        <f>INDEX(Mapping!$H:$H,MATCH($E28,Mapping!$B:$B,0))</f>
        <v>WBA CM Ethernet</v>
      </c>
      <c r="N28" s="179" t="str">
        <f>INDEX(Mapping!$J:$J,MATCH($J28,Mapping!$B:$B,0))</f>
        <v>ADSL</v>
      </c>
      <c r="O28" s="179" t="str">
        <f>INDEX(Mapping!$K:$K,MATCH($J28,Mapping!$B:$B,0))</f>
        <v>7x24</v>
      </c>
      <c r="P28"/>
      <c r="Q28" s="179"/>
      <c r="R28" s="179" t="str">
        <f>INDEX(Mapping!$H:$H,MATCH($H28,Mapping!$B:$B,0))</f>
        <v>nvt</v>
      </c>
      <c r="S28" s="179" t="str">
        <f>INDEX(Mapping!$H:$H,MATCH($I28,Mapping!$B:$B,0))</f>
        <v>nvt</v>
      </c>
      <c r="T28" s="179" t="str">
        <f t="shared" si="95"/>
        <v>WBA CM EthernetADSL7x24</v>
      </c>
      <c r="U28" s="274" t="str">
        <f t="shared" si="96"/>
        <v>WBA CM EthernetADSL7x24</v>
      </c>
      <c r="W28" s="273">
        <f>MATCH($J28,'Tarieven ZM'!$B:$B,0)</f>
        <v>112</v>
      </c>
      <c r="X28" s="179">
        <f>INDEX('Tarieven ZM'!$H:$H,$W28)</f>
        <v>1000</v>
      </c>
      <c r="Y28" s="276">
        <f>-INDEX(Parameters!$B:$B,MATCH(Y$3,Parameters!$A:$A,0))*$X28</f>
        <v>0</v>
      </c>
      <c r="Z28" s="277">
        <f>-INDEX(Parameters!$B:$B,MATCH(Z$3,Parameters!$A:$A,0))*$X28</f>
        <v>0</v>
      </c>
      <c r="AA28" s="179">
        <f t="shared" si="97"/>
        <v>1000</v>
      </c>
      <c r="AB28" s="179">
        <f>AA28/INDEX(Parameters!$B:$B,MATCH("AfschrijftermijnVVE"&amp;12*$C28,Parameters!$A:$A,0))</f>
        <v>27.777777777777779</v>
      </c>
      <c r="AC28" s="179">
        <f>INDEX('Tarieven ZM'!$G:$G,$W28)</f>
        <v>1000</v>
      </c>
      <c r="AD28" s="276">
        <f>-INDEX(Parameters!$B:$B,MATCH(AD$3,Parameters!$A:$A,0))*$AC28</f>
        <v>0</v>
      </c>
      <c r="AE28" s="276">
        <f>-INDEX(Parameters!$B:$B,MATCH(AE$3,Parameters!$A:$A,0))*$AC28</f>
        <v>0</v>
      </c>
      <c r="AF28" s="179">
        <f t="shared" si="98"/>
        <v>1000</v>
      </c>
      <c r="AG28" s="278">
        <f t="shared" si="99"/>
        <v>1027.7777777777778</v>
      </c>
      <c r="AH28" s="209"/>
      <c r="AI28" s="279">
        <f>MATCH($T28,'Tarieven W&amp;O'!$B:$B,0)</f>
        <v>189</v>
      </c>
      <c r="AJ28" s="179">
        <f>IF(AI28&lt;&gt;"nvt",INDEX('Tarieven W&amp;O'!$H:$H,$AI28),0)</f>
        <v>0</v>
      </c>
      <c r="AK28" s="179">
        <f>IF(AI28&lt;&gt;"nvt",INDEX('Tarieven W&amp;O'!$I:$I,$AI28),0)</f>
        <v>0</v>
      </c>
      <c r="AL28" s="277">
        <f>IF(AI28&lt;&gt;"nvt",-INDEX(Parameters!$B:$B,MATCH(AL$3&amp;$M28,Parameters!$A:$A,0))*(AJ28+AK28),0)</f>
        <v>0</v>
      </c>
      <c r="AM28" s="277"/>
      <c r="AN28" s="179">
        <f t="shared" si="100"/>
        <v>0</v>
      </c>
      <c r="AO28" s="262">
        <f>AN28/INDEX(Parameters!$B:$B,MATCH("AfschrijftermijnVVE"&amp;12*$C28,Parameters!$A:$A,0))</f>
        <v>0</v>
      </c>
      <c r="AP28" s="179">
        <f>MATCH($U28,'Tarieven W&amp;O'!$B:$B,0)</f>
        <v>189</v>
      </c>
      <c r="AQ28" s="202">
        <f>IF(AP28&lt;&gt;"nvt",INDEX('Tarieven W&amp;O'!$G:$G,$AP28),0)</f>
        <v>15.11</v>
      </c>
      <c r="AR28" s="277">
        <f>-INDEX(Parameters!$B:$B,MATCH(AR$3&amp;M28&amp;$N28,Parameters!$A:$A,0))*(AQ28)</f>
        <v>-1.5110000000000001</v>
      </c>
      <c r="AS28" s="179"/>
      <c r="AT28" s="179"/>
      <c r="AU28" s="202">
        <f t="shared" si="101"/>
        <v>13.599</v>
      </c>
      <c r="AV28" s="202">
        <f t="shared" si="102"/>
        <v>13.599</v>
      </c>
      <c r="AW28" s="202"/>
      <c r="AX28" s="202">
        <f>Parameters!$B$6*AV28</f>
        <v>0.13599</v>
      </c>
      <c r="AY28" s="202">
        <v>0</v>
      </c>
      <c r="AZ28" s="202"/>
      <c r="BA28" s="202">
        <f t="shared" si="11"/>
        <v>0.13599</v>
      </c>
      <c r="BB28" s="202"/>
      <c r="BC28" s="278">
        <f t="shared" si="12"/>
        <v>13.73499</v>
      </c>
      <c r="BD28" s="209"/>
      <c r="BE28" s="280">
        <f t="shared" si="103"/>
        <v>1014.0427877777778</v>
      </c>
      <c r="BF28" s="264">
        <f t="shared" si="104"/>
        <v>0.98663622594594591</v>
      </c>
      <c r="BG28" s="274" t="b">
        <f t="shared" si="105"/>
        <v>0</v>
      </c>
      <c r="BI28" s="443" t="s">
        <v>538</v>
      </c>
      <c r="BJ28" s="281"/>
      <c r="BK28" s="203">
        <f>VLOOKUP(J28,'Tarieven ZM'!$B$7:$I$146,8,0)</f>
        <v>0</v>
      </c>
      <c r="BL28" s="203" t="str">
        <f t="shared" si="16"/>
        <v>ADSL7x24</v>
      </c>
      <c r="BM28" s="282">
        <v>0</v>
      </c>
      <c r="BN28" s="262">
        <f>BM28/INDEX(Parameters!$B:$B,MATCH("AfschrijftermijnVVE"&amp;12*$C28,Parameters!$A:$A,0))</f>
        <v>0</v>
      </c>
      <c r="BO28" s="262">
        <f>INDEX('inkoop ULL tbv Epacity'!I:I,MATCH($BL28,'inkoop ULL tbv Epacity'!H:H,0))</f>
        <v>8.1300000000000008</v>
      </c>
      <c r="BP28" s="263">
        <f t="shared" si="17"/>
        <v>8.1300000000000008</v>
      </c>
      <c r="BR28" s="262">
        <f>Parameters!$B$12*AG28</f>
        <v>102.77777777777779</v>
      </c>
      <c r="BS28" s="262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SUM(Distributievergoedingen!$F$12,Distributievergoedingen!$I$12,Distributievergoedingen!$L$12,Distributievergoedingen!$O$12)*AF28+SUM(Distributievergoedingen!$O$12*AA28+Distributievergoedingen!$R$12+Distributievergoedingen!$U$12+Distributievergoedingen!$X$12)/(MAX(36,12*L28))</f>
        <v>112.77777777777777</v>
      </c>
      <c r="BT28" s="262"/>
      <c r="BU28" s="202">
        <f t="shared" si="18"/>
        <v>215.55555555555554</v>
      </c>
      <c r="BW28" s="278">
        <f t="shared" si="19"/>
        <v>223.68555555555554</v>
      </c>
      <c r="BY28" s="280">
        <f t="shared" si="20"/>
        <v>804.09222222222229</v>
      </c>
      <c r="BZ28" s="264">
        <f t="shared" si="21"/>
        <v>0.78236000000000006</v>
      </c>
      <c r="CA28" s="274" t="b">
        <f t="shared" si="22"/>
        <v>0</v>
      </c>
    </row>
    <row r="29" spans="1:79" s="203" customFormat="1">
      <c r="A29" s="203" t="str">
        <f t="shared" si="92"/>
        <v>2ADSLPremium7x24</v>
      </c>
      <c r="B29" s="203" t="str">
        <f t="shared" si="93"/>
        <v>2ADSLPremium7x24</v>
      </c>
      <c r="C29" s="438">
        <v>2</v>
      </c>
      <c r="D29" s="438" t="s">
        <v>42</v>
      </c>
      <c r="E29" s="438" t="s">
        <v>70</v>
      </c>
      <c r="F29" s="438" t="s">
        <v>34</v>
      </c>
      <c r="G29" s="438" t="s">
        <v>115</v>
      </c>
      <c r="H29" s="438" t="s">
        <v>115</v>
      </c>
      <c r="I29" s="438" t="s">
        <v>115</v>
      </c>
      <c r="J29" s="274" t="str">
        <f t="shared" si="94"/>
        <v>ADSLPremium7x24</v>
      </c>
      <c r="L29" s="273">
        <f>INDEX(Mapping!$J:$J,MATCH(C$3&amp;C29,Mapping!$B:$B,0))</f>
        <v>1</v>
      </c>
      <c r="M29" s="179" t="str">
        <f>INDEX(Mapping!$H:$H,MATCH($E29,Mapping!$B:$B,0))</f>
        <v>WBA ZM Ethernet</v>
      </c>
      <c r="N29" s="179" t="str">
        <f>INDEX(Mapping!$J:$J,MATCH($J29,Mapping!$B:$B,0))</f>
        <v>ADSL</v>
      </c>
      <c r="O29" s="179" t="str">
        <f>INDEX(Mapping!$K:$K,MATCH($J29,Mapping!$B:$B,0))</f>
        <v>7x24</v>
      </c>
      <c r="P29"/>
      <c r="Q29" s="179"/>
      <c r="R29" s="179" t="str">
        <f>INDEX(Mapping!$H:$H,MATCH($H29,Mapping!$B:$B,0))</f>
        <v>nvt</v>
      </c>
      <c r="S29" s="179" t="str">
        <f>INDEX(Mapping!$H:$H,MATCH($I29,Mapping!$B:$B,0))</f>
        <v>nvt</v>
      </c>
      <c r="T29" s="179" t="str">
        <f t="shared" si="95"/>
        <v>WBA ZM EthernetADSL7x24</v>
      </c>
      <c r="U29" s="274" t="str">
        <f t="shared" si="96"/>
        <v>WBA ZM EthernetADSL7x24</v>
      </c>
      <c r="W29" s="273">
        <f>MATCH($J29,'Tarieven ZM'!$B:$B,0)</f>
        <v>113</v>
      </c>
      <c r="X29" s="179">
        <f>INDEX('Tarieven ZM'!$H:$H,$W29)</f>
        <v>1000</v>
      </c>
      <c r="Y29" s="276">
        <f>-INDEX(Parameters!$B:$B,MATCH(Y$3,Parameters!$A:$A,0))*$X29</f>
        <v>0</v>
      </c>
      <c r="Z29" s="277">
        <f>-INDEX(Parameters!$B:$B,MATCH(Z$3,Parameters!$A:$A,0))*$X29</f>
        <v>0</v>
      </c>
      <c r="AA29" s="179">
        <f t="shared" si="97"/>
        <v>1000</v>
      </c>
      <c r="AB29" s="179">
        <f>AA29/INDEX(Parameters!$B:$B,MATCH("AfschrijftermijnVVE"&amp;12*$C29,Parameters!$A:$A,0))</f>
        <v>27.777777777777779</v>
      </c>
      <c r="AC29" s="179">
        <f>INDEX('Tarieven ZM'!$G:$G,$W29)</f>
        <v>1000</v>
      </c>
      <c r="AD29" s="276">
        <f>-INDEX(Parameters!$B:$B,MATCH(AD$3,Parameters!$A:$A,0))*$AC29</f>
        <v>0</v>
      </c>
      <c r="AE29" s="276">
        <f>-INDEX(Parameters!$B:$B,MATCH(AE$3,Parameters!$A:$A,0))*$AC29</f>
        <v>0</v>
      </c>
      <c r="AF29" s="179">
        <f t="shared" si="98"/>
        <v>1000</v>
      </c>
      <c r="AG29" s="278">
        <f t="shared" si="99"/>
        <v>1027.7777777777778</v>
      </c>
      <c r="AH29" s="209"/>
      <c r="AI29" s="279">
        <f>MATCH($T29,'Tarieven W&amp;O'!$B:$B,0)</f>
        <v>199</v>
      </c>
      <c r="AJ29" s="179">
        <f>IF(AI29&lt;&gt;"nvt",INDEX('Tarieven W&amp;O'!$H:$H,$AI29),0)</f>
        <v>0</v>
      </c>
      <c r="AK29" s="179">
        <f>IF(AI29&lt;&gt;"nvt",INDEX('Tarieven W&amp;O'!$I:$I,$AI29),0)</f>
        <v>0</v>
      </c>
      <c r="AL29" s="277">
        <f>IF(AI29&lt;&gt;"nvt",-INDEX(Parameters!$B:$B,MATCH(AL$3&amp;$M29,Parameters!$A:$A,0))*(AJ29+AK29),0)</f>
        <v>0</v>
      </c>
      <c r="AM29" s="277"/>
      <c r="AN29" s="179">
        <f t="shared" si="100"/>
        <v>0</v>
      </c>
      <c r="AO29" s="262">
        <f>AN29/INDEX(Parameters!$B:$B,MATCH("AfschrijftermijnVVE"&amp;12*$C29,Parameters!$A:$A,0))</f>
        <v>0</v>
      </c>
      <c r="AP29" s="179">
        <f>MATCH($U29,'Tarieven W&amp;O'!$B:$B,0)</f>
        <v>199</v>
      </c>
      <c r="AQ29" s="202">
        <f>IF(AP29&lt;&gt;"nvt",INDEX('Tarieven W&amp;O'!$G:$G,$AP29),0)</f>
        <v>8.1199999999999992</v>
      </c>
      <c r="AR29" s="277">
        <f>-INDEX(Parameters!$B:$B,MATCH(AR$3&amp;M29&amp;$N29,Parameters!$A:$A,0))*(AQ29)</f>
        <v>0</v>
      </c>
      <c r="AS29" s="179"/>
      <c r="AT29" s="179"/>
      <c r="AU29" s="202">
        <f t="shared" si="101"/>
        <v>8.1199999999999992</v>
      </c>
      <c r="AV29" s="202">
        <f t="shared" si="102"/>
        <v>8.1199999999999992</v>
      </c>
      <c r="AW29" s="202"/>
      <c r="AX29" s="202">
        <f>Parameters!$B$6*AV29</f>
        <v>8.1199999999999994E-2</v>
      </c>
      <c r="AY29" s="202">
        <v>0</v>
      </c>
      <c r="AZ29" s="202"/>
      <c r="BA29" s="202">
        <f t="shared" si="11"/>
        <v>8.1199999999999994E-2</v>
      </c>
      <c r="BB29" s="202"/>
      <c r="BC29" s="278">
        <f t="shared" si="12"/>
        <v>8.2012</v>
      </c>
      <c r="BD29" s="209"/>
      <c r="BE29" s="280">
        <f t="shared" si="103"/>
        <v>1019.5765777777779</v>
      </c>
      <c r="BF29" s="264">
        <f t="shared" si="104"/>
        <v>0.99202045405405403</v>
      </c>
      <c r="BG29" s="274" t="b">
        <f t="shared" si="105"/>
        <v>0</v>
      </c>
      <c r="BI29" s="443" t="s">
        <v>538</v>
      </c>
      <c r="BJ29" s="281"/>
      <c r="BK29" s="203">
        <f>VLOOKUP(J29,'Tarieven ZM'!$B$7:$I$146,8,0)</f>
        <v>0</v>
      </c>
      <c r="BL29" s="203" t="str">
        <f t="shared" si="16"/>
        <v>ADSL7x24</v>
      </c>
      <c r="BM29" s="282">
        <v>0</v>
      </c>
      <c r="BN29" s="262">
        <f>BM29/INDEX(Parameters!$B:$B,MATCH("AfschrijftermijnVVE"&amp;12*$C29,Parameters!$A:$A,0))</f>
        <v>0</v>
      </c>
      <c r="BO29" s="262">
        <f>INDEX('inkoop ULL tbv Epacity'!I:I,MATCH($BL29,'inkoop ULL tbv Epacity'!H:H,0))</f>
        <v>8.1300000000000008</v>
      </c>
      <c r="BP29" s="263">
        <f t="shared" si="17"/>
        <v>8.1300000000000008</v>
      </c>
      <c r="BR29" s="262">
        <f>Parameters!$B$12*AG29</f>
        <v>102.77777777777779</v>
      </c>
      <c r="BS29" s="262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SUM(Distributievergoedingen!$F$12,Distributievergoedingen!$I$12,Distributievergoedingen!$L$12,Distributievergoedingen!$O$12)*AF29+SUM(Distributievergoedingen!$O$12*AA29+Distributievergoedingen!$R$12+Distributievergoedingen!$U$12+Distributievergoedingen!$X$12)/(MAX(36,12*L29))</f>
        <v>112.77777777777777</v>
      </c>
      <c r="BT29" s="262"/>
      <c r="BU29" s="202">
        <f t="shared" si="18"/>
        <v>215.55555555555554</v>
      </c>
      <c r="BW29" s="278">
        <f t="shared" si="19"/>
        <v>223.68555555555554</v>
      </c>
      <c r="BY29" s="280">
        <f t="shared" si="20"/>
        <v>804.09222222222229</v>
      </c>
      <c r="BZ29" s="264">
        <f t="shared" si="21"/>
        <v>0.78236000000000006</v>
      </c>
      <c r="CA29" s="274" t="b">
        <f t="shared" si="22"/>
        <v>0</v>
      </c>
    </row>
    <row r="30" spans="1:79" s="203" customFormat="1">
      <c r="A30" s="203" t="str">
        <f t="shared" si="92"/>
        <v>2SDSLBasicwinkeluren</v>
      </c>
      <c r="B30" s="203" t="str">
        <f t="shared" si="93"/>
        <v>2SDSLBasicwinkeluren</v>
      </c>
      <c r="C30" s="438">
        <v>2</v>
      </c>
      <c r="D30" s="438" t="s">
        <v>64</v>
      </c>
      <c r="E30" s="438" t="s">
        <v>44</v>
      </c>
      <c r="F30" s="438" t="s">
        <v>131</v>
      </c>
      <c r="G30" s="438" t="s">
        <v>115</v>
      </c>
      <c r="H30" s="438" t="s">
        <v>115</v>
      </c>
      <c r="I30" s="438" t="s">
        <v>115</v>
      </c>
      <c r="J30" s="274" t="str">
        <f t="shared" si="94"/>
        <v>SDSLBasicwinkeluren</v>
      </c>
      <c r="L30" s="273">
        <f>INDEX(Mapping!$J:$J,MATCH(C$3&amp;C30,Mapping!$B:$B,0))</f>
        <v>1</v>
      </c>
      <c r="M30" s="179" t="str">
        <f>INDEX(Mapping!$H:$H,MATCH($E30,Mapping!$B:$B,0))</f>
        <v>WBA CM Ethernet</v>
      </c>
      <c r="N30" s="179" t="str">
        <f>INDEX(Mapping!$J:$J,MATCH($J30,Mapping!$B:$B,0))</f>
        <v>SDSL</v>
      </c>
      <c r="O30" s="179" t="str">
        <f>INDEX(Mapping!$K:$K,MATCH($J30,Mapping!$B:$B,0))</f>
        <v>7x24</v>
      </c>
      <c r="P30"/>
      <c r="Q30" s="179"/>
      <c r="R30" s="179" t="str">
        <f>INDEX(Mapping!$H:$H,MATCH($H30,Mapping!$B:$B,0))</f>
        <v>nvt</v>
      </c>
      <c r="S30" s="179" t="str">
        <f>INDEX(Mapping!$H:$H,MATCH($I30,Mapping!$B:$B,0))</f>
        <v>nvt</v>
      </c>
      <c r="T30" s="179" t="str">
        <f t="shared" si="95"/>
        <v>WBA CM EthernetSDSL7x24</v>
      </c>
      <c r="U30" s="274" t="str">
        <f t="shared" si="96"/>
        <v>WBA CM EthernetSDSL7x24</v>
      </c>
      <c r="W30" s="273">
        <f>MATCH($J30,'Tarieven ZM'!$B:$B,0)</f>
        <v>114</v>
      </c>
      <c r="X30" s="179">
        <f>INDEX('Tarieven ZM'!$H:$H,$W30)</f>
        <v>1000</v>
      </c>
      <c r="Y30" s="276">
        <f>-INDEX(Parameters!$B:$B,MATCH(Y$3,Parameters!$A:$A,0))*$X30</f>
        <v>0</v>
      </c>
      <c r="Z30" s="277">
        <f>-INDEX(Parameters!$B:$B,MATCH(Z$3,Parameters!$A:$A,0))*$X30</f>
        <v>0</v>
      </c>
      <c r="AA30" s="179">
        <f t="shared" si="97"/>
        <v>1000</v>
      </c>
      <c r="AB30" s="179">
        <f>AA30/INDEX(Parameters!$B:$B,MATCH("AfschrijftermijnVVE"&amp;12*$C30,Parameters!$A:$A,0))</f>
        <v>27.777777777777779</v>
      </c>
      <c r="AC30" s="179">
        <f>INDEX('Tarieven ZM'!$G:$G,$W30)</f>
        <v>1000</v>
      </c>
      <c r="AD30" s="276">
        <f>-INDEX(Parameters!$B:$B,MATCH(AD$3,Parameters!$A:$A,0))*$AC30</f>
        <v>0</v>
      </c>
      <c r="AE30" s="276">
        <f>-INDEX(Parameters!$B:$B,MATCH(AE$3,Parameters!$A:$A,0))*$AC30</f>
        <v>0</v>
      </c>
      <c r="AF30" s="179">
        <f t="shared" si="98"/>
        <v>1000</v>
      </c>
      <c r="AG30" s="278">
        <f t="shared" si="99"/>
        <v>1027.7777777777778</v>
      </c>
      <c r="AH30" s="209"/>
      <c r="AI30" s="279">
        <f>MATCH($T30,'Tarieven W&amp;O'!$B:$B,0)</f>
        <v>191</v>
      </c>
      <c r="AJ30" s="179">
        <f>IF(AI30&lt;&gt;"nvt",INDEX('Tarieven W&amp;O'!$H:$H,$AI30),0)</f>
        <v>0</v>
      </c>
      <c r="AK30" s="179">
        <f>IF(AI30&lt;&gt;"nvt",INDEX('Tarieven W&amp;O'!$I:$I,$AI30),0)</f>
        <v>0</v>
      </c>
      <c r="AL30" s="277">
        <f>IF(AI30&lt;&gt;"nvt",-INDEX(Parameters!$B:$B,MATCH(AL$3&amp;$M30,Parameters!$A:$A,0))*(AJ30+AK30),0)</f>
        <v>0</v>
      </c>
      <c r="AM30" s="277"/>
      <c r="AN30" s="179">
        <f t="shared" si="100"/>
        <v>0</v>
      </c>
      <c r="AO30" s="262">
        <f>AN30/INDEX(Parameters!$B:$B,MATCH("AfschrijftermijnVVE"&amp;12*$C30,Parameters!$A:$A,0))</f>
        <v>0</v>
      </c>
      <c r="AP30" s="179">
        <f>MATCH($U30,'Tarieven W&amp;O'!$B:$B,0)</f>
        <v>191</v>
      </c>
      <c r="AQ30" s="202">
        <f>IF(AP30&lt;&gt;"nvt",INDEX('Tarieven W&amp;O'!$G:$G,$AP30),0)</f>
        <v>15.11</v>
      </c>
      <c r="AR30" s="277">
        <f>-INDEX(Parameters!$B:$B,MATCH(AR$3&amp;M30&amp;$N30,Parameters!$A:$A,0))*(AQ30)</f>
        <v>-1.5110000000000001</v>
      </c>
      <c r="AS30" s="179"/>
      <c r="AT30" s="179"/>
      <c r="AU30" s="202">
        <f t="shared" si="101"/>
        <v>13.599</v>
      </c>
      <c r="AV30" s="202">
        <f t="shared" si="102"/>
        <v>13.599</v>
      </c>
      <c r="AW30" s="202"/>
      <c r="AX30" s="202">
        <f>Parameters!$B$6*AV30</f>
        <v>0.13599</v>
      </c>
      <c r="AY30" s="202">
        <v>0</v>
      </c>
      <c r="AZ30" s="202"/>
      <c r="BA30" s="202">
        <f t="shared" si="11"/>
        <v>0.13599</v>
      </c>
      <c r="BB30" s="202"/>
      <c r="BC30" s="278">
        <f t="shared" si="12"/>
        <v>13.73499</v>
      </c>
      <c r="BD30" s="209"/>
      <c r="BE30" s="280">
        <f t="shared" si="103"/>
        <v>1014.0427877777778</v>
      </c>
      <c r="BF30" s="264">
        <f t="shared" si="104"/>
        <v>0.98663622594594591</v>
      </c>
      <c r="BG30" s="274" t="b">
        <f t="shared" si="105"/>
        <v>0</v>
      </c>
      <c r="BI30" s="443" t="s">
        <v>538</v>
      </c>
      <c r="BJ30" s="281"/>
      <c r="BK30" s="203">
        <f>VLOOKUP(J30,'Tarieven ZM'!$B$7:$I$146,8,0)</f>
        <v>0</v>
      </c>
      <c r="BL30" s="203" t="str">
        <f t="shared" si="16"/>
        <v>SDSL7x24</v>
      </c>
      <c r="BM30" s="282">
        <v>0</v>
      </c>
      <c r="BN30" s="262">
        <f>BM30/INDEX(Parameters!$B:$B,MATCH("AfschrijftermijnVVE"&amp;12*$C30,Parameters!$A:$A,0))</f>
        <v>0</v>
      </c>
      <c r="BO30" s="262">
        <f>INDEX('inkoop ULL tbv Epacity'!I:I,MATCH($BL30,'inkoop ULL tbv Epacity'!H:H,0))</f>
        <v>2.39</v>
      </c>
      <c r="BP30" s="263">
        <f t="shared" si="17"/>
        <v>2.39</v>
      </c>
      <c r="BR30" s="262">
        <f>Parameters!$B$12*AG30</f>
        <v>102.77777777777779</v>
      </c>
      <c r="BS30" s="262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SUM(Distributievergoedingen!$F$12,Distributievergoedingen!$I$12,Distributievergoedingen!$L$12,Distributievergoedingen!$O$12)*AF30+SUM(Distributievergoedingen!$O$12*AA30+Distributievergoedingen!$R$12+Distributievergoedingen!$U$12+Distributievergoedingen!$X$12)/(MAX(36,12*L30))</f>
        <v>112.77777777777777</v>
      </c>
      <c r="BT30" s="262"/>
      <c r="BU30" s="202">
        <f t="shared" si="18"/>
        <v>215.55555555555554</v>
      </c>
      <c r="BW30" s="278">
        <f t="shared" si="19"/>
        <v>217.94555555555553</v>
      </c>
      <c r="BY30" s="280">
        <f t="shared" si="20"/>
        <v>809.8322222222223</v>
      </c>
      <c r="BZ30" s="264">
        <f t="shared" si="21"/>
        <v>0.78794486486486492</v>
      </c>
      <c r="CA30" s="274" t="b">
        <f t="shared" si="22"/>
        <v>0</v>
      </c>
    </row>
    <row r="31" spans="1:79" s="203" customFormat="1">
      <c r="A31" s="203" t="str">
        <f t="shared" si="92"/>
        <v>2SDSLPremiumwinkeluren</v>
      </c>
      <c r="B31" s="203" t="str">
        <f t="shared" si="93"/>
        <v>2SDSLPremiumwinkeluren</v>
      </c>
      <c r="C31" s="438">
        <v>2</v>
      </c>
      <c r="D31" s="438" t="s">
        <v>64</v>
      </c>
      <c r="E31" s="438" t="s">
        <v>70</v>
      </c>
      <c r="F31" s="438" t="s">
        <v>131</v>
      </c>
      <c r="G31" s="438" t="s">
        <v>115</v>
      </c>
      <c r="H31" s="438" t="s">
        <v>115</v>
      </c>
      <c r="I31" s="438" t="s">
        <v>115</v>
      </c>
      <c r="J31" s="274" t="str">
        <f t="shared" si="94"/>
        <v>SDSLPremiumwinkeluren</v>
      </c>
      <c r="L31" s="273">
        <f>INDEX(Mapping!$J:$J,MATCH(C$3&amp;C31,Mapping!$B:$B,0))</f>
        <v>1</v>
      </c>
      <c r="M31" s="179" t="str">
        <f>INDEX(Mapping!$H:$H,MATCH($E31,Mapping!$B:$B,0))</f>
        <v>WBA ZM Ethernet</v>
      </c>
      <c r="N31" s="179" t="str">
        <f>INDEX(Mapping!$J:$J,MATCH($J31,Mapping!$B:$B,0))</f>
        <v>SDSL</v>
      </c>
      <c r="O31" s="179" t="str">
        <f>INDEX(Mapping!$K:$K,MATCH($J31,Mapping!$B:$B,0))</f>
        <v>7x24</v>
      </c>
      <c r="P31"/>
      <c r="Q31" s="179"/>
      <c r="R31" s="179" t="str">
        <f>INDEX(Mapping!$H:$H,MATCH($H31,Mapping!$B:$B,0))</f>
        <v>nvt</v>
      </c>
      <c r="S31" s="179" t="str">
        <f>INDEX(Mapping!$H:$H,MATCH($I31,Mapping!$B:$B,0))</f>
        <v>nvt</v>
      </c>
      <c r="T31" s="179" t="str">
        <f t="shared" si="95"/>
        <v>WBA ZM EthernetSDSL7x24</v>
      </c>
      <c r="U31" s="274" t="str">
        <f t="shared" si="96"/>
        <v>WBA ZM EthernetSDSL7x24</v>
      </c>
      <c r="W31" s="273">
        <f>MATCH($J31,'Tarieven ZM'!$B:$B,0)</f>
        <v>115</v>
      </c>
      <c r="X31" s="179">
        <f>INDEX('Tarieven ZM'!$H:$H,$W31)</f>
        <v>1000</v>
      </c>
      <c r="Y31" s="276">
        <f>-INDEX(Parameters!$B:$B,MATCH(Y$3,Parameters!$A:$A,0))*$X31</f>
        <v>0</v>
      </c>
      <c r="Z31" s="277">
        <f>-INDEX(Parameters!$B:$B,MATCH(Z$3,Parameters!$A:$A,0))*$X31</f>
        <v>0</v>
      </c>
      <c r="AA31" s="179">
        <f t="shared" si="97"/>
        <v>1000</v>
      </c>
      <c r="AB31" s="179">
        <f>AA31/INDEX(Parameters!$B:$B,MATCH("AfschrijftermijnVVE"&amp;12*$C31,Parameters!$A:$A,0))</f>
        <v>27.777777777777779</v>
      </c>
      <c r="AC31" s="179">
        <f>INDEX('Tarieven ZM'!$G:$G,$W31)</f>
        <v>1000</v>
      </c>
      <c r="AD31" s="276">
        <f>-INDEX(Parameters!$B:$B,MATCH(AD$3,Parameters!$A:$A,0))*$AC31</f>
        <v>0</v>
      </c>
      <c r="AE31" s="276">
        <f>-INDEX(Parameters!$B:$B,MATCH(AE$3,Parameters!$A:$A,0))*$AC31</f>
        <v>0</v>
      </c>
      <c r="AF31" s="179">
        <f t="shared" si="98"/>
        <v>1000</v>
      </c>
      <c r="AG31" s="278">
        <f t="shared" si="99"/>
        <v>1027.7777777777778</v>
      </c>
      <c r="AH31" s="209"/>
      <c r="AI31" s="279">
        <f>MATCH($T31,'Tarieven W&amp;O'!$B:$B,0)</f>
        <v>201</v>
      </c>
      <c r="AJ31" s="179">
        <f>IF(AI31&lt;&gt;"nvt",INDEX('Tarieven W&amp;O'!$H:$H,$AI31),0)</f>
        <v>0</v>
      </c>
      <c r="AK31" s="179">
        <f>IF(AI31&lt;&gt;"nvt",INDEX('Tarieven W&amp;O'!$I:$I,$AI31),0)</f>
        <v>0</v>
      </c>
      <c r="AL31" s="277">
        <f>IF(AI31&lt;&gt;"nvt",-INDEX(Parameters!$B:$B,MATCH(AL$3&amp;$M31,Parameters!$A:$A,0))*(AJ31+AK31),0)</f>
        <v>0</v>
      </c>
      <c r="AM31" s="277"/>
      <c r="AN31" s="179">
        <f t="shared" si="100"/>
        <v>0</v>
      </c>
      <c r="AO31" s="262">
        <f>AN31/INDEX(Parameters!$B:$B,MATCH("AfschrijftermijnVVE"&amp;12*$C31,Parameters!$A:$A,0))</f>
        <v>0</v>
      </c>
      <c r="AP31" s="179">
        <f>MATCH($U31,'Tarieven W&amp;O'!$B:$B,0)</f>
        <v>201</v>
      </c>
      <c r="AQ31" s="202">
        <f>IF(AP31&lt;&gt;"nvt",INDEX('Tarieven W&amp;O'!$G:$G,$AP31),0)</f>
        <v>8.1199999999999992</v>
      </c>
      <c r="AR31" s="277">
        <f>-INDEX(Parameters!$B:$B,MATCH(AR$3&amp;M31&amp;$N31,Parameters!$A:$A,0))*(AQ31)</f>
        <v>0</v>
      </c>
      <c r="AS31" s="179"/>
      <c r="AT31" s="179"/>
      <c r="AU31" s="202">
        <f t="shared" si="101"/>
        <v>8.1199999999999992</v>
      </c>
      <c r="AV31" s="202">
        <f t="shared" si="102"/>
        <v>8.1199999999999992</v>
      </c>
      <c r="AW31" s="202"/>
      <c r="AX31" s="202">
        <f>Parameters!$B$6*AV31</f>
        <v>8.1199999999999994E-2</v>
      </c>
      <c r="AY31" s="202">
        <v>0</v>
      </c>
      <c r="AZ31" s="202"/>
      <c r="BA31" s="202">
        <f t="shared" si="11"/>
        <v>8.1199999999999994E-2</v>
      </c>
      <c r="BB31" s="202"/>
      <c r="BC31" s="278">
        <f t="shared" si="12"/>
        <v>8.2012</v>
      </c>
      <c r="BD31" s="209"/>
      <c r="BE31" s="280">
        <f t="shared" si="103"/>
        <v>1019.5765777777779</v>
      </c>
      <c r="BF31" s="264">
        <f t="shared" si="104"/>
        <v>0.99202045405405403</v>
      </c>
      <c r="BG31" s="274" t="b">
        <f t="shared" si="105"/>
        <v>0</v>
      </c>
      <c r="BI31" s="443" t="s">
        <v>538</v>
      </c>
      <c r="BJ31" s="281"/>
      <c r="BK31" s="203">
        <f>VLOOKUP(J31,'Tarieven ZM'!$B$7:$I$146,8,0)</f>
        <v>0</v>
      </c>
      <c r="BL31" s="203" t="str">
        <f t="shared" si="16"/>
        <v>SDSL7x24</v>
      </c>
      <c r="BM31" s="282">
        <v>0</v>
      </c>
      <c r="BN31" s="262">
        <f>BM31/INDEX(Parameters!$B:$B,MATCH("AfschrijftermijnVVE"&amp;12*$C31,Parameters!$A:$A,0))</f>
        <v>0</v>
      </c>
      <c r="BO31" s="262">
        <f>INDEX('inkoop ULL tbv Epacity'!I:I,MATCH($BL31,'inkoop ULL tbv Epacity'!H:H,0))</f>
        <v>2.39</v>
      </c>
      <c r="BP31" s="263">
        <f t="shared" si="17"/>
        <v>2.39</v>
      </c>
      <c r="BR31" s="262">
        <f>Parameters!$B$12*AG31</f>
        <v>102.77777777777779</v>
      </c>
      <c r="BS31" s="262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SUM(Distributievergoedingen!$F$12,Distributievergoedingen!$I$12,Distributievergoedingen!$L$12,Distributievergoedingen!$O$12)*AF31+SUM(Distributievergoedingen!$O$12*AA31+Distributievergoedingen!$R$12+Distributievergoedingen!$U$12+Distributievergoedingen!$X$12)/(MAX(36,12*L31))</f>
        <v>112.77777777777777</v>
      </c>
      <c r="BT31" s="262"/>
      <c r="BU31" s="202">
        <f t="shared" si="18"/>
        <v>215.55555555555554</v>
      </c>
      <c r="BW31" s="278">
        <f t="shared" si="19"/>
        <v>217.94555555555553</v>
      </c>
      <c r="BY31" s="280">
        <f t="shared" si="20"/>
        <v>809.8322222222223</v>
      </c>
      <c r="BZ31" s="264">
        <f t="shared" si="21"/>
        <v>0.78794486486486492</v>
      </c>
      <c r="CA31" s="274" t="b">
        <f t="shared" si="22"/>
        <v>0</v>
      </c>
    </row>
    <row r="32" spans="1:79" s="203" customFormat="1">
      <c r="A32" s="203" t="str">
        <f t="shared" si="92"/>
        <v>2SDSLBasic7x24</v>
      </c>
      <c r="B32" s="203" t="str">
        <f t="shared" si="93"/>
        <v>2SDSLBasic7x24</v>
      </c>
      <c r="C32" s="438">
        <v>2</v>
      </c>
      <c r="D32" s="438" t="s">
        <v>64</v>
      </c>
      <c r="E32" s="438" t="s">
        <v>44</v>
      </c>
      <c r="F32" s="438" t="s">
        <v>34</v>
      </c>
      <c r="G32" s="438" t="s">
        <v>115</v>
      </c>
      <c r="H32" s="438" t="s">
        <v>115</v>
      </c>
      <c r="I32" s="438" t="s">
        <v>115</v>
      </c>
      <c r="J32" s="274" t="str">
        <f t="shared" si="94"/>
        <v>SDSLBasic7x24</v>
      </c>
      <c r="L32" s="273">
        <f>INDEX(Mapping!$J:$J,MATCH(C$3&amp;C32,Mapping!$B:$B,0))</f>
        <v>1</v>
      </c>
      <c r="M32" s="179" t="str">
        <f>INDEX(Mapping!$H:$H,MATCH($E32,Mapping!$B:$B,0))</f>
        <v>WBA CM Ethernet</v>
      </c>
      <c r="N32" s="179" t="str">
        <f>INDEX(Mapping!$J:$J,MATCH($J32,Mapping!$B:$B,0))</f>
        <v>SDSL</v>
      </c>
      <c r="O32" s="179" t="str">
        <f>INDEX(Mapping!$K:$K,MATCH($J32,Mapping!$B:$B,0))</f>
        <v>7x24</v>
      </c>
      <c r="P32"/>
      <c r="Q32" s="179"/>
      <c r="R32" s="179" t="str">
        <f>INDEX(Mapping!$H:$H,MATCH($H32,Mapping!$B:$B,0))</f>
        <v>nvt</v>
      </c>
      <c r="S32" s="179" t="str">
        <f>INDEX(Mapping!$H:$H,MATCH($I32,Mapping!$B:$B,0))</f>
        <v>nvt</v>
      </c>
      <c r="T32" s="179" t="str">
        <f t="shared" si="95"/>
        <v>WBA CM EthernetSDSL7x24</v>
      </c>
      <c r="U32" s="274" t="str">
        <f t="shared" si="96"/>
        <v>WBA CM EthernetSDSL7x24</v>
      </c>
      <c r="W32" s="273">
        <f>MATCH($J32,'Tarieven ZM'!$B:$B,0)</f>
        <v>116</v>
      </c>
      <c r="X32" s="179">
        <f>INDEX('Tarieven ZM'!$H:$H,$W32)</f>
        <v>1000</v>
      </c>
      <c r="Y32" s="276">
        <f>-INDEX(Parameters!$B:$B,MATCH(Y$3,Parameters!$A:$A,0))*$X32</f>
        <v>0</v>
      </c>
      <c r="Z32" s="277">
        <f>-INDEX(Parameters!$B:$B,MATCH(Z$3,Parameters!$A:$A,0))*$X32</f>
        <v>0</v>
      </c>
      <c r="AA32" s="179">
        <f t="shared" si="97"/>
        <v>1000</v>
      </c>
      <c r="AB32" s="179">
        <f>AA32/INDEX(Parameters!$B:$B,MATCH("AfschrijftermijnVVE"&amp;12*$C32,Parameters!$A:$A,0))</f>
        <v>27.777777777777779</v>
      </c>
      <c r="AC32" s="179">
        <f>INDEX('Tarieven ZM'!$G:$G,$W32)</f>
        <v>1000</v>
      </c>
      <c r="AD32" s="276">
        <f>-INDEX(Parameters!$B:$B,MATCH(AD$3,Parameters!$A:$A,0))*$AC32</f>
        <v>0</v>
      </c>
      <c r="AE32" s="276">
        <f>-INDEX(Parameters!$B:$B,MATCH(AE$3,Parameters!$A:$A,0))*$AC32</f>
        <v>0</v>
      </c>
      <c r="AF32" s="179">
        <f t="shared" si="98"/>
        <v>1000</v>
      </c>
      <c r="AG32" s="278">
        <f t="shared" si="99"/>
        <v>1027.7777777777778</v>
      </c>
      <c r="AH32" s="209"/>
      <c r="AI32" s="279">
        <f>MATCH($T32,'Tarieven W&amp;O'!$B:$B,0)</f>
        <v>191</v>
      </c>
      <c r="AJ32" s="179">
        <f>IF(AI32&lt;&gt;"nvt",INDEX('Tarieven W&amp;O'!$H:$H,$AI32),0)</f>
        <v>0</v>
      </c>
      <c r="AK32" s="179">
        <f>IF(AI32&lt;&gt;"nvt",INDEX('Tarieven W&amp;O'!$I:$I,$AI32),0)</f>
        <v>0</v>
      </c>
      <c r="AL32" s="277">
        <f>IF(AI32&lt;&gt;"nvt",-INDEX(Parameters!$B:$B,MATCH(AL$3&amp;$M32,Parameters!$A:$A,0))*(AJ32+AK32),0)</f>
        <v>0</v>
      </c>
      <c r="AM32" s="277"/>
      <c r="AN32" s="179">
        <f t="shared" si="100"/>
        <v>0</v>
      </c>
      <c r="AO32" s="262">
        <f>AN32/INDEX(Parameters!$B:$B,MATCH("AfschrijftermijnVVE"&amp;12*$C32,Parameters!$A:$A,0))</f>
        <v>0</v>
      </c>
      <c r="AP32" s="179">
        <f>MATCH($U32,'Tarieven W&amp;O'!$B:$B,0)</f>
        <v>191</v>
      </c>
      <c r="AQ32" s="202">
        <f>IF(AP32&lt;&gt;"nvt",INDEX('Tarieven W&amp;O'!$G:$G,$AP32),0)</f>
        <v>15.11</v>
      </c>
      <c r="AR32" s="277">
        <f>-INDEX(Parameters!$B:$B,MATCH(AR$3&amp;M32&amp;$N32,Parameters!$A:$A,0))*(AQ32)</f>
        <v>-1.5110000000000001</v>
      </c>
      <c r="AS32" s="179"/>
      <c r="AT32" s="179"/>
      <c r="AU32" s="202">
        <f t="shared" si="101"/>
        <v>13.599</v>
      </c>
      <c r="AV32" s="202">
        <f t="shared" si="102"/>
        <v>13.599</v>
      </c>
      <c r="AW32" s="202"/>
      <c r="AX32" s="202">
        <f>Parameters!$B$6*AV32</f>
        <v>0.13599</v>
      </c>
      <c r="AY32" s="202">
        <v>0</v>
      </c>
      <c r="AZ32" s="202"/>
      <c r="BA32" s="202">
        <f t="shared" si="11"/>
        <v>0.13599</v>
      </c>
      <c r="BB32" s="202"/>
      <c r="BC32" s="278">
        <f t="shared" si="12"/>
        <v>13.73499</v>
      </c>
      <c r="BD32" s="209"/>
      <c r="BE32" s="280">
        <f t="shared" si="103"/>
        <v>1014.0427877777778</v>
      </c>
      <c r="BF32" s="264">
        <f t="shared" si="104"/>
        <v>0.98663622594594591</v>
      </c>
      <c r="BG32" s="274" t="b">
        <f t="shared" si="105"/>
        <v>0</v>
      </c>
      <c r="BI32" s="443" t="s">
        <v>538</v>
      </c>
      <c r="BJ32" s="281"/>
      <c r="BK32" s="203">
        <f>VLOOKUP(J32,'Tarieven ZM'!$B$7:$I$146,8,0)</f>
        <v>0</v>
      </c>
      <c r="BL32" s="203" t="str">
        <f t="shared" si="16"/>
        <v>SDSL7x24</v>
      </c>
      <c r="BM32" s="282">
        <v>0</v>
      </c>
      <c r="BN32" s="262">
        <f>BM32/INDEX(Parameters!$B:$B,MATCH("AfschrijftermijnVVE"&amp;12*$C32,Parameters!$A:$A,0))</f>
        <v>0</v>
      </c>
      <c r="BO32" s="262">
        <f>INDEX('inkoop ULL tbv Epacity'!I:I,MATCH($BL32,'inkoop ULL tbv Epacity'!H:H,0))</f>
        <v>2.39</v>
      </c>
      <c r="BP32" s="263">
        <f t="shared" si="17"/>
        <v>2.39</v>
      </c>
      <c r="BR32" s="262">
        <f>Parameters!$B$12*AG32</f>
        <v>102.77777777777779</v>
      </c>
      <c r="BS32" s="262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SUM(Distributievergoedingen!$F$12,Distributievergoedingen!$I$12,Distributievergoedingen!$L$12,Distributievergoedingen!$O$12)*AF32+SUM(Distributievergoedingen!$O$12*AA32+Distributievergoedingen!$R$12+Distributievergoedingen!$U$12+Distributievergoedingen!$X$12)/(MAX(36,12*L32))</f>
        <v>112.77777777777777</v>
      </c>
      <c r="BT32" s="262"/>
      <c r="BU32" s="202">
        <f t="shared" si="18"/>
        <v>215.55555555555554</v>
      </c>
      <c r="BW32" s="278">
        <f t="shared" si="19"/>
        <v>217.94555555555553</v>
      </c>
      <c r="BY32" s="280">
        <f t="shared" si="20"/>
        <v>809.8322222222223</v>
      </c>
      <c r="BZ32" s="264">
        <f t="shared" si="21"/>
        <v>0.78794486486486492</v>
      </c>
      <c r="CA32" s="274" t="b">
        <f t="shared" si="22"/>
        <v>0</v>
      </c>
    </row>
    <row r="33" spans="1:79" s="203" customFormat="1">
      <c r="A33" s="203" t="str">
        <f t="shared" si="92"/>
        <v>2SDSLPremium7x24</v>
      </c>
      <c r="B33" s="203" t="str">
        <f t="shared" si="93"/>
        <v>2SDSLPremium7x24</v>
      </c>
      <c r="C33" s="438">
        <v>2</v>
      </c>
      <c r="D33" s="438" t="s">
        <v>64</v>
      </c>
      <c r="E33" s="438" t="s">
        <v>70</v>
      </c>
      <c r="F33" s="438" t="s">
        <v>34</v>
      </c>
      <c r="G33" s="438" t="s">
        <v>115</v>
      </c>
      <c r="H33" s="438" t="s">
        <v>115</v>
      </c>
      <c r="I33" s="438" t="s">
        <v>115</v>
      </c>
      <c r="J33" s="274" t="str">
        <f t="shared" si="94"/>
        <v>SDSLPremium7x24</v>
      </c>
      <c r="L33" s="273">
        <f>INDEX(Mapping!$J:$J,MATCH(C$3&amp;C33,Mapping!$B:$B,0))</f>
        <v>1</v>
      </c>
      <c r="M33" s="179" t="str">
        <f>INDEX(Mapping!$H:$H,MATCH($E33,Mapping!$B:$B,0))</f>
        <v>WBA ZM Ethernet</v>
      </c>
      <c r="N33" s="179" t="str">
        <f>INDEX(Mapping!$J:$J,MATCH($J33,Mapping!$B:$B,0))</f>
        <v>SDSL</v>
      </c>
      <c r="O33" s="179" t="str">
        <f>INDEX(Mapping!$K:$K,MATCH($J33,Mapping!$B:$B,0))</f>
        <v>7x24</v>
      </c>
      <c r="P33"/>
      <c r="Q33" s="179"/>
      <c r="R33" s="179" t="str">
        <f>INDEX(Mapping!$H:$H,MATCH($H33,Mapping!$B:$B,0))</f>
        <v>nvt</v>
      </c>
      <c r="S33" s="179" t="str">
        <f>INDEX(Mapping!$H:$H,MATCH($I33,Mapping!$B:$B,0))</f>
        <v>nvt</v>
      </c>
      <c r="T33" s="179" t="str">
        <f t="shared" si="95"/>
        <v>WBA ZM EthernetSDSL7x24</v>
      </c>
      <c r="U33" s="274" t="str">
        <f t="shared" si="96"/>
        <v>WBA ZM EthernetSDSL7x24</v>
      </c>
      <c r="W33" s="273">
        <f>MATCH($J33,'Tarieven ZM'!$B:$B,0)</f>
        <v>117</v>
      </c>
      <c r="X33" s="179">
        <f>INDEX('Tarieven ZM'!$H:$H,$W33)</f>
        <v>1000</v>
      </c>
      <c r="Y33" s="276">
        <f>-INDEX(Parameters!$B:$B,MATCH(Y$3,Parameters!$A:$A,0))*$X33</f>
        <v>0</v>
      </c>
      <c r="Z33" s="277">
        <f>-INDEX(Parameters!$B:$B,MATCH(Z$3,Parameters!$A:$A,0))*$X33</f>
        <v>0</v>
      </c>
      <c r="AA33" s="179">
        <f t="shared" si="97"/>
        <v>1000</v>
      </c>
      <c r="AB33" s="179">
        <f>AA33/INDEX(Parameters!$B:$B,MATCH("AfschrijftermijnVVE"&amp;12*$C33,Parameters!$A:$A,0))</f>
        <v>27.777777777777779</v>
      </c>
      <c r="AC33" s="179">
        <f>INDEX('Tarieven ZM'!$G:$G,$W33)</f>
        <v>1000</v>
      </c>
      <c r="AD33" s="276">
        <f>-INDEX(Parameters!$B:$B,MATCH(AD$3,Parameters!$A:$A,0))*$AC33</f>
        <v>0</v>
      </c>
      <c r="AE33" s="276">
        <f>-INDEX(Parameters!$B:$B,MATCH(AE$3,Parameters!$A:$A,0))*$AC33</f>
        <v>0</v>
      </c>
      <c r="AF33" s="179">
        <f t="shared" si="98"/>
        <v>1000</v>
      </c>
      <c r="AG33" s="278">
        <f t="shared" si="99"/>
        <v>1027.7777777777778</v>
      </c>
      <c r="AH33" s="209"/>
      <c r="AI33" s="279">
        <f>MATCH($T33,'Tarieven W&amp;O'!$B:$B,0)</f>
        <v>201</v>
      </c>
      <c r="AJ33" s="179">
        <f>IF(AI33&lt;&gt;"nvt",INDEX('Tarieven W&amp;O'!$H:$H,$AI33),0)</f>
        <v>0</v>
      </c>
      <c r="AK33" s="179">
        <f>IF(AI33&lt;&gt;"nvt",INDEX('Tarieven W&amp;O'!$I:$I,$AI33),0)</f>
        <v>0</v>
      </c>
      <c r="AL33" s="277">
        <f>IF(AI33&lt;&gt;"nvt",-INDEX(Parameters!$B:$B,MATCH(AL$3&amp;$M33,Parameters!$A:$A,0))*(AJ33+AK33),0)</f>
        <v>0</v>
      </c>
      <c r="AM33" s="277"/>
      <c r="AN33" s="179">
        <f t="shared" si="100"/>
        <v>0</v>
      </c>
      <c r="AO33" s="262">
        <f>AN33/INDEX(Parameters!$B:$B,MATCH("AfschrijftermijnVVE"&amp;12*$C33,Parameters!$A:$A,0))</f>
        <v>0</v>
      </c>
      <c r="AP33" s="179">
        <f>MATCH($U33,'Tarieven W&amp;O'!$B:$B,0)</f>
        <v>201</v>
      </c>
      <c r="AQ33" s="202">
        <f>IF(AP33&lt;&gt;"nvt",INDEX('Tarieven W&amp;O'!$G:$G,$AP33),0)</f>
        <v>8.1199999999999992</v>
      </c>
      <c r="AR33" s="277">
        <f>-INDEX(Parameters!$B:$B,MATCH(AR$3&amp;M33&amp;$N33,Parameters!$A:$A,0))*(AQ33)</f>
        <v>0</v>
      </c>
      <c r="AS33" s="179"/>
      <c r="AT33" s="179"/>
      <c r="AU33" s="202">
        <f t="shared" si="101"/>
        <v>8.1199999999999992</v>
      </c>
      <c r="AV33" s="202">
        <f t="shared" si="102"/>
        <v>8.1199999999999992</v>
      </c>
      <c r="AW33" s="202"/>
      <c r="AX33" s="202">
        <f>Parameters!$B$6*AV33</f>
        <v>8.1199999999999994E-2</v>
      </c>
      <c r="AY33" s="202">
        <v>0</v>
      </c>
      <c r="AZ33" s="202"/>
      <c r="BA33" s="202">
        <f t="shared" si="11"/>
        <v>8.1199999999999994E-2</v>
      </c>
      <c r="BB33" s="202"/>
      <c r="BC33" s="278">
        <f t="shared" si="12"/>
        <v>8.2012</v>
      </c>
      <c r="BD33" s="209"/>
      <c r="BE33" s="280">
        <f t="shared" si="103"/>
        <v>1019.5765777777779</v>
      </c>
      <c r="BF33" s="264">
        <f t="shared" si="104"/>
        <v>0.99202045405405403</v>
      </c>
      <c r="BG33" s="274" t="b">
        <f t="shared" si="105"/>
        <v>0</v>
      </c>
      <c r="BI33" s="443" t="s">
        <v>538</v>
      </c>
      <c r="BJ33" s="281"/>
      <c r="BK33" s="203">
        <f>VLOOKUP(J33,'Tarieven ZM'!$B$7:$I$146,8,0)</f>
        <v>0</v>
      </c>
      <c r="BL33" s="203" t="str">
        <f t="shared" si="16"/>
        <v>SDSL7x24</v>
      </c>
      <c r="BM33" s="282">
        <v>0</v>
      </c>
      <c r="BN33" s="262">
        <f>BM33/INDEX(Parameters!$B:$B,MATCH("AfschrijftermijnVVE"&amp;12*$C33,Parameters!$A:$A,0))</f>
        <v>0</v>
      </c>
      <c r="BO33" s="262">
        <f>INDEX('inkoop ULL tbv Epacity'!I:I,MATCH($BL33,'inkoop ULL tbv Epacity'!H:H,0))</f>
        <v>2.39</v>
      </c>
      <c r="BP33" s="263">
        <f t="shared" si="17"/>
        <v>2.39</v>
      </c>
      <c r="BR33" s="262">
        <f>Parameters!$B$12*AG33</f>
        <v>102.77777777777779</v>
      </c>
      <c r="BS33" s="262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SUM(Distributievergoedingen!$F$12,Distributievergoedingen!$I$12,Distributievergoedingen!$L$12,Distributievergoedingen!$O$12)*AF33+SUM(Distributievergoedingen!$O$12*AA33+Distributievergoedingen!$R$12+Distributievergoedingen!$U$12+Distributievergoedingen!$X$12)/(MAX(36,12*L33))</f>
        <v>112.77777777777777</v>
      </c>
      <c r="BT33" s="262"/>
      <c r="BU33" s="202">
        <f t="shared" si="18"/>
        <v>215.55555555555554</v>
      </c>
      <c r="BW33" s="278">
        <f t="shared" si="19"/>
        <v>217.94555555555553</v>
      </c>
      <c r="BY33" s="280">
        <f t="shared" si="20"/>
        <v>809.8322222222223</v>
      </c>
      <c r="BZ33" s="264">
        <f t="shared" si="21"/>
        <v>0.78794486486486492</v>
      </c>
      <c r="CA33" s="274" t="b">
        <f t="shared" si="22"/>
        <v>0</v>
      </c>
    </row>
    <row r="34" spans="1:79" s="203" customFormat="1">
      <c r="A34" s="203" t="str">
        <f t="shared" si="92"/>
        <v>2VDSLEntry7x24</v>
      </c>
      <c r="B34" s="203" t="str">
        <f t="shared" si="93"/>
        <v>2VDSLEntry7x24</v>
      </c>
      <c r="C34" s="438">
        <v>2</v>
      </c>
      <c r="D34" s="438" t="s">
        <v>77</v>
      </c>
      <c r="E34" s="438" t="s">
        <v>78</v>
      </c>
      <c r="F34" s="438" t="s">
        <v>34</v>
      </c>
      <c r="G34" s="438" t="s">
        <v>115</v>
      </c>
      <c r="H34" s="438" t="s">
        <v>115</v>
      </c>
      <c r="I34" s="438" t="s">
        <v>115</v>
      </c>
      <c r="J34" s="274" t="str">
        <f t="shared" si="94"/>
        <v>VDSLEntry7x24</v>
      </c>
      <c r="L34" s="273">
        <f>INDEX(Mapping!$J:$J,MATCH(C$3&amp;C34,Mapping!$B:$B,0))</f>
        <v>1</v>
      </c>
      <c r="M34" s="179" t="str">
        <f>INDEX(Mapping!$H:$H,MATCH($E34,Mapping!$B:$B,0))</f>
        <v>WBA CM Ethernet</v>
      </c>
      <c r="N34" s="179" t="str">
        <f>INDEX(Mapping!$J:$J,MATCH($J34,Mapping!$B:$B,0))</f>
        <v>VDSL</v>
      </c>
      <c r="O34" s="179" t="str">
        <f>INDEX(Mapping!$K:$K,MATCH($J34,Mapping!$B:$B,0))</f>
        <v>7x24</v>
      </c>
      <c r="P34"/>
      <c r="Q34" s="179"/>
      <c r="R34" s="179" t="str">
        <f>INDEX(Mapping!$H:$H,MATCH($H34,Mapping!$B:$B,0))</f>
        <v>nvt</v>
      </c>
      <c r="S34" s="179" t="str">
        <f>INDEX(Mapping!$H:$H,MATCH($I34,Mapping!$B:$B,0))</f>
        <v>nvt</v>
      </c>
      <c r="T34" s="179" t="str">
        <f t="shared" si="95"/>
        <v>WBA CM EthernetVDSL7x24</v>
      </c>
      <c r="U34" s="274" t="str">
        <f t="shared" si="96"/>
        <v>WBA CM EthernetVDSL7x24</v>
      </c>
      <c r="W34" s="273">
        <f>MATCH($J34,'Tarieven ZM'!$B:$B,0)</f>
        <v>118</v>
      </c>
      <c r="X34" s="179">
        <f>INDEX('Tarieven ZM'!$H:$H,$W34)</f>
        <v>1000</v>
      </c>
      <c r="Y34" s="276">
        <f>-INDEX(Parameters!$B:$B,MATCH(Y$3,Parameters!$A:$A,0))*$X34</f>
        <v>0</v>
      </c>
      <c r="Z34" s="277">
        <f>-INDEX(Parameters!$B:$B,MATCH(Z$3,Parameters!$A:$A,0))*$X34</f>
        <v>0</v>
      </c>
      <c r="AA34" s="179">
        <f t="shared" si="97"/>
        <v>1000</v>
      </c>
      <c r="AB34" s="179">
        <f>AA34/INDEX(Parameters!$B:$B,MATCH("AfschrijftermijnVVE"&amp;12*$C34,Parameters!$A:$A,0))</f>
        <v>27.777777777777779</v>
      </c>
      <c r="AC34" s="179">
        <f>INDEX('Tarieven ZM'!$G:$G,$W34)</f>
        <v>1000</v>
      </c>
      <c r="AD34" s="276">
        <f>-INDEX(Parameters!$B:$B,MATCH(AD$3,Parameters!$A:$A,0))*$AC34</f>
        <v>0</v>
      </c>
      <c r="AE34" s="276">
        <f>-INDEX(Parameters!$B:$B,MATCH(AE$3,Parameters!$A:$A,0))*$AC34</f>
        <v>0</v>
      </c>
      <c r="AF34" s="179">
        <f t="shared" si="98"/>
        <v>1000</v>
      </c>
      <c r="AG34" s="278">
        <f t="shared" si="99"/>
        <v>1027.7777777777778</v>
      </c>
      <c r="AH34" s="209"/>
      <c r="AI34" s="279">
        <f>MATCH($T34,'Tarieven W&amp;O'!$B:$B,0)</f>
        <v>190</v>
      </c>
      <c r="AJ34" s="179">
        <f>IF(AI34&lt;&gt;"nvt",INDEX('Tarieven W&amp;O'!$H:$H,$AI34),0)</f>
        <v>0</v>
      </c>
      <c r="AK34" s="179">
        <f>IF(AI34&lt;&gt;"nvt",INDEX('Tarieven W&amp;O'!$I:$I,$AI34),0)</f>
        <v>0</v>
      </c>
      <c r="AL34" s="277">
        <f>IF(AI34&lt;&gt;"nvt",-INDEX(Parameters!$B:$B,MATCH(AL$3&amp;$M34,Parameters!$A:$A,0))*(AJ34+AK34),0)</f>
        <v>0</v>
      </c>
      <c r="AM34" s="277"/>
      <c r="AN34" s="179">
        <f t="shared" si="100"/>
        <v>0</v>
      </c>
      <c r="AO34" s="262">
        <f>AN34/INDEX(Parameters!$B:$B,MATCH("AfschrijftermijnVVE"&amp;12*$C34,Parameters!$A:$A,0))</f>
        <v>0</v>
      </c>
      <c r="AP34" s="179">
        <f>MATCH($U34,'Tarieven W&amp;O'!$B:$B,0)</f>
        <v>190</v>
      </c>
      <c r="AQ34" s="202">
        <f>IF(AP34&lt;&gt;"nvt",INDEX('Tarieven W&amp;O'!$G:$G,$AP34),0)</f>
        <v>15.11</v>
      </c>
      <c r="AR34" s="277">
        <f>-INDEX(Parameters!$B:$B,MATCH(AR$3&amp;M34&amp;$N34,Parameters!$A:$A,0))*(AQ34)</f>
        <v>-1.5110000000000001</v>
      </c>
      <c r="AS34" s="179"/>
      <c r="AT34" s="179"/>
      <c r="AU34" s="202">
        <f t="shared" si="101"/>
        <v>13.599</v>
      </c>
      <c r="AV34" s="202">
        <f t="shared" si="102"/>
        <v>13.599</v>
      </c>
      <c r="AW34" s="202"/>
      <c r="AX34" s="202">
        <f>Parameters!$B$6*AV34</f>
        <v>0.13599</v>
      </c>
      <c r="AY34" s="202">
        <v>0</v>
      </c>
      <c r="AZ34" s="202"/>
      <c r="BA34" s="202">
        <f t="shared" si="11"/>
        <v>0.13599</v>
      </c>
      <c r="BB34" s="202"/>
      <c r="BC34" s="278">
        <f t="shared" si="12"/>
        <v>13.73499</v>
      </c>
      <c r="BD34" s="209"/>
      <c r="BE34" s="280">
        <f t="shared" si="103"/>
        <v>1014.0427877777778</v>
      </c>
      <c r="BF34" s="264">
        <f t="shared" si="104"/>
        <v>0.98663622594594591</v>
      </c>
      <c r="BG34" s="274" t="b">
        <f t="shared" si="105"/>
        <v>0</v>
      </c>
      <c r="BI34" s="443" t="s">
        <v>538</v>
      </c>
      <c r="BJ34" s="281"/>
      <c r="BK34" s="203">
        <f>VLOOKUP(J34,'Tarieven ZM'!$B$7:$I$146,8,0)</f>
        <v>0</v>
      </c>
      <c r="BL34" s="203" t="str">
        <f t="shared" si="16"/>
        <v>VDSL7x24</v>
      </c>
      <c r="BM34" s="282">
        <v>0</v>
      </c>
      <c r="BN34" s="262">
        <f>BM34/INDEX(Parameters!$B:$B,MATCH("AfschrijftermijnVVE"&amp;12*$C34,Parameters!$A:$A,0))</f>
        <v>0</v>
      </c>
      <c r="BO34" s="262">
        <f>INDEX('inkoop ULL tbv Epacity'!I:I,MATCH($BL34,'inkoop ULL tbv Epacity'!H:H,0))</f>
        <v>8.1300000000000008</v>
      </c>
      <c r="BP34" s="263">
        <f t="shared" si="17"/>
        <v>8.1300000000000008</v>
      </c>
      <c r="BR34" s="262">
        <f>Parameters!$B$12*AG34</f>
        <v>102.77777777777779</v>
      </c>
      <c r="BS34" s="262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SUM(Distributievergoedingen!$F$12,Distributievergoedingen!$I$12,Distributievergoedingen!$L$12,Distributievergoedingen!$O$12)*AF34+SUM(Distributievergoedingen!$O$12*AA34+Distributievergoedingen!$R$12+Distributievergoedingen!$U$12+Distributievergoedingen!$X$12)/(MAX(36,12*L34))</f>
        <v>112.77777777777777</v>
      </c>
      <c r="BT34" s="262"/>
      <c r="BU34" s="202">
        <f t="shared" si="18"/>
        <v>215.55555555555554</v>
      </c>
      <c r="BW34" s="278">
        <f t="shared" si="19"/>
        <v>223.68555555555554</v>
      </c>
      <c r="BY34" s="280">
        <f t="shared" si="20"/>
        <v>804.09222222222229</v>
      </c>
      <c r="BZ34" s="264">
        <f t="shared" si="21"/>
        <v>0.78236000000000006</v>
      </c>
      <c r="CA34" s="274" t="b">
        <f t="shared" si="22"/>
        <v>0</v>
      </c>
    </row>
    <row r="35" spans="1:79" s="203" customFormat="1">
      <c r="A35" s="203" t="str">
        <f t="shared" si="92"/>
        <v>2VDSLPremium7x24</v>
      </c>
      <c r="B35" s="203" t="str">
        <f t="shared" si="93"/>
        <v>2VDSLPremium7x24</v>
      </c>
      <c r="C35" s="438">
        <v>2</v>
      </c>
      <c r="D35" s="438" t="s">
        <v>77</v>
      </c>
      <c r="E35" s="438" t="s">
        <v>70</v>
      </c>
      <c r="F35" s="438" t="s">
        <v>34</v>
      </c>
      <c r="G35" s="438" t="s">
        <v>115</v>
      </c>
      <c r="H35" s="438" t="s">
        <v>115</v>
      </c>
      <c r="I35" s="438" t="s">
        <v>115</v>
      </c>
      <c r="J35" s="274" t="str">
        <f t="shared" si="94"/>
        <v>VDSLPremium7x24</v>
      </c>
      <c r="L35" s="273">
        <f>INDEX(Mapping!$J:$J,MATCH(C$3&amp;C35,Mapping!$B:$B,0))</f>
        <v>1</v>
      </c>
      <c r="M35" s="179" t="str">
        <f>INDEX(Mapping!$H:$H,MATCH($E35,Mapping!$B:$B,0))</f>
        <v>WBA ZM Ethernet</v>
      </c>
      <c r="N35" s="179" t="str">
        <f>INDEX(Mapping!$J:$J,MATCH($J35,Mapping!$B:$B,0))</f>
        <v>VDSL</v>
      </c>
      <c r="O35" s="179" t="str">
        <f>INDEX(Mapping!$K:$K,MATCH($J35,Mapping!$B:$B,0))</f>
        <v>7x24</v>
      </c>
      <c r="P35"/>
      <c r="Q35" s="179"/>
      <c r="R35" s="179" t="str">
        <f>INDEX(Mapping!$H:$H,MATCH($H35,Mapping!$B:$B,0))</f>
        <v>nvt</v>
      </c>
      <c r="S35" s="179" t="str">
        <f>INDEX(Mapping!$H:$H,MATCH($I35,Mapping!$B:$B,0))</f>
        <v>nvt</v>
      </c>
      <c r="T35" s="179" t="str">
        <f t="shared" si="95"/>
        <v>WBA ZM EthernetVDSL7x24</v>
      </c>
      <c r="U35" s="274" t="str">
        <f t="shared" si="96"/>
        <v>WBA ZM EthernetVDSL7x24</v>
      </c>
      <c r="W35" s="273">
        <f>MATCH($J35,'Tarieven ZM'!$B:$B,0)</f>
        <v>119</v>
      </c>
      <c r="X35" s="179">
        <f>INDEX('Tarieven ZM'!$H:$H,$W35)</f>
        <v>1000</v>
      </c>
      <c r="Y35" s="276">
        <f>-INDEX(Parameters!$B:$B,MATCH(Y$3,Parameters!$A:$A,0))*$X35</f>
        <v>0</v>
      </c>
      <c r="Z35" s="277">
        <f>-INDEX(Parameters!$B:$B,MATCH(Z$3,Parameters!$A:$A,0))*$X35</f>
        <v>0</v>
      </c>
      <c r="AA35" s="179">
        <f t="shared" si="97"/>
        <v>1000</v>
      </c>
      <c r="AB35" s="179">
        <f>AA35/INDEX(Parameters!$B:$B,MATCH("AfschrijftermijnVVE"&amp;12*$C35,Parameters!$A:$A,0))</f>
        <v>27.777777777777779</v>
      </c>
      <c r="AC35" s="179">
        <f>INDEX('Tarieven ZM'!$G:$G,$W35)</f>
        <v>1000</v>
      </c>
      <c r="AD35" s="276">
        <f>-INDEX(Parameters!$B:$B,MATCH(AD$3,Parameters!$A:$A,0))*$AC35</f>
        <v>0</v>
      </c>
      <c r="AE35" s="276">
        <f>-INDEX(Parameters!$B:$B,MATCH(AE$3,Parameters!$A:$A,0))*$AC35</f>
        <v>0</v>
      </c>
      <c r="AF35" s="179">
        <f t="shared" si="98"/>
        <v>1000</v>
      </c>
      <c r="AG35" s="278">
        <f t="shared" si="99"/>
        <v>1027.7777777777778</v>
      </c>
      <c r="AH35" s="209"/>
      <c r="AI35" s="279">
        <f>MATCH($T35,'Tarieven W&amp;O'!$B:$B,0)</f>
        <v>200</v>
      </c>
      <c r="AJ35" s="179">
        <f>IF(AI35&lt;&gt;"nvt",INDEX('Tarieven W&amp;O'!$H:$H,$AI35),0)</f>
        <v>0</v>
      </c>
      <c r="AK35" s="179">
        <f>IF(AI35&lt;&gt;"nvt",INDEX('Tarieven W&amp;O'!$I:$I,$AI35),0)</f>
        <v>0</v>
      </c>
      <c r="AL35" s="277">
        <f>IF(AI35&lt;&gt;"nvt",-INDEX(Parameters!$B:$B,MATCH(AL$3&amp;$M35,Parameters!$A:$A,0))*(AJ35+AK35),0)</f>
        <v>0</v>
      </c>
      <c r="AM35" s="277"/>
      <c r="AN35" s="179">
        <f t="shared" si="100"/>
        <v>0</v>
      </c>
      <c r="AO35" s="262">
        <f>AN35/INDEX(Parameters!$B:$B,MATCH("AfschrijftermijnVVE"&amp;12*$C35,Parameters!$A:$A,0))</f>
        <v>0</v>
      </c>
      <c r="AP35" s="179">
        <f>MATCH($U35,'Tarieven W&amp;O'!$B:$B,0)</f>
        <v>200</v>
      </c>
      <c r="AQ35" s="202">
        <f>IF(AP35&lt;&gt;"nvt",INDEX('Tarieven W&amp;O'!$G:$G,$AP35),0)</f>
        <v>8.1199999999999992</v>
      </c>
      <c r="AR35" s="277">
        <f>-INDEX(Parameters!$B:$B,MATCH(AR$3&amp;M35&amp;$N35,Parameters!$A:$A,0))*(AQ35)</f>
        <v>0</v>
      </c>
      <c r="AS35" s="179"/>
      <c r="AT35" s="179"/>
      <c r="AU35" s="202">
        <f t="shared" si="101"/>
        <v>8.1199999999999992</v>
      </c>
      <c r="AV35" s="202">
        <f t="shared" si="102"/>
        <v>8.1199999999999992</v>
      </c>
      <c r="AW35" s="202"/>
      <c r="AX35" s="202">
        <f>Parameters!$B$6*AV35</f>
        <v>8.1199999999999994E-2</v>
      </c>
      <c r="AY35" s="202">
        <v>0</v>
      </c>
      <c r="AZ35" s="202"/>
      <c r="BA35" s="202">
        <f t="shared" si="11"/>
        <v>8.1199999999999994E-2</v>
      </c>
      <c r="BB35" s="202"/>
      <c r="BC35" s="278">
        <f t="shared" si="12"/>
        <v>8.2012</v>
      </c>
      <c r="BD35" s="209"/>
      <c r="BE35" s="280">
        <f t="shared" si="103"/>
        <v>1019.5765777777779</v>
      </c>
      <c r="BF35" s="264">
        <f t="shared" si="104"/>
        <v>0.99202045405405403</v>
      </c>
      <c r="BG35" s="274" t="b">
        <f t="shared" si="105"/>
        <v>0</v>
      </c>
      <c r="BI35" s="443" t="s">
        <v>538</v>
      </c>
      <c r="BJ35" s="281"/>
      <c r="BK35" s="203">
        <f>VLOOKUP(J35,'Tarieven ZM'!$B$7:$I$146,8,0)</f>
        <v>0</v>
      </c>
      <c r="BL35" s="203" t="str">
        <f t="shared" si="16"/>
        <v>VDSL7x24</v>
      </c>
      <c r="BM35" s="282">
        <v>0</v>
      </c>
      <c r="BN35" s="262">
        <f>BM35/INDEX(Parameters!$B:$B,MATCH("AfschrijftermijnVVE"&amp;12*$C35,Parameters!$A:$A,0))</f>
        <v>0</v>
      </c>
      <c r="BO35" s="262">
        <f>INDEX('inkoop ULL tbv Epacity'!I:I,MATCH($BL35,'inkoop ULL tbv Epacity'!H:H,0))</f>
        <v>8.1300000000000008</v>
      </c>
      <c r="BP35" s="263">
        <f t="shared" si="17"/>
        <v>8.1300000000000008</v>
      </c>
      <c r="BR35" s="262">
        <f>Parameters!$B$12*AG35</f>
        <v>102.77777777777779</v>
      </c>
      <c r="BS35" s="262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SUM(Distributievergoedingen!$F$12,Distributievergoedingen!$I$12,Distributievergoedingen!$L$12,Distributievergoedingen!$O$12)*AF35+SUM(Distributievergoedingen!$O$12*AA35+Distributievergoedingen!$R$12+Distributievergoedingen!$U$12+Distributievergoedingen!$X$12)/(MAX(36,12*L35))</f>
        <v>112.77777777777777</v>
      </c>
      <c r="BT35" s="262"/>
      <c r="BU35" s="202">
        <f t="shared" si="18"/>
        <v>215.55555555555554</v>
      </c>
      <c r="BW35" s="278">
        <f t="shared" si="19"/>
        <v>223.68555555555554</v>
      </c>
      <c r="BY35" s="280">
        <f t="shared" si="20"/>
        <v>804.09222222222229</v>
      </c>
      <c r="BZ35" s="264">
        <f t="shared" si="21"/>
        <v>0.78236000000000006</v>
      </c>
      <c r="CA35" s="274" t="b">
        <f t="shared" si="22"/>
        <v>0</v>
      </c>
    </row>
    <row r="36" spans="1:79" s="203" customFormat="1">
      <c r="A36" s="203" t="str">
        <f t="shared" si="92"/>
        <v>2VDSL BondingEntry7x24</v>
      </c>
      <c r="B36" s="203" t="str">
        <f t="shared" si="93"/>
        <v>2VDSL BondingEntry7x24</v>
      </c>
      <c r="C36" s="438">
        <v>2</v>
      </c>
      <c r="D36" s="438" t="s">
        <v>170</v>
      </c>
      <c r="E36" s="438" t="s">
        <v>78</v>
      </c>
      <c r="F36" s="438" t="s">
        <v>34</v>
      </c>
      <c r="G36" s="438" t="s">
        <v>115</v>
      </c>
      <c r="H36" s="438" t="s">
        <v>115</v>
      </c>
      <c r="I36" s="438" t="s">
        <v>115</v>
      </c>
      <c r="J36" s="274" t="str">
        <f t="shared" si="94"/>
        <v>VDSL BondingEntry7x24</v>
      </c>
      <c r="L36" s="273">
        <f>INDEX(Mapping!$J:$J,MATCH(C$3&amp;C36,Mapping!$B:$B,0))</f>
        <v>1</v>
      </c>
      <c r="M36" s="179" t="str">
        <f>INDEX(Mapping!$H:$H,MATCH($E36,Mapping!$B:$B,0))</f>
        <v>WBA CM Ethernet</v>
      </c>
      <c r="N36" s="179" t="str">
        <f>INDEX(Mapping!$J:$J,MATCH($J36,Mapping!$B:$B,0))</f>
        <v>VDSL</v>
      </c>
      <c r="O36" s="179" t="str">
        <f>INDEX(Mapping!$K:$K,MATCH($J36,Mapping!$B:$B,0))</f>
        <v>7x24</v>
      </c>
      <c r="P36"/>
      <c r="Q36" s="179"/>
      <c r="R36" s="179" t="str">
        <f>INDEX(Mapping!$H:$H,MATCH($H36,Mapping!$B:$B,0))</f>
        <v>nvt</v>
      </c>
      <c r="S36" s="179" t="str">
        <f>INDEX(Mapping!$H:$H,MATCH($I36,Mapping!$B:$B,0))</f>
        <v>nvt</v>
      </c>
      <c r="T36" s="179" t="str">
        <f t="shared" si="95"/>
        <v>WBA CM EthernetVDSL7x24</v>
      </c>
      <c r="U36" s="274" t="str">
        <f t="shared" si="96"/>
        <v>WBA CM EthernetVDSL7x24</v>
      </c>
      <c r="W36" s="273">
        <f>MATCH($J36,'Tarieven ZM'!$B:$B,0)</f>
        <v>120</v>
      </c>
      <c r="X36" s="179">
        <f>INDEX('Tarieven ZM'!$H:$H,$W36)</f>
        <v>1000</v>
      </c>
      <c r="Y36" s="276">
        <f>-INDEX(Parameters!$B:$B,MATCH(Y$3,Parameters!$A:$A,0))*$X36</f>
        <v>0</v>
      </c>
      <c r="Z36" s="277">
        <f>-INDEX(Parameters!$B:$B,MATCH(Z$3,Parameters!$A:$A,0))*$X36</f>
        <v>0</v>
      </c>
      <c r="AA36" s="179">
        <f t="shared" si="97"/>
        <v>1000</v>
      </c>
      <c r="AB36" s="179">
        <f>AA36/INDEX(Parameters!$B:$B,MATCH("AfschrijftermijnVVE"&amp;12*$C36,Parameters!$A:$A,0))</f>
        <v>27.777777777777779</v>
      </c>
      <c r="AC36" s="179">
        <f>INDEX('Tarieven ZM'!$G:$G,$W36)</f>
        <v>1000</v>
      </c>
      <c r="AD36" s="276">
        <f>-INDEX(Parameters!$B:$B,MATCH(AD$3,Parameters!$A:$A,0))*$AC36</f>
        <v>0</v>
      </c>
      <c r="AE36" s="276">
        <f>-INDEX(Parameters!$B:$B,MATCH(AE$3,Parameters!$A:$A,0))*$AC36</f>
        <v>0</v>
      </c>
      <c r="AF36" s="179">
        <f t="shared" si="98"/>
        <v>1000</v>
      </c>
      <c r="AG36" s="278">
        <f t="shared" si="99"/>
        <v>1027.7777777777778</v>
      </c>
      <c r="AH36" s="209"/>
      <c r="AI36" s="279">
        <f>MATCH($T36,'Tarieven W&amp;O'!$B:$B,0)</f>
        <v>190</v>
      </c>
      <c r="AJ36" s="179">
        <f>IF(AI36&lt;&gt;"nvt",INDEX('Tarieven W&amp;O'!$H:$H,$AI36),0)</f>
        <v>0</v>
      </c>
      <c r="AK36" s="179">
        <f>IF(AI36&lt;&gt;"nvt",INDEX('Tarieven W&amp;O'!$I:$I,$AI36),0)</f>
        <v>0</v>
      </c>
      <c r="AL36" s="277">
        <f>IF(AI36&lt;&gt;"nvt",-INDEX(Parameters!$B:$B,MATCH(AL$3&amp;$M36,Parameters!$A:$A,0))*(AJ36+AK36),0)</f>
        <v>0</v>
      </c>
      <c r="AM36" s="277"/>
      <c r="AN36" s="179">
        <f t="shared" si="100"/>
        <v>0</v>
      </c>
      <c r="AO36" s="262">
        <f>AN36/INDEX(Parameters!$B:$B,MATCH("AfschrijftermijnVVE"&amp;12*$C36,Parameters!$A:$A,0))</f>
        <v>0</v>
      </c>
      <c r="AP36" s="179">
        <f>MATCH($U36,'Tarieven W&amp;O'!$B:$B,0)</f>
        <v>190</v>
      </c>
      <c r="AQ36" s="202">
        <f>IF(AP36&lt;&gt;"nvt",INDEX('Tarieven W&amp;O'!$G:$G,$AP36),0)</f>
        <v>15.11</v>
      </c>
      <c r="AR36" s="277">
        <f>-INDEX(Parameters!$B:$B,MATCH(AR$3&amp;M36&amp;$N36,Parameters!$A:$A,0))*(AQ36)</f>
        <v>-1.5110000000000001</v>
      </c>
      <c r="AS36" s="179"/>
      <c r="AT36" s="179"/>
      <c r="AU36" s="202">
        <f t="shared" si="101"/>
        <v>13.599</v>
      </c>
      <c r="AV36" s="202">
        <f t="shared" si="102"/>
        <v>13.599</v>
      </c>
      <c r="AW36" s="202"/>
      <c r="AX36" s="202">
        <f>Parameters!$B$6*AV36</f>
        <v>0.13599</v>
      </c>
      <c r="AY36" s="202">
        <v>0</v>
      </c>
      <c r="AZ36" s="202"/>
      <c r="BA36" s="202">
        <f t="shared" si="11"/>
        <v>0.13599</v>
      </c>
      <c r="BB36" s="202"/>
      <c r="BC36" s="278">
        <f t="shared" si="12"/>
        <v>13.73499</v>
      </c>
      <c r="BD36" s="209"/>
      <c r="BE36" s="280">
        <f t="shared" si="103"/>
        <v>1014.0427877777778</v>
      </c>
      <c r="BF36" s="264">
        <f t="shared" si="104"/>
        <v>0.98663622594594591</v>
      </c>
      <c r="BG36" s="274" t="b">
        <f t="shared" si="105"/>
        <v>0</v>
      </c>
      <c r="BI36" s="443" t="s">
        <v>538</v>
      </c>
      <c r="BJ36" s="281"/>
      <c r="BK36" s="203">
        <f>VLOOKUP(J36,'Tarieven ZM'!$B$7:$I$146,8,0)</f>
        <v>0</v>
      </c>
      <c r="BL36" s="203" t="str">
        <f t="shared" si="16"/>
        <v>VDSL7x24</v>
      </c>
      <c r="BM36" s="282">
        <v>0</v>
      </c>
      <c r="BN36" s="262">
        <f>BM36/INDEX(Parameters!$B:$B,MATCH("AfschrijftermijnVVE"&amp;12*$C36,Parameters!$A:$A,0))</f>
        <v>0</v>
      </c>
      <c r="BO36" s="262">
        <f>INDEX('inkoop ULL tbv Epacity'!I:I,MATCH($BL36,'inkoop ULL tbv Epacity'!H:H,0))</f>
        <v>8.1300000000000008</v>
      </c>
      <c r="BP36" s="263">
        <f t="shared" si="17"/>
        <v>8.1300000000000008</v>
      </c>
      <c r="BR36" s="262">
        <f>Parameters!$B$12*AG36</f>
        <v>102.77777777777779</v>
      </c>
      <c r="BS36" s="262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SUM(Distributievergoedingen!$F$12,Distributievergoedingen!$I$12,Distributievergoedingen!$L$12,Distributievergoedingen!$O$12)*AF36+SUM(Distributievergoedingen!$O$12*AA36+Distributievergoedingen!$R$12+Distributievergoedingen!$U$12+Distributievergoedingen!$X$12)/(MAX(36,12*L36))</f>
        <v>112.77777777777777</v>
      </c>
      <c r="BT36" s="262"/>
      <c r="BU36" s="202">
        <f t="shared" si="18"/>
        <v>215.55555555555554</v>
      </c>
      <c r="BW36" s="278">
        <f t="shared" si="19"/>
        <v>223.68555555555554</v>
      </c>
      <c r="BY36" s="280">
        <f t="shared" si="20"/>
        <v>804.09222222222229</v>
      </c>
      <c r="BZ36" s="264">
        <f t="shared" si="21"/>
        <v>0.78236000000000006</v>
      </c>
      <c r="CA36" s="274" t="b">
        <f t="shared" si="22"/>
        <v>0</v>
      </c>
    </row>
    <row r="37" spans="1:79" s="203" customFormat="1">
      <c r="A37" s="203" t="str">
        <f t="shared" si="92"/>
        <v>2VDSL BondingPremium7x24</v>
      </c>
      <c r="B37" s="203" t="str">
        <f t="shared" si="93"/>
        <v>2VDSL BondingPremium7x24</v>
      </c>
      <c r="C37" s="438">
        <v>2</v>
      </c>
      <c r="D37" s="438" t="s">
        <v>170</v>
      </c>
      <c r="E37" s="438" t="s">
        <v>70</v>
      </c>
      <c r="F37" s="438" t="s">
        <v>34</v>
      </c>
      <c r="G37" s="438" t="s">
        <v>115</v>
      </c>
      <c r="H37" s="438" t="s">
        <v>115</v>
      </c>
      <c r="I37" s="438" t="s">
        <v>115</v>
      </c>
      <c r="J37" s="274" t="str">
        <f t="shared" si="94"/>
        <v>VDSL BondingPremium7x24</v>
      </c>
      <c r="L37" s="273">
        <f>INDEX(Mapping!$J:$J,MATCH(C$3&amp;C37,Mapping!$B:$B,0))</f>
        <v>1</v>
      </c>
      <c r="M37" s="179" t="str">
        <f>INDEX(Mapping!$H:$H,MATCH($E37,Mapping!$B:$B,0))</f>
        <v>WBA ZM Ethernet</v>
      </c>
      <c r="N37" s="179" t="str">
        <f>INDEX(Mapping!$J:$J,MATCH($J37,Mapping!$B:$B,0))</f>
        <v>VDSL</v>
      </c>
      <c r="O37" s="179" t="str">
        <f>INDEX(Mapping!$K:$K,MATCH($J37,Mapping!$B:$B,0))</f>
        <v>7x24</v>
      </c>
      <c r="P37"/>
      <c r="Q37" s="179"/>
      <c r="R37" s="179" t="str">
        <f>INDEX(Mapping!$H:$H,MATCH($H37,Mapping!$B:$B,0))</f>
        <v>nvt</v>
      </c>
      <c r="S37" s="179" t="str">
        <f>INDEX(Mapping!$H:$H,MATCH($I37,Mapping!$B:$B,0))</f>
        <v>nvt</v>
      </c>
      <c r="T37" s="179" t="str">
        <f t="shared" si="95"/>
        <v>WBA ZM EthernetVDSL7x24</v>
      </c>
      <c r="U37" s="274" t="str">
        <f t="shared" si="96"/>
        <v>WBA ZM EthernetVDSL7x24</v>
      </c>
      <c r="W37" s="273">
        <f>MATCH($J37,'Tarieven ZM'!$B:$B,0)</f>
        <v>121</v>
      </c>
      <c r="X37" s="179">
        <f>INDEX('Tarieven ZM'!$H:$H,$W37)</f>
        <v>1000</v>
      </c>
      <c r="Y37" s="276">
        <f>-INDEX(Parameters!$B:$B,MATCH(Y$3,Parameters!$A:$A,0))*$X37</f>
        <v>0</v>
      </c>
      <c r="Z37" s="277">
        <f>-INDEX(Parameters!$B:$B,MATCH(Z$3,Parameters!$A:$A,0))*$X37</f>
        <v>0</v>
      </c>
      <c r="AA37" s="179">
        <f t="shared" si="97"/>
        <v>1000</v>
      </c>
      <c r="AB37" s="179">
        <f>AA37/INDEX(Parameters!$B:$B,MATCH("AfschrijftermijnVVE"&amp;12*$C37,Parameters!$A:$A,0))</f>
        <v>27.777777777777779</v>
      </c>
      <c r="AC37" s="179">
        <f>INDEX('Tarieven ZM'!$G:$G,$W37)</f>
        <v>1000</v>
      </c>
      <c r="AD37" s="276">
        <f>-INDEX(Parameters!$B:$B,MATCH(AD$3,Parameters!$A:$A,0))*$AC37</f>
        <v>0</v>
      </c>
      <c r="AE37" s="276">
        <f>-INDEX(Parameters!$B:$B,MATCH(AE$3,Parameters!$A:$A,0))*$AC37</f>
        <v>0</v>
      </c>
      <c r="AF37" s="179">
        <f t="shared" si="98"/>
        <v>1000</v>
      </c>
      <c r="AG37" s="278">
        <f t="shared" si="99"/>
        <v>1027.7777777777778</v>
      </c>
      <c r="AH37" s="209"/>
      <c r="AI37" s="279">
        <f>MATCH($T37,'Tarieven W&amp;O'!$B:$B,0)</f>
        <v>200</v>
      </c>
      <c r="AJ37" s="179">
        <f>IF(AI37&lt;&gt;"nvt",INDEX('Tarieven W&amp;O'!$H:$H,$AI37),0)</f>
        <v>0</v>
      </c>
      <c r="AK37" s="179">
        <f>IF(AI37&lt;&gt;"nvt",INDEX('Tarieven W&amp;O'!$I:$I,$AI37),0)</f>
        <v>0</v>
      </c>
      <c r="AL37" s="277">
        <f>IF(AI37&lt;&gt;"nvt",-INDEX(Parameters!$B:$B,MATCH(AL$3&amp;$M37,Parameters!$A:$A,0))*(AJ37+AK37),0)</f>
        <v>0</v>
      </c>
      <c r="AM37" s="277"/>
      <c r="AN37" s="179">
        <f t="shared" si="100"/>
        <v>0</v>
      </c>
      <c r="AO37" s="262">
        <f>AN37/INDEX(Parameters!$B:$B,MATCH("AfschrijftermijnVVE"&amp;12*$C37,Parameters!$A:$A,0))</f>
        <v>0</v>
      </c>
      <c r="AP37" s="179">
        <f>MATCH($U37,'Tarieven W&amp;O'!$B:$B,0)</f>
        <v>200</v>
      </c>
      <c r="AQ37" s="202">
        <f>IF(AP37&lt;&gt;"nvt",INDEX('Tarieven W&amp;O'!$G:$G,$AP37),0)</f>
        <v>8.1199999999999992</v>
      </c>
      <c r="AR37" s="277">
        <f>-INDEX(Parameters!$B:$B,MATCH(AR$3&amp;M37&amp;$N37,Parameters!$A:$A,0))*(AQ37)</f>
        <v>0</v>
      </c>
      <c r="AS37" s="179"/>
      <c r="AT37" s="179"/>
      <c r="AU37" s="202">
        <f t="shared" si="101"/>
        <v>8.1199999999999992</v>
      </c>
      <c r="AV37" s="202">
        <f t="shared" si="102"/>
        <v>8.1199999999999992</v>
      </c>
      <c r="AW37" s="202"/>
      <c r="AX37" s="202">
        <f>Parameters!$B$6*AV37</f>
        <v>8.1199999999999994E-2</v>
      </c>
      <c r="AY37" s="202">
        <v>0</v>
      </c>
      <c r="AZ37" s="202"/>
      <c r="BA37" s="202">
        <f t="shared" si="11"/>
        <v>8.1199999999999994E-2</v>
      </c>
      <c r="BB37" s="202"/>
      <c r="BC37" s="278">
        <f t="shared" si="12"/>
        <v>8.2012</v>
      </c>
      <c r="BD37" s="209"/>
      <c r="BE37" s="280">
        <f t="shared" si="103"/>
        <v>1019.5765777777779</v>
      </c>
      <c r="BF37" s="264">
        <f t="shared" si="104"/>
        <v>0.99202045405405403</v>
      </c>
      <c r="BG37" s="274" t="b">
        <f t="shared" si="105"/>
        <v>0</v>
      </c>
      <c r="BI37" s="443" t="s">
        <v>538</v>
      </c>
      <c r="BJ37" s="281"/>
      <c r="BK37" s="203">
        <f>VLOOKUP(J37,'Tarieven ZM'!$B$7:$I$146,8,0)</f>
        <v>0</v>
      </c>
      <c r="BL37" s="203" t="str">
        <f t="shared" si="16"/>
        <v>VDSL7x24</v>
      </c>
      <c r="BM37" s="282">
        <v>0</v>
      </c>
      <c r="BN37" s="262">
        <f>BM37/INDEX(Parameters!$B:$B,MATCH("AfschrijftermijnVVE"&amp;12*$C37,Parameters!$A:$A,0))</f>
        <v>0</v>
      </c>
      <c r="BO37" s="262">
        <f>INDEX('inkoop ULL tbv Epacity'!I:I,MATCH($BL37,'inkoop ULL tbv Epacity'!H:H,0))</f>
        <v>8.1300000000000008</v>
      </c>
      <c r="BP37" s="263">
        <f t="shared" si="17"/>
        <v>8.1300000000000008</v>
      </c>
      <c r="BR37" s="262">
        <f>Parameters!$B$12*AG37</f>
        <v>102.77777777777779</v>
      </c>
      <c r="BS37" s="262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SUM(Distributievergoedingen!$F$12,Distributievergoedingen!$I$12,Distributievergoedingen!$L$12,Distributievergoedingen!$O$12)*AF37+SUM(Distributievergoedingen!$O$12*AA37+Distributievergoedingen!$R$12+Distributievergoedingen!$U$12+Distributievergoedingen!$X$12)/(MAX(36,12*L37))</f>
        <v>112.77777777777777</v>
      </c>
      <c r="BT37" s="262"/>
      <c r="BU37" s="202">
        <f t="shared" si="18"/>
        <v>215.55555555555554</v>
      </c>
      <c r="BW37" s="278">
        <f t="shared" si="19"/>
        <v>223.68555555555554</v>
      </c>
      <c r="BY37" s="280">
        <f t="shared" si="20"/>
        <v>804.09222222222229</v>
      </c>
      <c r="BZ37" s="264">
        <f t="shared" si="21"/>
        <v>0.78236000000000006</v>
      </c>
      <c r="CA37" s="274" t="b">
        <f t="shared" si="22"/>
        <v>0</v>
      </c>
    </row>
    <row r="38" spans="1:79" s="203" customFormat="1">
      <c r="A38" s="203" t="str">
        <f t="shared" si="92"/>
        <v>2ADSLEntrykantooruren</v>
      </c>
      <c r="B38" s="203" t="str">
        <f t="shared" si="93"/>
        <v>2ADSLEntrykantooruren</v>
      </c>
      <c r="C38" s="438">
        <v>2</v>
      </c>
      <c r="D38" s="438" t="s">
        <v>42</v>
      </c>
      <c r="E38" s="438" t="s">
        <v>78</v>
      </c>
      <c r="F38" s="438" t="s">
        <v>1250</v>
      </c>
      <c r="G38" s="438" t="s">
        <v>115</v>
      </c>
      <c r="H38" s="438" t="s">
        <v>115</v>
      </c>
      <c r="I38" s="438" t="s">
        <v>115</v>
      </c>
      <c r="J38" s="274" t="str">
        <f t="shared" si="94"/>
        <v>ADSLEntrykantooruren</v>
      </c>
      <c r="L38" s="273">
        <f>INDEX(Mapping!$J:$J,MATCH(C$3&amp;C38,Mapping!$B:$B,0))</f>
        <v>1</v>
      </c>
      <c r="M38" s="179" t="str">
        <f>INDEX(Mapping!$H:$H,MATCH($E38,Mapping!$B:$B,0))</f>
        <v>WBA CM Ethernet</v>
      </c>
      <c r="N38" s="179" t="str">
        <f>INDEX(Mapping!$J:$J,MATCH($J38,Mapping!$B:$B,0))</f>
        <v>ADSL</v>
      </c>
      <c r="O38" s="179" t="str">
        <f>INDEX(Mapping!$K:$K,MATCH($J38,Mapping!$B:$B,0))</f>
        <v>Standard</v>
      </c>
      <c r="P38"/>
      <c r="Q38" s="179"/>
      <c r="R38" s="179" t="str">
        <f>INDEX(Mapping!$H:$H,MATCH($H38,Mapping!$B:$B,0))</f>
        <v>nvt</v>
      </c>
      <c r="S38" s="179" t="str">
        <f>INDEX(Mapping!$H:$H,MATCH($I38,Mapping!$B:$B,0))</f>
        <v>nvt</v>
      </c>
      <c r="T38" s="179" t="str">
        <f t="shared" si="95"/>
        <v>WBA CM EthernetADSLStandard</v>
      </c>
      <c r="U38" s="274" t="str">
        <f t="shared" si="96"/>
        <v>WBA CM EthernetADSLStandard</v>
      </c>
      <c r="W38" s="273">
        <f>MATCH($J38,'Tarieven ZM'!$B:$B,0)</f>
        <v>125</v>
      </c>
      <c r="X38" s="179">
        <f>INDEX('Tarieven ZM'!$H:$H,$W38)</f>
        <v>1000</v>
      </c>
      <c r="Y38" s="276">
        <f>-INDEX(Parameters!$B:$B,MATCH(Y$3,Parameters!$A:$A,0))*$X38</f>
        <v>0</v>
      </c>
      <c r="Z38" s="277">
        <f>-INDEX(Parameters!$B:$B,MATCH(Z$3,Parameters!$A:$A,0))*$X38</f>
        <v>0</v>
      </c>
      <c r="AA38" s="179">
        <f t="shared" si="97"/>
        <v>1000</v>
      </c>
      <c r="AB38" s="179">
        <f>AA38/INDEX(Parameters!$B:$B,MATCH("AfschrijftermijnVVE"&amp;12*$C38,Parameters!$A:$A,0))</f>
        <v>27.777777777777779</v>
      </c>
      <c r="AC38" s="179">
        <f>INDEX('Tarieven ZM'!$G:$G,$W38)</f>
        <v>1000</v>
      </c>
      <c r="AD38" s="276">
        <f>-INDEX(Parameters!$B:$B,MATCH(AD$3,Parameters!$A:$A,0))*$AC38</f>
        <v>0</v>
      </c>
      <c r="AE38" s="276">
        <f>-INDEX(Parameters!$B:$B,MATCH(AE$3,Parameters!$A:$A,0))*$AC38</f>
        <v>0</v>
      </c>
      <c r="AF38" s="179">
        <f t="shared" si="98"/>
        <v>1000</v>
      </c>
      <c r="AG38" s="278">
        <f t="shared" si="99"/>
        <v>1027.7777777777778</v>
      </c>
      <c r="AH38" s="209"/>
      <c r="AI38" s="279">
        <f>MATCH($T38,'Tarieven W&amp;O'!$B:$B,0)</f>
        <v>205</v>
      </c>
      <c r="AJ38" s="179">
        <f>IF(AI38&lt;&gt;"nvt",INDEX('Tarieven W&amp;O'!$H:$H,$AI38),0)</f>
        <v>0</v>
      </c>
      <c r="AK38" s="179">
        <f>IF(AI38&lt;&gt;"nvt",INDEX('Tarieven W&amp;O'!$I:$I,$AI38),0)</f>
        <v>0</v>
      </c>
      <c r="AL38" s="277">
        <f>IF(AI38&lt;&gt;"nvt",-INDEX(Parameters!$B:$B,MATCH(AL$3&amp;$M38,Parameters!$A:$A,0))*(AJ38+AK38),0)</f>
        <v>0</v>
      </c>
      <c r="AM38" s="277"/>
      <c r="AN38" s="179">
        <f t="shared" si="100"/>
        <v>0</v>
      </c>
      <c r="AO38" s="262">
        <f>AN38/INDEX(Parameters!$B:$B,MATCH("AfschrijftermijnVVE"&amp;12*$C38,Parameters!$A:$A,0))</f>
        <v>0</v>
      </c>
      <c r="AP38" s="179">
        <f>MATCH($U38,'Tarieven W&amp;O'!$B:$B,0)</f>
        <v>205</v>
      </c>
      <c r="AQ38" s="202">
        <f>IF(AP38&lt;&gt;"nvt",INDEX('Tarieven W&amp;O'!$G:$G,$AP38),0)</f>
        <v>0</v>
      </c>
      <c r="AR38" s="277">
        <f>-INDEX(Parameters!$B:$B,MATCH(AR$3&amp;M38&amp;$N38,Parameters!$A:$A,0))*(AQ38)</f>
        <v>0</v>
      </c>
      <c r="AS38" s="179"/>
      <c r="AT38" s="179"/>
      <c r="AU38" s="202">
        <f t="shared" si="101"/>
        <v>0</v>
      </c>
      <c r="AV38" s="202">
        <f t="shared" si="102"/>
        <v>0</v>
      </c>
      <c r="AW38" s="202"/>
      <c r="AX38" s="202">
        <f>Parameters!$B$6*AV38</f>
        <v>0</v>
      </c>
      <c r="AY38" s="202">
        <v>0</v>
      </c>
      <c r="AZ38" s="202"/>
      <c r="BA38" s="202">
        <f t="shared" si="11"/>
        <v>0</v>
      </c>
      <c r="BB38" s="202"/>
      <c r="BC38" s="278">
        <f t="shared" si="12"/>
        <v>0</v>
      </c>
      <c r="BD38" s="209"/>
      <c r="BE38" s="280">
        <f t="shared" si="103"/>
        <v>1027.7777777777778</v>
      </c>
      <c r="BF38" s="264">
        <f t="shared" si="104"/>
        <v>1</v>
      </c>
      <c r="BG38" s="274" t="b">
        <f t="shared" si="105"/>
        <v>0</v>
      </c>
      <c r="BI38" s="443" t="s">
        <v>538</v>
      </c>
      <c r="BJ38" s="281"/>
      <c r="BK38" s="203">
        <f>VLOOKUP(J38,'Tarieven ZM'!$B$7:$I$146,8,0)</f>
        <v>0</v>
      </c>
      <c r="BL38" s="203" t="str">
        <f t="shared" si="16"/>
        <v>ADSLStandard</v>
      </c>
      <c r="BM38" s="282">
        <v>0</v>
      </c>
      <c r="BN38" s="262">
        <f>BM38/INDEX(Parameters!$B:$B,MATCH("AfschrijftermijnVVE"&amp;12*$C38,Parameters!$A:$A,0))</f>
        <v>0</v>
      </c>
      <c r="BO38" s="262">
        <f>INDEX('inkoop ULL tbv Epacity'!I:I,MATCH($BL38,'inkoop ULL tbv Epacity'!H:H,0))</f>
        <v>0</v>
      </c>
      <c r="BP38" s="263">
        <f t="shared" si="17"/>
        <v>0</v>
      </c>
      <c r="BR38" s="262">
        <f>Parameters!$B$12*AG38</f>
        <v>102.77777777777779</v>
      </c>
      <c r="BS38" s="262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SUM(Distributievergoedingen!$F$12,Distributievergoedingen!$I$12,Distributievergoedingen!$L$12,Distributievergoedingen!$O$12)*AF38+SUM(Distributievergoedingen!$O$12*AA38+Distributievergoedingen!$R$12+Distributievergoedingen!$U$12+Distributievergoedingen!$X$12)/(MAX(36,12*L38))</f>
        <v>112.77777777777777</v>
      </c>
      <c r="BT38" s="262"/>
      <c r="BU38" s="202">
        <f t="shared" si="18"/>
        <v>215.55555555555554</v>
      </c>
      <c r="BW38" s="278">
        <f t="shared" si="19"/>
        <v>215.55555555555554</v>
      </c>
      <c r="BY38" s="280">
        <f t="shared" si="20"/>
        <v>812.22222222222229</v>
      </c>
      <c r="BZ38" s="264">
        <f t="shared" si="21"/>
        <v>0.7902702702702703</v>
      </c>
      <c r="CA38" s="274" t="b">
        <f t="shared" si="22"/>
        <v>0</v>
      </c>
    </row>
    <row r="39" spans="1:79" s="203" customFormat="1">
      <c r="A39" s="203" t="str">
        <f t="shared" si="92"/>
        <v>2ADSLPremiumkantooruren</v>
      </c>
      <c r="B39" s="203" t="str">
        <f t="shared" si="93"/>
        <v>2ADSLPremiumkantooruren</v>
      </c>
      <c r="C39" s="438">
        <v>2</v>
      </c>
      <c r="D39" s="438" t="s">
        <v>42</v>
      </c>
      <c r="E39" s="438" t="s">
        <v>70</v>
      </c>
      <c r="F39" s="438" t="s">
        <v>1250</v>
      </c>
      <c r="G39" s="438" t="s">
        <v>115</v>
      </c>
      <c r="H39" s="438" t="s">
        <v>115</v>
      </c>
      <c r="I39" s="438" t="s">
        <v>115</v>
      </c>
      <c r="J39" s="274" t="str">
        <f t="shared" si="94"/>
        <v>ADSLPremiumkantooruren</v>
      </c>
      <c r="L39" s="273">
        <f>INDEX(Mapping!$J:$J,MATCH(C$3&amp;C39,Mapping!$B:$B,0))</f>
        <v>1</v>
      </c>
      <c r="M39" s="179" t="str">
        <f>INDEX(Mapping!$H:$H,MATCH($E39,Mapping!$B:$B,0))</f>
        <v>WBA ZM Ethernet</v>
      </c>
      <c r="N39" s="179" t="str">
        <f>INDEX(Mapping!$J:$J,MATCH($J39,Mapping!$B:$B,0))</f>
        <v>ADSL</v>
      </c>
      <c r="O39" s="179" t="str">
        <f>INDEX(Mapping!$K:$K,MATCH($J39,Mapping!$B:$B,0))</f>
        <v>Standard</v>
      </c>
      <c r="P39"/>
      <c r="Q39" s="179"/>
      <c r="R39" s="179" t="str">
        <f>INDEX(Mapping!$H:$H,MATCH($H39,Mapping!$B:$B,0))</f>
        <v>nvt</v>
      </c>
      <c r="S39" s="179" t="str">
        <f>INDEX(Mapping!$H:$H,MATCH($I39,Mapping!$B:$B,0))</f>
        <v>nvt</v>
      </c>
      <c r="T39" s="179" t="str">
        <f t="shared" si="95"/>
        <v>WBA ZM EthernetADSLStandard</v>
      </c>
      <c r="U39" s="274" t="str">
        <f t="shared" si="96"/>
        <v>WBA ZM EthernetADSLStandard</v>
      </c>
      <c r="W39" s="273">
        <f>MATCH($J39,'Tarieven ZM'!$B:$B,0)</f>
        <v>126</v>
      </c>
      <c r="X39" s="179">
        <f>INDEX('Tarieven ZM'!$H:$H,$W39)</f>
        <v>1000</v>
      </c>
      <c r="Y39" s="276">
        <f>-INDEX(Parameters!$B:$B,MATCH(Y$3,Parameters!$A:$A,0))*$X39</f>
        <v>0</v>
      </c>
      <c r="Z39" s="277">
        <f>-INDEX(Parameters!$B:$B,MATCH(Z$3,Parameters!$A:$A,0))*$X39</f>
        <v>0</v>
      </c>
      <c r="AA39" s="179">
        <f t="shared" si="97"/>
        <v>1000</v>
      </c>
      <c r="AB39" s="179">
        <f>AA39/INDEX(Parameters!$B:$B,MATCH("AfschrijftermijnVVE"&amp;12*$C39,Parameters!$A:$A,0))</f>
        <v>27.777777777777779</v>
      </c>
      <c r="AC39" s="179">
        <f>INDEX('Tarieven ZM'!$G:$G,$W39)</f>
        <v>1000</v>
      </c>
      <c r="AD39" s="276">
        <f>-INDEX(Parameters!$B:$B,MATCH(AD$3,Parameters!$A:$A,0))*$AC39</f>
        <v>0</v>
      </c>
      <c r="AE39" s="276">
        <f>-INDEX(Parameters!$B:$B,MATCH(AE$3,Parameters!$A:$A,0))*$AC39</f>
        <v>0</v>
      </c>
      <c r="AF39" s="179">
        <f t="shared" si="98"/>
        <v>1000</v>
      </c>
      <c r="AG39" s="278">
        <f t="shared" si="99"/>
        <v>1027.7777777777778</v>
      </c>
      <c r="AH39" s="209"/>
      <c r="AI39" s="279">
        <f>MATCH($T39,'Tarieven W&amp;O'!$B:$B,0)</f>
        <v>210</v>
      </c>
      <c r="AJ39" s="179">
        <f>IF(AI39&lt;&gt;"nvt",INDEX('Tarieven W&amp;O'!$H:$H,$AI39),0)</f>
        <v>0</v>
      </c>
      <c r="AK39" s="179">
        <f>IF(AI39&lt;&gt;"nvt",INDEX('Tarieven W&amp;O'!$I:$I,$AI39),0)</f>
        <v>0</v>
      </c>
      <c r="AL39" s="277">
        <f>IF(AI39&lt;&gt;"nvt",-INDEX(Parameters!$B:$B,MATCH(AL$3&amp;$M39,Parameters!$A:$A,0))*(AJ39+AK39),0)</f>
        <v>0</v>
      </c>
      <c r="AM39" s="277"/>
      <c r="AN39" s="179">
        <f t="shared" si="100"/>
        <v>0</v>
      </c>
      <c r="AO39" s="262">
        <f>AN39/INDEX(Parameters!$B:$B,MATCH("AfschrijftermijnVVE"&amp;12*$C39,Parameters!$A:$A,0))</f>
        <v>0</v>
      </c>
      <c r="AP39" s="179">
        <f>MATCH($U39,'Tarieven W&amp;O'!$B:$B,0)</f>
        <v>210</v>
      </c>
      <c r="AQ39" s="202">
        <f>IF(AP39&lt;&gt;"nvt",INDEX('Tarieven W&amp;O'!$G:$G,$AP39),0)</f>
        <v>0</v>
      </c>
      <c r="AR39" s="277">
        <f>-INDEX(Parameters!$B:$B,MATCH(AR$3&amp;M39&amp;$N39,Parameters!$A:$A,0))*(AQ39)</f>
        <v>0</v>
      </c>
      <c r="AS39" s="179"/>
      <c r="AT39" s="179"/>
      <c r="AU39" s="202">
        <f t="shared" si="101"/>
        <v>0</v>
      </c>
      <c r="AV39" s="202">
        <f t="shared" si="102"/>
        <v>0</v>
      </c>
      <c r="AW39" s="202"/>
      <c r="AX39" s="202">
        <f>Parameters!$B$6*AV39</f>
        <v>0</v>
      </c>
      <c r="AY39" s="202">
        <v>0</v>
      </c>
      <c r="AZ39" s="202"/>
      <c r="BA39" s="202">
        <f t="shared" si="11"/>
        <v>0</v>
      </c>
      <c r="BB39" s="202"/>
      <c r="BC39" s="278">
        <f t="shared" si="12"/>
        <v>0</v>
      </c>
      <c r="BD39" s="209"/>
      <c r="BE39" s="280">
        <f t="shared" si="103"/>
        <v>1027.7777777777778</v>
      </c>
      <c r="BF39" s="264">
        <f t="shared" si="104"/>
        <v>1</v>
      </c>
      <c r="BG39" s="274" t="b">
        <f t="shared" si="105"/>
        <v>0</v>
      </c>
      <c r="BI39" s="443" t="s">
        <v>538</v>
      </c>
      <c r="BJ39" s="281"/>
      <c r="BK39" s="203">
        <f>VLOOKUP(J39,'Tarieven ZM'!$B$7:$I$146,8,0)</f>
        <v>0</v>
      </c>
      <c r="BL39" s="203" t="str">
        <f t="shared" si="16"/>
        <v>ADSLStandard</v>
      </c>
      <c r="BM39" s="282">
        <v>0</v>
      </c>
      <c r="BN39" s="262">
        <f>BM39/INDEX(Parameters!$B:$B,MATCH("AfschrijftermijnVVE"&amp;12*$C39,Parameters!$A:$A,0))</f>
        <v>0</v>
      </c>
      <c r="BO39" s="262">
        <f>INDEX('inkoop ULL tbv Epacity'!I:I,MATCH($BL39,'inkoop ULL tbv Epacity'!H:H,0))</f>
        <v>0</v>
      </c>
      <c r="BP39" s="263">
        <f t="shared" si="17"/>
        <v>0</v>
      </c>
      <c r="BR39" s="262">
        <f>Parameters!$B$12*AG39</f>
        <v>102.77777777777779</v>
      </c>
      <c r="BS39" s="262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SUM(Distributievergoedingen!$F$12,Distributievergoedingen!$I$12,Distributievergoedingen!$L$12,Distributievergoedingen!$O$12)*AF39+SUM(Distributievergoedingen!$O$12*AA39+Distributievergoedingen!$R$12+Distributievergoedingen!$U$12+Distributievergoedingen!$X$12)/(MAX(36,12*L39))</f>
        <v>112.77777777777777</v>
      </c>
      <c r="BT39" s="262"/>
      <c r="BU39" s="202">
        <f t="shared" si="18"/>
        <v>215.55555555555554</v>
      </c>
      <c r="BW39" s="278">
        <f t="shared" si="19"/>
        <v>215.55555555555554</v>
      </c>
      <c r="BY39" s="280">
        <f t="shared" si="20"/>
        <v>812.22222222222229</v>
      </c>
      <c r="BZ39" s="264">
        <f t="shared" si="21"/>
        <v>0.7902702702702703</v>
      </c>
      <c r="CA39" s="274" t="b">
        <f t="shared" si="22"/>
        <v>0</v>
      </c>
    </row>
    <row r="40" spans="1:79" s="203" customFormat="1">
      <c r="A40" s="203" t="str">
        <f t="shared" si="92"/>
        <v>2SDSLEntrykantooruren</v>
      </c>
      <c r="B40" s="203" t="str">
        <f t="shared" si="93"/>
        <v>2SDSLEntrykantooruren</v>
      </c>
      <c r="C40" s="438">
        <v>2</v>
      </c>
      <c r="D40" s="438" t="s">
        <v>64</v>
      </c>
      <c r="E40" s="438" t="s">
        <v>78</v>
      </c>
      <c r="F40" s="438" t="s">
        <v>1250</v>
      </c>
      <c r="G40" s="438" t="s">
        <v>115</v>
      </c>
      <c r="H40" s="438" t="s">
        <v>115</v>
      </c>
      <c r="I40" s="438" t="s">
        <v>115</v>
      </c>
      <c r="J40" s="274" t="str">
        <f t="shared" si="94"/>
        <v>SDSLEntrykantooruren</v>
      </c>
      <c r="L40" s="273">
        <f>INDEX(Mapping!$J:$J,MATCH(C$3&amp;C40,Mapping!$B:$B,0))</f>
        <v>1</v>
      </c>
      <c r="M40" s="179" t="str">
        <f>INDEX(Mapping!$H:$H,MATCH($E40,Mapping!$B:$B,0))</f>
        <v>WBA CM Ethernet</v>
      </c>
      <c r="N40" s="179" t="str">
        <f>INDEX(Mapping!$J:$J,MATCH($J40,Mapping!$B:$B,0))</f>
        <v>SDSL</v>
      </c>
      <c r="O40" s="179" t="str">
        <f>INDEX(Mapping!$K:$K,MATCH($J40,Mapping!$B:$B,0))</f>
        <v>Standard</v>
      </c>
      <c r="P40"/>
      <c r="Q40" s="179"/>
      <c r="R40" s="179" t="str">
        <f>INDEX(Mapping!$H:$H,MATCH($H40,Mapping!$B:$B,0))</f>
        <v>nvt</v>
      </c>
      <c r="S40" s="179" t="str">
        <f>INDEX(Mapping!$H:$H,MATCH($I40,Mapping!$B:$B,0))</f>
        <v>nvt</v>
      </c>
      <c r="T40" s="179" t="str">
        <f t="shared" si="95"/>
        <v>WBA CM EthernetSDSLStandard</v>
      </c>
      <c r="U40" s="274" t="str">
        <f t="shared" si="96"/>
        <v>WBA CM EthernetSDSLStandard</v>
      </c>
      <c r="W40" s="273">
        <f>MATCH($J40,'Tarieven ZM'!$B:$B,0)</f>
        <v>127</v>
      </c>
      <c r="X40" s="179">
        <f>INDEX('Tarieven ZM'!$H:$H,$W40)</f>
        <v>1000</v>
      </c>
      <c r="Y40" s="276">
        <f>-INDEX(Parameters!$B:$B,MATCH(Y$3,Parameters!$A:$A,0))*$X40</f>
        <v>0</v>
      </c>
      <c r="Z40" s="277">
        <f>-INDEX(Parameters!$B:$B,MATCH(Z$3,Parameters!$A:$A,0))*$X40</f>
        <v>0</v>
      </c>
      <c r="AA40" s="179">
        <f t="shared" si="97"/>
        <v>1000</v>
      </c>
      <c r="AB40" s="179">
        <f>AA40/INDEX(Parameters!$B:$B,MATCH("AfschrijftermijnVVE"&amp;12*$C40,Parameters!$A:$A,0))</f>
        <v>27.777777777777779</v>
      </c>
      <c r="AC40" s="179">
        <f>INDEX('Tarieven ZM'!$G:$G,$W40)</f>
        <v>1000</v>
      </c>
      <c r="AD40" s="276">
        <f>-INDEX(Parameters!$B:$B,MATCH(AD$3,Parameters!$A:$A,0))*$AC40</f>
        <v>0</v>
      </c>
      <c r="AE40" s="276">
        <f>-INDEX(Parameters!$B:$B,MATCH(AE$3,Parameters!$A:$A,0))*$AC40</f>
        <v>0</v>
      </c>
      <c r="AF40" s="179">
        <f t="shared" si="98"/>
        <v>1000</v>
      </c>
      <c r="AG40" s="278">
        <f t="shared" si="99"/>
        <v>1027.7777777777778</v>
      </c>
      <c r="AH40" s="209"/>
      <c r="AI40" s="279">
        <f>MATCH($T40,'Tarieven W&amp;O'!$B:$B,0)</f>
        <v>207</v>
      </c>
      <c r="AJ40" s="179">
        <f>IF(AI40&lt;&gt;"nvt",INDEX('Tarieven W&amp;O'!$H:$H,$AI40),0)</f>
        <v>0</v>
      </c>
      <c r="AK40" s="179">
        <f>IF(AI40&lt;&gt;"nvt",INDEX('Tarieven W&amp;O'!$I:$I,$AI40),0)</f>
        <v>0</v>
      </c>
      <c r="AL40" s="277">
        <f>IF(AI40&lt;&gt;"nvt",-INDEX(Parameters!$B:$B,MATCH(AL$3&amp;$M40,Parameters!$A:$A,0))*(AJ40+AK40),0)</f>
        <v>0</v>
      </c>
      <c r="AM40" s="277"/>
      <c r="AN40" s="179">
        <f t="shared" si="100"/>
        <v>0</v>
      </c>
      <c r="AO40" s="262">
        <f>AN40/INDEX(Parameters!$B:$B,MATCH("AfschrijftermijnVVE"&amp;12*$C40,Parameters!$A:$A,0))</f>
        <v>0</v>
      </c>
      <c r="AP40" s="179">
        <f>MATCH($U40,'Tarieven W&amp;O'!$B:$B,0)</f>
        <v>207</v>
      </c>
      <c r="AQ40" s="202">
        <f>IF(AP40&lt;&gt;"nvt",INDEX('Tarieven W&amp;O'!$G:$G,$AP40),0)</f>
        <v>0</v>
      </c>
      <c r="AR40" s="277">
        <f>-INDEX(Parameters!$B:$B,MATCH(AR$3&amp;M40&amp;$N40,Parameters!$A:$A,0))*(AQ40)</f>
        <v>0</v>
      </c>
      <c r="AS40" s="179"/>
      <c r="AT40" s="179"/>
      <c r="AU40" s="202">
        <f t="shared" si="101"/>
        <v>0</v>
      </c>
      <c r="AV40" s="202">
        <f t="shared" si="102"/>
        <v>0</v>
      </c>
      <c r="AW40" s="202"/>
      <c r="AX40" s="202">
        <f>Parameters!$B$6*AV40</f>
        <v>0</v>
      </c>
      <c r="AY40" s="202">
        <v>0</v>
      </c>
      <c r="AZ40" s="202"/>
      <c r="BA40" s="202">
        <f t="shared" si="11"/>
        <v>0</v>
      </c>
      <c r="BB40" s="202"/>
      <c r="BC40" s="278">
        <f t="shared" si="12"/>
        <v>0</v>
      </c>
      <c r="BD40" s="209"/>
      <c r="BE40" s="280">
        <f t="shared" si="103"/>
        <v>1027.7777777777778</v>
      </c>
      <c r="BF40" s="264">
        <f t="shared" si="104"/>
        <v>1</v>
      </c>
      <c r="BG40" s="274" t="b">
        <f t="shared" si="105"/>
        <v>0</v>
      </c>
      <c r="BI40" s="443" t="s">
        <v>538</v>
      </c>
      <c r="BJ40" s="281"/>
      <c r="BK40" s="203">
        <f>VLOOKUP(J40,'Tarieven ZM'!$B$7:$I$146,8,0)</f>
        <v>0</v>
      </c>
      <c r="BL40" s="203" t="str">
        <f t="shared" si="16"/>
        <v>SDSLStandard</v>
      </c>
      <c r="BM40" s="282">
        <v>0</v>
      </c>
      <c r="BN40" s="262">
        <f>BM40/INDEX(Parameters!$B:$B,MATCH("AfschrijftermijnVVE"&amp;12*$C40,Parameters!$A:$A,0))</f>
        <v>0</v>
      </c>
      <c r="BO40" s="262">
        <f>INDEX('inkoop ULL tbv Epacity'!I:I,MATCH($BL40,'inkoop ULL tbv Epacity'!H:H,0))</f>
        <v>0</v>
      </c>
      <c r="BP40" s="263">
        <f t="shared" si="17"/>
        <v>0</v>
      </c>
      <c r="BR40" s="262">
        <f>Parameters!$B$12*AG40</f>
        <v>102.77777777777779</v>
      </c>
      <c r="BS40" s="262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SUM(Distributievergoedingen!$F$12,Distributievergoedingen!$I$12,Distributievergoedingen!$L$12,Distributievergoedingen!$O$12)*AF40+SUM(Distributievergoedingen!$O$12*AA40+Distributievergoedingen!$R$12+Distributievergoedingen!$U$12+Distributievergoedingen!$X$12)/(MAX(36,12*L40))</f>
        <v>112.77777777777777</v>
      </c>
      <c r="BT40" s="262"/>
      <c r="BU40" s="202">
        <f t="shared" si="18"/>
        <v>215.55555555555554</v>
      </c>
      <c r="BW40" s="278">
        <f t="shared" si="19"/>
        <v>215.55555555555554</v>
      </c>
      <c r="BY40" s="280">
        <f t="shared" si="20"/>
        <v>812.22222222222229</v>
      </c>
      <c r="BZ40" s="264">
        <f t="shared" si="21"/>
        <v>0.7902702702702703</v>
      </c>
      <c r="CA40" s="274" t="b">
        <f t="shared" si="22"/>
        <v>0</v>
      </c>
    </row>
    <row r="41" spans="1:79" s="203" customFormat="1">
      <c r="A41" s="203" t="str">
        <f t="shared" si="92"/>
        <v>2SDSLPremiumkantooruren</v>
      </c>
      <c r="B41" s="203" t="str">
        <f t="shared" si="93"/>
        <v>2SDSLPremiumkantooruren</v>
      </c>
      <c r="C41" s="438">
        <v>2</v>
      </c>
      <c r="D41" s="438" t="s">
        <v>64</v>
      </c>
      <c r="E41" s="438" t="s">
        <v>70</v>
      </c>
      <c r="F41" s="438" t="s">
        <v>1250</v>
      </c>
      <c r="G41" s="438" t="s">
        <v>115</v>
      </c>
      <c r="H41" s="438" t="s">
        <v>115</v>
      </c>
      <c r="I41" s="438" t="s">
        <v>115</v>
      </c>
      <c r="J41" s="274" t="str">
        <f t="shared" si="94"/>
        <v>SDSLPremiumkantooruren</v>
      </c>
      <c r="L41" s="273">
        <f>INDEX(Mapping!$J:$J,MATCH(C$3&amp;C41,Mapping!$B:$B,0))</f>
        <v>1</v>
      </c>
      <c r="M41" s="179" t="str">
        <f>INDEX(Mapping!$H:$H,MATCH($E41,Mapping!$B:$B,0))</f>
        <v>WBA ZM Ethernet</v>
      </c>
      <c r="N41" s="179" t="str">
        <f>INDEX(Mapping!$J:$J,MATCH($J41,Mapping!$B:$B,0))</f>
        <v>SDSL</v>
      </c>
      <c r="O41" s="179" t="str">
        <f>INDEX(Mapping!$K:$K,MATCH($J41,Mapping!$B:$B,0))</f>
        <v>Standard</v>
      </c>
      <c r="P41"/>
      <c r="Q41" s="179"/>
      <c r="R41" s="179" t="str">
        <f>INDEX(Mapping!$H:$H,MATCH($H41,Mapping!$B:$B,0))</f>
        <v>nvt</v>
      </c>
      <c r="S41" s="179" t="str">
        <f>INDEX(Mapping!$H:$H,MATCH($I41,Mapping!$B:$B,0))</f>
        <v>nvt</v>
      </c>
      <c r="T41" s="179" t="str">
        <f t="shared" si="95"/>
        <v>WBA ZM EthernetSDSLStandard</v>
      </c>
      <c r="U41" s="274" t="str">
        <f t="shared" si="96"/>
        <v>WBA ZM EthernetSDSLStandard</v>
      </c>
      <c r="W41" s="273">
        <f>MATCH($J41,'Tarieven ZM'!$B:$B,0)</f>
        <v>128</v>
      </c>
      <c r="X41" s="179">
        <f>INDEX('Tarieven ZM'!$H:$H,$W41)</f>
        <v>1000</v>
      </c>
      <c r="Y41" s="276">
        <f>-INDEX(Parameters!$B:$B,MATCH(Y$3,Parameters!$A:$A,0))*$X41</f>
        <v>0</v>
      </c>
      <c r="Z41" s="277">
        <f>-INDEX(Parameters!$B:$B,MATCH(Z$3,Parameters!$A:$A,0))*$X41</f>
        <v>0</v>
      </c>
      <c r="AA41" s="179">
        <f t="shared" si="97"/>
        <v>1000</v>
      </c>
      <c r="AB41" s="179">
        <f>AA41/INDEX(Parameters!$B:$B,MATCH("AfschrijftermijnVVE"&amp;12*$C41,Parameters!$A:$A,0))</f>
        <v>27.777777777777779</v>
      </c>
      <c r="AC41" s="179">
        <f>INDEX('Tarieven ZM'!$G:$G,$W41)</f>
        <v>1000</v>
      </c>
      <c r="AD41" s="276">
        <f>-INDEX(Parameters!$B:$B,MATCH(AD$3,Parameters!$A:$A,0))*$AC41</f>
        <v>0</v>
      </c>
      <c r="AE41" s="276">
        <f>-INDEX(Parameters!$B:$B,MATCH(AE$3,Parameters!$A:$A,0))*$AC41</f>
        <v>0</v>
      </c>
      <c r="AF41" s="179">
        <f t="shared" si="98"/>
        <v>1000</v>
      </c>
      <c r="AG41" s="278">
        <f t="shared" si="99"/>
        <v>1027.7777777777778</v>
      </c>
      <c r="AH41" s="209"/>
      <c r="AI41" s="279">
        <f>MATCH($T41,'Tarieven W&amp;O'!$B:$B,0)</f>
        <v>212</v>
      </c>
      <c r="AJ41" s="179">
        <f>IF(AI41&lt;&gt;"nvt",INDEX('Tarieven W&amp;O'!$H:$H,$AI41),0)</f>
        <v>0</v>
      </c>
      <c r="AK41" s="179">
        <f>IF(AI41&lt;&gt;"nvt",INDEX('Tarieven W&amp;O'!$I:$I,$AI41),0)</f>
        <v>0</v>
      </c>
      <c r="AL41" s="277">
        <f>IF(AI41&lt;&gt;"nvt",-INDEX(Parameters!$B:$B,MATCH(AL$3&amp;$M41,Parameters!$A:$A,0))*(AJ41+AK41),0)</f>
        <v>0</v>
      </c>
      <c r="AM41" s="277"/>
      <c r="AN41" s="179">
        <f t="shared" si="100"/>
        <v>0</v>
      </c>
      <c r="AO41" s="262">
        <f>AN41/INDEX(Parameters!$B:$B,MATCH("AfschrijftermijnVVE"&amp;12*$C41,Parameters!$A:$A,0))</f>
        <v>0</v>
      </c>
      <c r="AP41" s="179">
        <f>MATCH($U41,'Tarieven W&amp;O'!$B:$B,0)</f>
        <v>212</v>
      </c>
      <c r="AQ41" s="202">
        <f>IF(AP41&lt;&gt;"nvt",INDEX('Tarieven W&amp;O'!$G:$G,$AP41),0)</f>
        <v>0</v>
      </c>
      <c r="AR41" s="277">
        <f>-INDEX(Parameters!$B:$B,MATCH(AR$3&amp;M41&amp;$N41,Parameters!$A:$A,0))*(AQ41)</f>
        <v>0</v>
      </c>
      <c r="AS41" s="179"/>
      <c r="AT41" s="179"/>
      <c r="AU41" s="202">
        <f t="shared" si="101"/>
        <v>0</v>
      </c>
      <c r="AV41" s="202">
        <f t="shared" si="102"/>
        <v>0</v>
      </c>
      <c r="AW41" s="202"/>
      <c r="AX41" s="202">
        <f>Parameters!$B$6*AV41</f>
        <v>0</v>
      </c>
      <c r="AY41" s="202">
        <v>0</v>
      </c>
      <c r="AZ41" s="202"/>
      <c r="BA41" s="202">
        <f t="shared" si="11"/>
        <v>0</v>
      </c>
      <c r="BB41" s="202"/>
      <c r="BC41" s="278">
        <f t="shared" si="12"/>
        <v>0</v>
      </c>
      <c r="BD41" s="209"/>
      <c r="BE41" s="280">
        <f t="shared" si="103"/>
        <v>1027.7777777777778</v>
      </c>
      <c r="BF41" s="264">
        <f t="shared" si="104"/>
        <v>1</v>
      </c>
      <c r="BG41" s="274" t="b">
        <f t="shared" si="105"/>
        <v>0</v>
      </c>
      <c r="BI41" s="443" t="s">
        <v>538</v>
      </c>
      <c r="BJ41" s="281"/>
      <c r="BK41" s="203">
        <f>VLOOKUP(J41,'Tarieven ZM'!$B$7:$I$146,8,0)</f>
        <v>0</v>
      </c>
      <c r="BL41" s="203" t="str">
        <f t="shared" si="16"/>
        <v>SDSLStandard</v>
      </c>
      <c r="BM41" s="282">
        <v>0</v>
      </c>
      <c r="BN41" s="262">
        <f>BM41/INDEX(Parameters!$B:$B,MATCH("AfschrijftermijnVVE"&amp;12*$C41,Parameters!$A:$A,0))</f>
        <v>0</v>
      </c>
      <c r="BO41" s="262">
        <f>INDEX('inkoop ULL tbv Epacity'!I:I,MATCH($BL41,'inkoop ULL tbv Epacity'!H:H,0))</f>
        <v>0</v>
      </c>
      <c r="BP41" s="263">
        <f t="shared" si="17"/>
        <v>0</v>
      </c>
      <c r="BR41" s="262">
        <f>Parameters!$B$12*AG41</f>
        <v>102.77777777777779</v>
      </c>
      <c r="BS41" s="262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SUM(Distributievergoedingen!$F$12,Distributievergoedingen!$I$12,Distributievergoedingen!$L$12,Distributievergoedingen!$O$12)*AF41+SUM(Distributievergoedingen!$O$12*AA41+Distributievergoedingen!$R$12+Distributievergoedingen!$U$12+Distributievergoedingen!$X$12)/(MAX(36,12*L41))</f>
        <v>112.77777777777777</v>
      </c>
      <c r="BT41" s="262"/>
      <c r="BU41" s="202">
        <f t="shared" si="18"/>
        <v>215.55555555555554</v>
      </c>
      <c r="BW41" s="278">
        <f t="shared" si="19"/>
        <v>215.55555555555554</v>
      </c>
      <c r="BY41" s="280">
        <f t="shared" si="20"/>
        <v>812.22222222222229</v>
      </c>
      <c r="BZ41" s="264">
        <f t="shared" si="21"/>
        <v>0.7902702702702703</v>
      </c>
      <c r="CA41" s="274" t="b">
        <f t="shared" si="22"/>
        <v>0</v>
      </c>
    </row>
    <row r="42" spans="1:79" s="203" customFormat="1">
      <c r="A42" s="203" t="str">
        <f t="shared" si="92"/>
        <v>2VDSLEntrykantooruren</v>
      </c>
      <c r="B42" s="203" t="str">
        <f t="shared" si="93"/>
        <v>2VDSLEntrykantooruren</v>
      </c>
      <c r="C42" s="438">
        <v>2</v>
      </c>
      <c r="D42" s="438" t="s">
        <v>77</v>
      </c>
      <c r="E42" s="438" t="s">
        <v>78</v>
      </c>
      <c r="F42" s="438" t="s">
        <v>1250</v>
      </c>
      <c r="G42" s="438" t="s">
        <v>115</v>
      </c>
      <c r="H42" s="438" t="s">
        <v>115</v>
      </c>
      <c r="I42" s="438" t="s">
        <v>115</v>
      </c>
      <c r="J42" s="274" t="str">
        <f t="shared" si="94"/>
        <v>VDSLEntrykantooruren</v>
      </c>
      <c r="L42" s="273">
        <f>INDEX(Mapping!$J:$J,MATCH(C$3&amp;C42,Mapping!$B:$B,0))</f>
        <v>1</v>
      </c>
      <c r="M42" s="179" t="str">
        <f>INDEX(Mapping!$H:$H,MATCH($E42,Mapping!$B:$B,0))</f>
        <v>WBA CM Ethernet</v>
      </c>
      <c r="N42" s="179" t="str">
        <f>INDEX(Mapping!$J:$J,MATCH($J42,Mapping!$B:$B,0))</f>
        <v>VDSL</v>
      </c>
      <c r="O42" s="179" t="str">
        <f>INDEX(Mapping!$K:$K,MATCH($J42,Mapping!$B:$B,0))</f>
        <v>Standard</v>
      </c>
      <c r="P42"/>
      <c r="Q42" s="179"/>
      <c r="R42" s="179" t="str">
        <f>INDEX(Mapping!$H:$H,MATCH($H42,Mapping!$B:$B,0))</f>
        <v>nvt</v>
      </c>
      <c r="S42" s="179" t="str">
        <f>INDEX(Mapping!$H:$H,MATCH($I42,Mapping!$B:$B,0))</f>
        <v>nvt</v>
      </c>
      <c r="T42" s="179" t="str">
        <f t="shared" si="95"/>
        <v>WBA CM EthernetVDSLStandard</v>
      </c>
      <c r="U42" s="274" t="str">
        <f t="shared" si="96"/>
        <v>WBA CM EthernetVDSLStandard</v>
      </c>
      <c r="W42" s="273">
        <f>MATCH($J42,'Tarieven ZM'!$B:$B,0)</f>
        <v>129</v>
      </c>
      <c r="X42" s="179">
        <f>INDEX('Tarieven ZM'!$H:$H,$W42)</f>
        <v>1000</v>
      </c>
      <c r="Y42" s="276">
        <f>-INDEX(Parameters!$B:$B,MATCH(Y$3,Parameters!$A:$A,0))*$X42</f>
        <v>0</v>
      </c>
      <c r="Z42" s="277">
        <f>-INDEX(Parameters!$B:$B,MATCH(Z$3,Parameters!$A:$A,0))*$X42</f>
        <v>0</v>
      </c>
      <c r="AA42" s="179">
        <f t="shared" si="97"/>
        <v>1000</v>
      </c>
      <c r="AB42" s="179">
        <f>AA42/INDEX(Parameters!$B:$B,MATCH("AfschrijftermijnVVE"&amp;12*$C42,Parameters!$A:$A,0))</f>
        <v>27.777777777777779</v>
      </c>
      <c r="AC42" s="179">
        <f>INDEX('Tarieven ZM'!$G:$G,$W42)</f>
        <v>1000</v>
      </c>
      <c r="AD42" s="276">
        <f>-INDEX(Parameters!$B:$B,MATCH(AD$3,Parameters!$A:$A,0))*$AC42</f>
        <v>0</v>
      </c>
      <c r="AE42" s="276">
        <f>-INDEX(Parameters!$B:$B,MATCH(AE$3,Parameters!$A:$A,0))*$AC42</f>
        <v>0</v>
      </c>
      <c r="AF42" s="179">
        <f t="shared" si="98"/>
        <v>1000</v>
      </c>
      <c r="AG42" s="278">
        <f t="shared" si="99"/>
        <v>1027.7777777777778</v>
      </c>
      <c r="AH42" s="209"/>
      <c r="AI42" s="279">
        <f>MATCH($T42,'Tarieven W&amp;O'!$B:$B,0)</f>
        <v>206</v>
      </c>
      <c r="AJ42" s="179">
        <f>IF(AI42&lt;&gt;"nvt",INDEX('Tarieven W&amp;O'!$H:$H,$AI42),0)</f>
        <v>0</v>
      </c>
      <c r="AK42" s="179">
        <f>IF(AI42&lt;&gt;"nvt",INDEX('Tarieven W&amp;O'!$I:$I,$AI42),0)</f>
        <v>0</v>
      </c>
      <c r="AL42" s="277">
        <f>IF(AI42&lt;&gt;"nvt",-INDEX(Parameters!$B:$B,MATCH(AL$3&amp;$M42,Parameters!$A:$A,0))*(AJ42+AK42),0)</f>
        <v>0</v>
      </c>
      <c r="AM42" s="277"/>
      <c r="AN42" s="179">
        <f t="shared" si="100"/>
        <v>0</v>
      </c>
      <c r="AO42" s="262">
        <f>AN42/INDEX(Parameters!$B:$B,MATCH("AfschrijftermijnVVE"&amp;12*$C42,Parameters!$A:$A,0))</f>
        <v>0</v>
      </c>
      <c r="AP42" s="179">
        <f>MATCH($U42,'Tarieven W&amp;O'!$B:$B,0)</f>
        <v>206</v>
      </c>
      <c r="AQ42" s="202">
        <f>IF(AP42&lt;&gt;"nvt",INDEX('Tarieven W&amp;O'!$G:$G,$AP42),0)</f>
        <v>0</v>
      </c>
      <c r="AR42" s="277">
        <f>-INDEX(Parameters!$B:$B,MATCH(AR$3&amp;M42&amp;$N42,Parameters!$A:$A,0))*(AQ42)</f>
        <v>0</v>
      </c>
      <c r="AS42" s="179"/>
      <c r="AT42" s="179"/>
      <c r="AU42" s="202">
        <f t="shared" si="101"/>
        <v>0</v>
      </c>
      <c r="AV42" s="202">
        <f t="shared" si="102"/>
        <v>0</v>
      </c>
      <c r="AW42" s="202"/>
      <c r="AX42" s="202">
        <f>Parameters!$B$6*AV42</f>
        <v>0</v>
      </c>
      <c r="AY42" s="202">
        <v>0</v>
      </c>
      <c r="AZ42" s="202"/>
      <c r="BA42" s="202">
        <f t="shared" si="11"/>
        <v>0</v>
      </c>
      <c r="BB42" s="202"/>
      <c r="BC42" s="278">
        <f t="shared" si="12"/>
        <v>0</v>
      </c>
      <c r="BD42" s="209"/>
      <c r="BE42" s="280">
        <f t="shared" si="103"/>
        <v>1027.7777777777778</v>
      </c>
      <c r="BF42" s="264">
        <f t="shared" si="104"/>
        <v>1</v>
      </c>
      <c r="BG42" s="274" t="b">
        <f t="shared" si="105"/>
        <v>0</v>
      </c>
      <c r="BI42" s="443" t="s">
        <v>538</v>
      </c>
      <c r="BJ42" s="281"/>
      <c r="BK42" s="203">
        <f>VLOOKUP(J42,'Tarieven ZM'!$B$7:$I$146,8,0)</f>
        <v>0</v>
      </c>
      <c r="BL42" s="203" t="str">
        <f t="shared" si="16"/>
        <v>VDSLStandard</v>
      </c>
      <c r="BM42" s="282">
        <v>0</v>
      </c>
      <c r="BN42" s="262">
        <f>BM42/INDEX(Parameters!$B:$B,MATCH("AfschrijftermijnVVE"&amp;12*$C42,Parameters!$A:$A,0))</f>
        <v>0</v>
      </c>
      <c r="BO42" s="262">
        <f>INDEX('inkoop ULL tbv Epacity'!I:I,MATCH($BL42,'inkoop ULL tbv Epacity'!H:H,0))</f>
        <v>0</v>
      </c>
      <c r="BP42" s="263">
        <f t="shared" si="17"/>
        <v>0</v>
      </c>
      <c r="BR42" s="262">
        <f>Parameters!$B$12*AG42</f>
        <v>102.77777777777779</v>
      </c>
      <c r="BS42" s="262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SUM(Distributievergoedingen!$F$12,Distributievergoedingen!$I$12,Distributievergoedingen!$L$12,Distributievergoedingen!$O$12)*AF42+SUM(Distributievergoedingen!$O$12*AA42+Distributievergoedingen!$R$12+Distributievergoedingen!$U$12+Distributievergoedingen!$X$12)/(MAX(36,12*L42))</f>
        <v>112.77777777777777</v>
      </c>
      <c r="BT42" s="262"/>
      <c r="BU42" s="202">
        <f t="shared" si="18"/>
        <v>215.55555555555554</v>
      </c>
      <c r="BW42" s="278">
        <f t="shared" si="19"/>
        <v>215.55555555555554</v>
      </c>
      <c r="BY42" s="280">
        <f t="shared" si="20"/>
        <v>812.22222222222229</v>
      </c>
      <c r="BZ42" s="264">
        <f t="shared" si="21"/>
        <v>0.7902702702702703</v>
      </c>
      <c r="CA42" s="274" t="b">
        <f t="shared" si="22"/>
        <v>0</v>
      </c>
    </row>
    <row r="43" spans="1:79" s="203" customFormat="1">
      <c r="A43" s="203" t="str">
        <f t="shared" si="92"/>
        <v>2VDSLPremiumkantooruren</v>
      </c>
      <c r="B43" s="203" t="str">
        <f t="shared" si="93"/>
        <v>2VDSLPremiumkantooruren</v>
      </c>
      <c r="C43" s="438">
        <v>2</v>
      </c>
      <c r="D43" s="438" t="s">
        <v>77</v>
      </c>
      <c r="E43" s="438" t="s">
        <v>70</v>
      </c>
      <c r="F43" s="438" t="s">
        <v>1250</v>
      </c>
      <c r="G43" s="438" t="s">
        <v>115</v>
      </c>
      <c r="H43" s="438" t="s">
        <v>115</v>
      </c>
      <c r="I43" s="438" t="s">
        <v>115</v>
      </c>
      <c r="J43" s="274" t="str">
        <f t="shared" si="94"/>
        <v>VDSLPremiumkantooruren</v>
      </c>
      <c r="L43" s="273">
        <f>INDEX(Mapping!$J:$J,MATCH(C$3&amp;C43,Mapping!$B:$B,0))</f>
        <v>1</v>
      </c>
      <c r="M43" s="179" t="str">
        <f>INDEX(Mapping!$H:$H,MATCH($E43,Mapping!$B:$B,0))</f>
        <v>WBA ZM Ethernet</v>
      </c>
      <c r="N43" s="179" t="str">
        <f>INDEX(Mapping!$J:$J,MATCH($J43,Mapping!$B:$B,0))</f>
        <v>VDSL</v>
      </c>
      <c r="O43" s="179" t="str">
        <f>INDEX(Mapping!$K:$K,MATCH($J43,Mapping!$B:$B,0))</f>
        <v>Standard</v>
      </c>
      <c r="P43"/>
      <c r="Q43" s="179"/>
      <c r="R43" s="179" t="str">
        <f>INDEX(Mapping!$H:$H,MATCH($H43,Mapping!$B:$B,0))</f>
        <v>nvt</v>
      </c>
      <c r="S43" s="179" t="str">
        <f>INDEX(Mapping!$H:$H,MATCH($I43,Mapping!$B:$B,0))</f>
        <v>nvt</v>
      </c>
      <c r="T43" s="179" t="str">
        <f t="shared" si="95"/>
        <v>WBA ZM EthernetVDSLStandard</v>
      </c>
      <c r="U43" s="274" t="str">
        <f t="shared" si="96"/>
        <v>WBA ZM EthernetVDSLStandard</v>
      </c>
      <c r="W43" s="273">
        <f>MATCH($J43,'Tarieven ZM'!$B:$B,0)</f>
        <v>130</v>
      </c>
      <c r="X43" s="179">
        <f>INDEX('Tarieven ZM'!$H:$H,$W43)</f>
        <v>1000</v>
      </c>
      <c r="Y43" s="276">
        <f>-INDEX(Parameters!$B:$B,MATCH(Y$3,Parameters!$A:$A,0))*$X43</f>
        <v>0</v>
      </c>
      <c r="Z43" s="277">
        <f>-INDEX(Parameters!$B:$B,MATCH(Z$3,Parameters!$A:$A,0))*$X43</f>
        <v>0</v>
      </c>
      <c r="AA43" s="179">
        <f t="shared" si="97"/>
        <v>1000</v>
      </c>
      <c r="AB43" s="179">
        <f>AA43/INDEX(Parameters!$B:$B,MATCH("AfschrijftermijnVVE"&amp;12*$C43,Parameters!$A:$A,0))</f>
        <v>27.777777777777779</v>
      </c>
      <c r="AC43" s="179">
        <f>INDEX('Tarieven ZM'!$G:$G,$W43)</f>
        <v>1000</v>
      </c>
      <c r="AD43" s="276">
        <f>-INDEX(Parameters!$B:$B,MATCH(AD$3,Parameters!$A:$A,0))*$AC43</f>
        <v>0</v>
      </c>
      <c r="AE43" s="276">
        <f>-INDEX(Parameters!$B:$B,MATCH(AE$3,Parameters!$A:$A,0))*$AC43</f>
        <v>0</v>
      </c>
      <c r="AF43" s="179">
        <f t="shared" si="98"/>
        <v>1000</v>
      </c>
      <c r="AG43" s="278">
        <f t="shared" si="99"/>
        <v>1027.7777777777778</v>
      </c>
      <c r="AH43" s="209"/>
      <c r="AI43" s="279">
        <f>MATCH($T43,'Tarieven W&amp;O'!$B:$B,0)</f>
        <v>211</v>
      </c>
      <c r="AJ43" s="179">
        <f>IF(AI43&lt;&gt;"nvt",INDEX('Tarieven W&amp;O'!$H:$H,$AI43),0)</f>
        <v>0</v>
      </c>
      <c r="AK43" s="179">
        <f>IF(AI43&lt;&gt;"nvt",INDEX('Tarieven W&amp;O'!$I:$I,$AI43),0)</f>
        <v>0</v>
      </c>
      <c r="AL43" s="277">
        <f>IF(AI43&lt;&gt;"nvt",-INDEX(Parameters!$B:$B,MATCH(AL$3&amp;$M43,Parameters!$A:$A,0))*(AJ43+AK43),0)</f>
        <v>0</v>
      </c>
      <c r="AM43" s="277"/>
      <c r="AN43" s="179">
        <f t="shared" si="100"/>
        <v>0</v>
      </c>
      <c r="AO43" s="262">
        <f>AN43/INDEX(Parameters!$B:$B,MATCH("AfschrijftermijnVVE"&amp;12*$C43,Parameters!$A:$A,0))</f>
        <v>0</v>
      </c>
      <c r="AP43" s="179">
        <f>MATCH($U43,'Tarieven W&amp;O'!$B:$B,0)</f>
        <v>211</v>
      </c>
      <c r="AQ43" s="202">
        <f>IF(AP43&lt;&gt;"nvt",INDEX('Tarieven W&amp;O'!$G:$G,$AP43),0)</f>
        <v>0</v>
      </c>
      <c r="AR43" s="277">
        <f>-INDEX(Parameters!$B:$B,MATCH(AR$3&amp;M43&amp;$N43,Parameters!$A:$A,0))*(AQ43)</f>
        <v>0</v>
      </c>
      <c r="AS43" s="179"/>
      <c r="AT43" s="179"/>
      <c r="AU43" s="202">
        <f t="shared" si="101"/>
        <v>0</v>
      </c>
      <c r="AV43" s="202">
        <f t="shared" si="102"/>
        <v>0</v>
      </c>
      <c r="AW43" s="202"/>
      <c r="AX43" s="202">
        <f>Parameters!$B$6*AV43</f>
        <v>0</v>
      </c>
      <c r="AY43" s="202">
        <v>0</v>
      </c>
      <c r="AZ43" s="202"/>
      <c r="BA43" s="202">
        <f t="shared" si="11"/>
        <v>0</v>
      </c>
      <c r="BB43" s="202"/>
      <c r="BC43" s="278">
        <f t="shared" si="12"/>
        <v>0</v>
      </c>
      <c r="BD43" s="209"/>
      <c r="BE43" s="280">
        <f t="shared" si="103"/>
        <v>1027.7777777777778</v>
      </c>
      <c r="BF43" s="264">
        <f t="shared" si="104"/>
        <v>1</v>
      </c>
      <c r="BG43" s="274" t="b">
        <f t="shared" si="105"/>
        <v>0</v>
      </c>
      <c r="BI43" s="443" t="s">
        <v>538</v>
      </c>
      <c r="BJ43" s="281"/>
      <c r="BK43" s="203">
        <f>VLOOKUP(J43,'Tarieven ZM'!$B$7:$I$146,8,0)</f>
        <v>0</v>
      </c>
      <c r="BL43" s="203" t="str">
        <f t="shared" si="16"/>
        <v>VDSLStandard</v>
      </c>
      <c r="BM43" s="282">
        <v>0</v>
      </c>
      <c r="BN43" s="262">
        <f>BM43/INDEX(Parameters!$B:$B,MATCH("AfschrijftermijnVVE"&amp;12*$C43,Parameters!$A:$A,0))</f>
        <v>0</v>
      </c>
      <c r="BO43" s="262">
        <f>INDEX('inkoop ULL tbv Epacity'!I:I,MATCH($BL43,'inkoop ULL tbv Epacity'!H:H,0))</f>
        <v>0</v>
      </c>
      <c r="BP43" s="263">
        <f t="shared" si="17"/>
        <v>0</v>
      </c>
      <c r="BR43" s="262">
        <f>Parameters!$B$12*AG43</f>
        <v>102.77777777777779</v>
      </c>
      <c r="BS43" s="262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SUM(Distributievergoedingen!$F$12,Distributievergoedingen!$I$12,Distributievergoedingen!$L$12,Distributievergoedingen!$O$12)*AF43+SUM(Distributievergoedingen!$O$12*AA43+Distributievergoedingen!$R$12+Distributievergoedingen!$U$12+Distributievergoedingen!$X$12)/(MAX(36,12*L43))</f>
        <v>112.77777777777777</v>
      </c>
      <c r="BT43" s="262"/>
      <c r="BU43" s="202">
        <f t="shared" si="18"/>
        <v>215.55555555555554</v>
      </c>
      <c r="BW43" s="278">
        <f t="shared" si="19"/>
        <v>215.55555555555554</v>
      </c>
      <c r="BY43" s="280">
        <f t="shared" si="20"/>
        <v>812.22222222222229</v>
      </c>
      <c r="BZ43" s="264">
        <f t="shared" si="21"/>
        <v>0.7902702702702703</v>
      </c>
      <c r="CA43" s="274" t="b">
        <f t="shared" si="22"/>
        <v>0</v>
      </c>
    </row>
    <row r="44" spans="1:79" s="203" customFormat="1">
      <c r="A44" s="203" t="str">
        <f t="shared" si="92"/>
        <v>2VDSL BondingEntrykantooruren</v>
      </c>
      <c r="B44" s="203" t="str">
        <f t="shared" si="93"/>
        <v>2VDSL BondingEntrykantooruren</v>
      </c>
      <c r="C44" s="438">
        <v>2</v>
      </c>
      <c r="D44" s="438" t="s">
        <v>170</v>
      </c>
      <c r="E44" s="438" t="s">
        <v>78</v>
      </c>
      <c r="F44" s="438" t="s">
        <v>1250</v>
      </c>
      <c r="G44" s="438" t="s">
        <v>115</v>
      </c>
      <c r="H44" s="438" t="s">
        <v>115</v>
      </c>
      <c r="I44" s="438" t="s">
        <v>115</v>
      </c>
      <c r="J44" s="274" t="str">
        <f t="shared" si="94"/>
        <v>VDSL BondingEntrykantooruren</v>
      </c>
      <c r="L44" s="273">
        <f>INDEX(Mapping!$J:$J,MATCH(C$3&amp;C44,Mapping!$B:$B,0))</f>
        <v>1</v>
      </c>
      <c r="M44" s="179" t="str">
        <f>INDEX(Mapping!$H:$H,MATCH($E44,Mapping!$B:$B,0))</f>
        <v>WBA CM Ethernet</v>
      </c>
      <c r="N44" s="179" t="str">
        <f>INDEX(Mapping!$J:$J,MATCH($J44,Mapping!$B:$B,0))</f>
        <v>VDSL</v>
      </c>
      <c r="O44" s="179" t="str">
        <f>INDEX(Mapping!$K:$K,MATCH($J44,Mapping!$B:$B,0))</f>
        <v>Standard</v>
      </c>
      <c r="P44"/>
      <c r="Q44" s="179"/>
      <c r="R44" s="179" t="str">
        <f>INDEX(Mapping!$H:$H,MATCH($H44,Mapping!$B:$B,0))</f>
        <v>nvt</v>
      </c>
      <c r="S44" s="179" t="str">
        <f>INDEX(Mapping!$H:$H,MATCH($I44,Mapping!$B:$B,0))</f>
        <v>nvt</v>
      </c>
      <c r="T44" s="179" t="str">
        <f t="shared" si="95"/>
        <v>WBA CM EthernetVDSLStandard</v>
      </c>
      <c r="U44" s="274" t="str">
        <f t="shared" si="96"/>
        <v>WBA CM EthernetVDSLStandard</v>
      </c>
      <c r="W44" s="273">
        <f>MATCH($J44,'Tarieven ZM'!$B:$B,0)</f>
        <v>131</v>
      </c>
      <c r="X44" s="179">
        <f>INDEX('Tarieven ZM'!$H:$H,$W44)</f>
        <v>1000</v>
      </c>
      <c r="Y44" s="276">
        <f>-INDEX(Parameters!$B:$B,MATCH(Y$3,Parameters!$A:$A,0))*$X44</f>
        <v>0</v>
      </c>
      <c r="Z44" s="277">
        <f>-INDEX(Parameters!$B:$B,MATCH(Z$3,Parameters!$A:$A,0))*$X44</f>
        <v>0</v>
      </c>
      <c r="AA44" s="179">
        <f t="shared" si="97"/>
        <v>1000</v>
      </c>
      <c r="AB44" s="179">
        <f>AA44/INDEX(Parameters!$B:$B,MATCH("AfschrijftermijnVVE"&amp;12*$C44,Parameters!$A:$A,0))</f>
        <v>27.777777777777779</v>
      </c>
      <c r="AC44" s="179">
        <f>INDEX('Tarieven ZM'!$G:$G,$W44)</f>
        <v>1000</v>
      </c>
      <c r="AD44" s="276">
        <f>-INDEX(Parameters!$B:$B,MATCH(AD$3,Parameters!$A:$A,0))*$AC44</f>
        <v>0</v>
      </c>
      <c r="AE44" s="276">
        <f>-INDEX(Parameters!$B:$B,MATCH(AE$3,Parameters!$A:$A,0))*$AC44</f>
        <v>0</v>
      </c>
      <c r="AF44" s="179">
        <f t="shared" si="98"/>
        <v>1000</v>
      </c>
      <c r="AG44" s="278">
        <f t="shared" si="99"/>
        <v>1027.7777777777778</v>
      </c>
      <c r="AH44" s="209"/>
      <c r="AI44" s="279">
        <f>MATCH($T44,'Tarieven W&amp;O'!$B:$B,0)</f>
        <v>206</v>
      </c>
      <c r="AJ44" s="179">
        <f>IF(AI44&lt;&gt;"nvt",INDEX('Tarieven W&amp;O'!$H:$H,$AI44),0)</f>
        <v>0</v>
      </c>
      <c r="AK44" s="179">
        <f>IF(AI44&lt;&gt;"nvt",INDEX('Tarieven W&amp;O'!$I:$I,$AI44),0)</f>
        <v>0</v>
      </c>
      <c r="AL44" s="277">
        <f>IF(AI44&lt;&gt;"nvt",-INDEX(Parameters!$B:$B,MATCH(AL$3&amp;$M44,Parameters!$A:$A,0))*(AJ44+AK44),0)</f>
        <v>0</v>
      </c>
      <c r="AM44" s="277"/>
      <c r="AN44" s="179">
        <f t="shared" si="100"/>
        <v>0</v>
      </c>
      <c r="AO44" s="262">
        <f>AN44/INDEX(Parameters!$B:$B,MATCH("AfschrijftermijnVVE"&amp;12*$C44,Parameters!$A:$A,0))</f>
        <v>0</v>
      </c>
      <c r="AP44" s="179">
        <f>MATCH($U44,'Tarieven W&amp;O'!$B:$B,0)</f>
        <v>206</v>
      </c>
      <c r="AQ44" s="202">
        <f>IF(AP44&lt;&gt;"nvt",INDEX('Tarieven W&amp;O'!$G:$G,$AP44),0)</f>
        <v>0</v>
      </c>
      <c r="AR44" s="277">
        <f>-INDEX(Parameters!$B:$B,MATCH(AR$3&amp;M44&amp;$N44,Parameters!$A:$A,0))*(AQ44)</f>
        <v>0</v>
      </c>
      <c r="AS44" s="179"/>
      <c r="AT44" s="179"/>
      <c r="AU44" s="202">
        <f t="shared" si="101"/>
        <v>0</v>
      </c>
      <c r="AV44" s="202">
        <f t="shared" si="102"/>
        <v>0</v>
      </c>
      <c r="AW44" s="202"/>
      <c r="AX44" s="202">
        <f>Parameters!$B$6*AV44</f>
        <v>0</v>
      </c>
      <c r="AY44" s="202">
        <v>0</v>
      </c>
      <c r="AZ44" s="202"/>
      <c r="BA44" s="202">
        <f t="shared" si="11"/>
        <v>0</v>
      </c>
      <c r="BB44" s="202"/>
      <c r="BC44" s="278">
        <f t="shared" si="12"/>
        <v>0</v>
      </c>
      <c r="BD44" s="209"/>
      <c r="BE44" s="280">
        <f t="shared" si="103"/>
        <v>1027.7777777777778</v>
      </c>
      <c r="BF44" s="264">
        <f t="shared" si="104"/>
        <v>1</v>
      </c>
      <c r="BG44" s="274" t="b">
        <f t="shared" si="105"/>
        <v>0</v>
      </c>
      <c r="BI44" s="443" t="s">
        <v>538</v>
      </c>
      <c r="BJ44" s="281"/>
      <c r="BK44" s="203">
        <f>VLOOKUP(J44,'Tarieven ZM'!$B$7:$I$146,8,0)</f>
        <v>0</v>
      </c>
      <c r="BL44" s="203" t="str">
        <f t="shared" si="16"/>
        <v>VDSLStandard</v>
      </c>
      <c r="BM44" s="282">
        <v>0</v>
      </c>
      <c r="BN44" s="262">
        <f>BM44/INDEX(Parameters!$B:$B,MATCH("AfschrijftermijnVVE"&amp;12*$C44,Parameters!$A:$A,0))</f>
        <v>0</v>
      </c>
      <c r="BO44" s="262">
        <f>INDEX('inkoop ULL tbv Epacity'!I:I,MATCH($BL44,'inkoop ULL tbv Epacity'!H:H,0))</f>
        <v>0</v>
      </c>
      <c r="BP44" s="263">
        <f t="shared" si="17"/>
        <v>0</v>
      </c>
      <c r="BR44" s="262">
        <f>Parameters!$B$12*AG44</f>
        <v>102.77777777777779</v>
      </c>
      <c r="BS44" s="262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SUM(Distributievergoedingen!$F$12,Distributievergoedingen!$I$12,Distributievergoedingen!$L$12,Distributievergoedingen!$O$12)*AF44+SUM(Distributievergoedingen!$O$12*AA44+Distributievergoedingen!$R$12+Distributievergoedingen!$U$12+Distributievergoedingen!$X$12)/(MAX(36,12*L44))</f>
        <v>112.77777777777777</v>
      </c>
      <c r="BT44" s="262"/>
      <c r="BU44" s="202">
        <f t="shared" si="18"/>
        <v>215.55555555555554</v>
      </c>
      <c r="BW44" s="278">
        <f t="shared" si="19"/>
        <v>215.55555555555554</v>
      </c>
      <c r="BY44" s="280">
        <f t="shared" si="20"/>
        <v>812.22222222222229</v>
      </c>
      <c r="BZ44" s="264">
        <f t="shared" si="21"/>
        <v>0.7902702702702703</v>
      </c>
      <c r="CA44" s="274" t="b">
        <f t="shared" si="22"/>
        <v>0</v>
      </c>
    </row>
    <row r="45" spans="1:79" s="203" customFormat="1">
      <c r="A45" s="203" t="str">
        <f t="shared" si="92"/>
        <v>2VDSL BondingPremiumkantooruren</v>
      </c>
      <c r="B45" s="203" t="str">
        <f t="shared" si="93"/>
        <v>2VDSL BondingPremiumkantooruren</v>
      </c>
      <c r="C45" s="438">
        <v>2</v>
      </c>
      <c r="D45" s="438" t="s">
        <v>170</v>
      </c>
      <c r="E45" s="438" t="s">
        <v>70</v>
      </c>
      <c r="F45" s="438" t="s">
        <v>1250</v>
      </c>
      <c r="G45" s="438" t="s">
        <v>115</v>
      </c>
      <c r="H45" s="438" t="s">
        <v>115</v>
      </c>
      <c r="I45" s="438" t="s">
        <v>115</v>
      </c>
      <c r="J45" s="274" t="str">
        <f t="shared" si="94"/>
        <v>VDSL BondingPremiumkantooruren</v>
      </c>
      <c r="L45" s="273">
        <f>INDEX(Mapping!$J:$J,MATCH(C$3&amp;C45,Mapping!$B:$B,0))</f>
        <v>1</v>
      </c>
      <c r="M45" s="179" t="str">
        <f>INDEX(Mapping!$H:$H,MATCH($E45,Mapping!$B:$B,0))</f>
        <v>WBA ZM Ethernet</v>
      </c>
      <c r="N45" s="179" t="str">
        <f>INDEX(Mapping!$J:$J,MATCH($J45,Mapping!$B:$B,0))</f>
        <v>VDSL</v>
      </c>
      <c r="O45" s="179" t="str">
        <f>INDEX(Mapping!$K:$K,MATCH($J45,Mapping!$B:$B,0))</f>
        <v>Standard</v>
      </c>
      <c r="P45"/>
      <c r="Q45" s="179"/>
      <c r="R45" s="179" t="str">
        <f>INDEX(Mapping!$H:$H,MATCH($H45,Mapping!$B:$B,0))</f>
        <v>nvt</v>
      </c>
      <c r="S45" s="179" t="str">
        <f>INDEX(Mapping!$H:$H,MATCH($I45,Mapping!$B:$B,0))</f>
        <v>nvt</v>
      </c>
      <c r="T45" s="179" t="str">
        <f t="shared" si="95"/>
        <v>WBA ZM EthernetVDSLStandard</v>
      </c>
      <c r="U45" s="274" t="str">
        <f t="shared" si="96"/>
        <v>WBA ZM EthernetVDSLStandard</v>
      </c>
      <c r="W45" s="273">
        <f>MATCH($J45,'Tarieven ZM'!$B:$B,0)</f>
        <v>132</v>
      </c>
      <c r="X45" s="179">
        <f>INDEX('Tarieven ZM'!$H:$H,$W45)</f>
        <v>1000</v>
      </c>
      <c r="Y45" s="276">
        <f>-INDEX(Parameters!$B:$B,MATCH(Y$3,Parameters!$A:$A,0))*$X45</f>
        <v>0</v>
      </c>
      <c r="Z45" s="277">
        <f>-INDEX(Parameters!$B:$B,MATCH(Z$3,Parameters!$A:$A,0))*$X45</f>
        <v>0</v>
      </c>
      <c r="AA45" s="179">
        <f t="shared" si="97"/>
        <v>1000</v>
      </c>
      <c r="AB45" s="179">
        <f>AA45/INDEX(Parameters!$B:$B,MATCH("AfschrijftermijnVVE"&amp;12*$C45,Parameters!$A:$A,0))</f>
        <v>27.777777777777779</v>
      </c>
      <c r="AC45" s="179">
        <f>INDEX('Tarieven ZM'!$G:$G,$W45)</f>
        <v>1000</v>
      </c>
      <c r="AD45" s="276">
        <f>-INDEX(Parameters!$B:$B,MATCH(AD$3,Parameters!$A:$A,0))*$AC45</f>
        <v>0</v>
      </c>
      <c r="AE45" s="276">
        <f>-INDEX(Parameters!$B:$B,MATCH(AE$3,Parameters!$A:$A,0))*$AC45</f>
        <v>0</v>
      </c>
      <c r="AF45" s="179">
        <f t="shared" si="98"/>
        <v>1000</v>
      </c>
      <c r="AG45" s="278">
        <f t="shared" si="99"/>
        <v>1027.7777777777778</v>
      </c>
      <c r="AH45" s="209"/>
      <c r="AI45" s="279">
        <f>MATCH($T45,'Tarieven W&amp;O'!$B:$B,0)</f>
        <v>211</v>
      </c>
      <c r="AJ45" s="179">
        <f>IF(AI45&lt;&gt;"nvt",INDEX('Tarieven W&amp;O'!$H:$H,$AI45),0)</f>
        <v>0</v>
      </c>
      <c r="AK45" s="179">
        <f>IF(AI45&lt;&gt;"nvt",INDEX('Tarieven W&amp;O'!$I:$I,$AI45),0)</f>
        <v>0</v>
      </c>
      <c r="AL45" s="277">
        <f>IF(AI45&lt;&gt;"nvt",-INDEX(Parameters!$B:$B,MATCH(AL$3&amp;$M45,Parameters!$A:$A,0))*(AJ45+AK45),0)</f>
        <v>0</v>
      </c>
      <c r="AM45" s="277"/>
      <c r="AN45" s="179">
        <f t="shared" si="100"/>
        <v>0</v>
      </c>
      <c r="AO45" s="262">
        <f>AN45/INDEX(Parameters!$B:$B,MATCH("AfschrijftermijnVVE"&amp;12*$C45,Parameters!$A:$A,0))</f>
        <v>0</v>
      </c>
      <c r="AP45" s="179">
        <f>MATCH($U45,'Tarieven W&amp;O'!$B:$B,0)</f>
        <v>211</v>
      </c>
      <c r="AQ45" s="202">
        <f>IF(AP45&lt;&gt;"nvt",INDEX('Tarieven W&amp;O'!$G:$G,$AP45),0)</f>
        <v>0</v>
      </c>
      <c r="AR45" s="277">
        <f>-INDEX(Parameters!$B:$B,MATCH(AR$3&amp;M45&amp;$N45,Parameters!$A:$A,0))*(AQ45)</f>
        <v>0</v>
      </c>
      <c r="AS45" s="179"/>
      <c r="AT45" s="179"/>
      <c r="AU45" s="202">
        <f t="shared" si="101"/>
        <v>0</v>
      </c>
      <c r="AV45" s="202">
        <f t="shared" si="102"/>
        <v>0</v>
      </c>
      <c r="AW45" s="202"/>
      <c r="AX45" s="202">
        <f>Parameters!$B$6*AV45</f>
        <v>0</v>
      </c>
      <c r="AY45" s="202">
        <v>0</v>
      </c>
      <c r="AZ45" s="202"/>
      <c r="BA45" s="202">
        <f t="shared" si="11"/>
        <v>0</v>
      </c>
      <c r="BB45" s="202"/>
      <c r="BC45" s="278">
        <f t="shared" si="12"/>
        <v>0</v>
      </c>
      <c r="BD45" s="209"/>
      <c r="BE45" s="280">
        <f t="shared" si="103"/>
        <v>1027.7777777777778</v>
      </c>
      <c r="BF45" s="264">
        <f t="shared" si="104"/>
        <v>1</v>
      </c>
      <c r="BG45" s="274" t="b">
        <f t="shared" si="105"/>
        <v>0</v>
      </c>
      <c r="BI45" s="443" t="s">
        <v>538</v>
      </c>
      <c r="BJ45" s="281"/>
      <c r="BK45" s="203">
        <f>VLOOKUP(J45,'Tarieven ZM'!$B$7:$I$146,8,0)</f>
        <v>0</v>
      </c>
      <c r="BL45" s="203" t="str">
        <f t="shared" si="16"/>
        <v>VDSLStandard</v>
      </c>
      <c r="BM45" s="282">
        <v>0</v>
      </c>
      <c r="BN45" s="262">
        <f>BM45/INDEX(Parameters!$B:$B,MATCH("AfschrijftermijnVVE"&amp;12*$C45,Parameters!$A:$A,0))</f>
        <v>0</v>
      </c>
      <c r="BO45" s="262">
        <f>INDEX('inkoop ULL tbv Epacity'!I:I,MATCH($BL45,'inkoop ULL tbv Epacity'!H:H,0))</f>
        <v>0</v>
      </c>
      <c r="BP45" s="263">
        <f t="shared" si="17"/>
        <v>0</v>
      </c>
      <c r="BR45" s="262">
        <f>Parameters!$B$12*AG45</f>
        <v>102.77777777777779</v>
      </c>
      <c r="BS45" s="262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SUM(Distributievergoedingen!$F$12,Distributievergoedingen!$I$12,Distributievergoedingen!$L$12,Distributievergoedingen!$O$12)*AF45+SUM(Distributievergoedingen!$O$12*AA45+Distributievergoedingen!$R$12+Distributievergoedingen!$U$12+Distributievergoedingen!$X$12)/(MAX(36,12*L45))</f>
        <v>112.77777777777777</v>
      </c>
      <c r="BT45" s="262"/>
      <c r="BU45" s="202">
        <f t="shared" si="18"/>
        <v>215.55555555555554</v>
      </c>
      <c r="BW45" s="278">
        <f t="shared" si="19"/>
        <v>215.55555555555554</v>
      </c>
      <c r="BY45" s="280">
        <f t="shared" si="20"/>
        <v>812.22222222222229</v>
      </c>
      <c r="BZ45" s="264">
        <f t="shared" si="21"/>
        <v>0.7902702702702703</v>
      </c>
      <c r="CA45" s="274" t="b">
        <f t="shared" si="22"/>
        <v>0</v>
      </c>
    </row>
    <row r="46" spans="1:79" s="203" customFormat="1">
      <c r="A46" s="203" t="str">
        <f t="shared" si="92"/>
        <v>2SA IPVPNEntrykantooruren</v>
      </c>
      <c r="B46" s="203" t="str">
        <f t="shared" si="93"/>
        <v>2SA IPVPNEntrykantooruren</v>
      </c>
      <c r="C46" s="438">
        <v>2</v>
      </c>
      <c r="D46" s="438" t="s">
        <v>93</v>
      </c>
      <c r="E46" s="438" t="s">
        <v>78</v>
      </c>
      <c r="F46" s="438" t="s">
        <v>1250</v>
      </c>
      <c r="G46" s="438" t="s">
        <v>115</v>
      </c>
      <c r="H46" s="438" t="s">
        <v>115</v>
      </c>
      <c r="I46" s="438" t="s">
        <v>115</v>
      </c>
      <c r="J46" s="274" t="str">
        <f t="shared" si="94"/>
        <v>SA IPVPNEntrykantooruren</v>
      </c>
      <c r="L46" s="273">
        <f>INDEX(Mapping!$J:$J,MATCH(C$3&amp;C46,Mapping!$B:$B,0))</f>
        <v>1</v>
      </c>
      <c r="M46" s="179" t="str">
        <f>INDEX(Mapping!$H:$H,MATCH($E46,Mapping!$B:$B,0))</f>
        <v>WBA CM Ethernet</v>
      </c>
      <c r="N46" s="179" t="str">
        <f>INDEX(Mapping!$J:$J,MATCH($J46,Mapping!$B:$B,0))</f>
        <v>FttH</v>
      </c>
      <c r="O46" s="179" t="str">
        <f>INDEX(Mapping!$K:$K,MATCH($J46,Mapping!$B:$B,0))</f>
        <v>Standard</v>
      </c>
      <c r="P46"/>
      <c r="Q46" s="179"/>
      <c r="R46" s="179" t="str">
        <f>INDEX(Mapping!$H:$H,MATCH($H46,Mapping!$B:$B,0))</f>
        <v>nvt</v>
      </c>
      <c r="S46" s="179" t="str">
        <f>INDEX(Mapping!$H:$H,MATCH($I46,Mapping!$B:$B,0))</f>
        <v>nvt</v>
      </c>
      <c r="T46" s="179" t="str">
        <f t="shared" si="95"/>
        <v>WBA CM EthernetFttHStandard</v>
      </c>
      <c r="U46" s="274" t="str">
        <f t="shared" si="96"/>
        <v>WBA CM EthernetFttHStandard</v>
      </c>
      <c r="W46" s="273">
        <f>MATCH($J46,'Tarieven ZM'!$B:$B,0)</f>
        <v>133</v>
      </c>
      <c r="X46" s="179">
        <f>INDEX('Tarieven ZM'!$H:$H,$W46)</f>
        <v>1000</v>
      </c>
      <c r="Y46" s="276">
        <f>-INDEX(Parameters!$B:$B,MATCH(Y$3,Parameters!$A:$A,0))*$X46</f>
        <v>0</v>
      </c>
      <c r="Z46" s="277">
        <f>-INDEX(Parameters!$B:$B,MATCH(Z$3,Parameters!$A:$A,0))*$X46</f>
        <v>0</v>
      </c>
      <c r="AA46" s="179">
        <f t="shared" si="97"/>
        <v>1000</v>
      </c>
      <c r="AB46" s="179">
        <f>AA46/INDEX(Parameters!$B:$B,MATCH("AfschrijftermijnVVE"&amp;12*$C46,Parameters!$A:$A,0))</f>
        <v>27.777777777777779</v>
      </c>
      <c r="AC46" s="179">
        <f>INDEX('Tarieven ZM'!$G:$G,$W46)</f>
        <v>1000</v>
      </c>
      <c r="AD46" s="276">
        <f>-INDEX(Parameters!$B:$B,MATCH(AD$3,Parameters!$A:$A,0))*$AC46</f>
        <v>0</v>
      </c>
      <c r="AE46" s="276">
        <f>-INDEX(Parameters!$B:$B,MATCH(AE$3,Parameters!$A:$A,0))*$AC46</f>
        <v>0</v>
      </c>
      <c r="AF46" s="179">
        <f t="shared" si="98"/>
        <v>1000</v>
      </c>
      <c r="AG46" s="278">
        <f t="shared" si="99"/>
        <v>1027.7777777777778</v>
      </c>
      <c r="AH46" s="209"/>
      <c r="AI46" s="279">
        <f>MATCH($T46,'Tarieven W&amp;O'!$B:$B,0)</f>
        <v>208</v>
      </c>
      <c r="AJ46" s="179">
        <f>IF(AI46&lt;&gt;"nvt",INDEX('Tarieven W&amp;O'!$H:$H,$AI46),0)</f>
        <v>0</v>
      </c>
      <c r="AK46" s="179">
        <f>IF(AI46&lt;&gt;"nvt",INDEX('Tarieven W&amp;O'!$I:$I,$AI46),0)</f>
        <v>0</v>
      </c>
      <c r="AL46" s="277">
        <f>IF(AI46&lt;&gt;"nvt",-INDEX(Parameters!$B:$B,MATCH(AL$3&amp;$M46,Parameters!$A:$A,0))*(AJ46+AK46),0)</f>
        <v>0</v>
      </c>
      <c r="AM46" s="277"/>
      <c r="AN46" s="179">
        <f t="shared" si="100"/>
        <v>0</v>
      </c>
      <c r="AO46" s="262">
        <f>AN46/INDEX(Parameters!$B:$B,MATCH("AfschrijftermijnVVE"&amp;12*$C46,Parameters!$A:$A,0))</f>
        <v>0</v>
      </c>
      <c r="AP46" s="179">
        <f>MATCH($U46,'Tarieven W&amp;O'!$B:$B,0)</f>
        <v>208</v>
      </c>
      <c r="AQ46" s="202">
        <f>IF(AP46&lt;&gt;"nvt",INDEX('Tarieven W&amp;O'!$G:$G,$AP46),0)</f>
        <v>0</v>
      </c>
      <c r="AR46" s="277">
        <f>-INDEX(Parameters!$B:$B,MATCH(AR$3&amp;M46&amp;$N46,Parameters!$A:$A,0))*(AQ46)</f>
        <v>0</v>
      </c>
      <c r="AS46" s="179"/>
      <c r="AT46" s="179"/>
      <c r="AU46" s="202">
        <f t="shared" si="101"/>
        <v>0</v>
      </c>
      <c r="AV46" s="202">
        <f t="shared" si="102"/>
        <v>0</v>
      </c>
      <c r="AW46" s="202"/>
      <c r="AX46" s="202">
        <f>Parameters!$B$6*AV46</f>
        <v>0</v>
      </c>
      <c r="AY46" s="202">
        <v>0</v>
      </c>
      <c r="AZ46" s="202"/>
      <c r="BA46" s="202">
        <f t="shared" si="11"/>
        <v>0</v>
      </c>
      <c r="BB46" s="202"/>
      <c r="BC46" s="278">
        <f t="shared" si="12"/>
        <v>0</v>
      </c>
      <c r="BD46" s="209"/>
      <c r="BE46" s="280">
        <f t="shared" si="103"/>
        <v>1027.7777777777778</v>
      </c>
      <c r="BF46" s="264">
        <f t="shared" si="104"/>
        <v>1</v>
      </c>
      <c r="BG46" s="274" t="b">
        <f t="shared" si="105"/>
        <v>0</v>
      </c>
      <c r="BI46" s="443" t="s">
        <v>538</v>
      </c>
      <c r="BJ46" s="281"/>
      <c r="BK46" s="203">
        <f>VLOOKUP(J46,'Tarieven ZM'!$B$7:$I$146,8,0)</f>
        <v>0</v>
      </c>
      <c r="BL46" s="203" t="str">
        <f t="shared" si="16"/>
        <v>FttHStandard</v>
      </c>
      <c r="BM46" s="282">
        <v>0</v>
      </c>
      <c r="BN46" s="262">
        <f>BM46/INDEX(Parameters!$B:$B,MATCH("AfschrijftermijnVVE"&amp;12*$C46,Parameters!$A:$A,0))</f>
        <v>0</v>
      </c>
      <c r="BO46" s="262">
        <f>INDEX('inkoop ULL tbv Epacity'!I:I,MATCH($BL46,'inkoop ULL tbv Epacity'!H:H,0))</f>
        <v>0</v>
      </c>
      <c r="BP46" s="263">
        <f t="shared" si="17"/>
        <v>0</v>
      </c>
      <c r="BR46" s="262">
        <f>Parameters!$B$12*AG46</f>
        <v>102.77777777777779</v>
      </c>
      <c r="BS46" s="262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SUM(Distributievergoedingen!$F$12,Distributievergoedingen!$I$12,Distributievergoedingen!$L$12,Distributievergoedingen!$O$12)*AF46+SUM(Distributievergoedingen!$O$12*AA46+Distributievergoedingen!$R$12+Distributievergoedingen!$U$12+Distributievergoedingen!$X$12)/(MAX(36,12*L46))</f>
        <v>112.77777777777777</v>
      </c>
      <c r="BT46" s="262"/>
      <c r="BU46" s="202">
        <f t="shared" si="18"/>
        <v>215.55555555555554</v>
      </c>
      <c r="BW46" s="278">
        <f t="shared" si="19"/>
        <v>215.55555555555554</v>
      </c>
      <c r="BY46" s="280">
        <f t="shared" si="20"/>
        <v>812.22222222222229</v>
      </c>
      <c r="BZ46" s="264">
        <f t="shared" si="21"/>
        <v>0.7902702702702703</v>
      </c>
      <c r="CA46" s="274" t="b">
        <f t="shared" si="22"/>
        <v>0</v>
      </c>
    </row>
    <row r="47" spans="1:79" s="203" customFormat="1">
      <c r="A47" s="203" t="str">
        <f t="shared" si="92"/>
        <v>2SA IPVPNPremiumkantooruren</v>
      </c>
      <c r="B47" s="203" t="str">
        <f t="shared" si="93"/>
        <v>2SA IPVPNPremiumkantooruren</v>
      </c>
      <c r="C47" s="438">
        <v>2</v>
      </c>
      <c r="D47" s="438" t="s">
        <v>93</v>
      </c>
      <c r="E47" s="438" t="s">
        <v>70</v>
      </c>
      <c r="F47" s="438" t="s">
        <v>1250</v>
      </c>
      <c r="G47" s="438" t="s">
        <v>115</v>
      </c>
      <c r="H47" s="438" t="s">
        <v>115</v>
      </c>
      <c r="I47" s="438" t="s">
        <v>115</v>
      </c>
      <c r="J47" s="274" t="str">
        <f t="shared" si="94"/>
        <v>SA IPVPNPremiumkantooruren</v>
      </c>
      <c r="L47" s="273">
        <f>INDEX(Mapping!$J:$J,MATCH(C$3&amp;C47,Mapping!$B:$B,0))</f>
        <v>1</v>
      </c>
      <c r="M47" s="179" t="str">
        <f>INDEX(Mapping!$H:$H,MATCH($E47,Mapping!$B:$B,0))</f>
        <v>WBA ZM Ethernet</v>
      </c>
      <c r="N47" s="179" t="str">
        <f>INDEX(Mapping!$J:$J,MATCH($J47,Mapping!$B:$B,0))</f>
        <v>FttH</v>
      </c>
      <c r="O47" s="179" t="str">
        <f>INDEX(Mapping!$K:$K,MATCH($J47,Mapping!$B:$B,0))</f>
        <v>Standard</v>
      </c>
      <c r="P47"/>
      <c r="Q47" s="179"/>
      <c r="R47" s="179" t="str">
        <f>INDEX(Mapping!$H:$H,MATCH($H47,Mapping!$B:$B,0))</f>
        <v>nvt</v>
      </c>
      <c r="S47" s="179" t="str">
        <f>INDEX(Mapping!$H:$H,MATCH($I47,Mapping!$B:$B,0))</f>
        <v>nvt</v>
      </c>
      <c r="T47" s="179" t="str">
        <f t="shared" si="95"/>
        <v>WBA ZM EthernetFttHStandard</v>
      </c>
      <c r="U47" s="274" t="str">
        <f t="shared" si="96"/>
        <v>WBA ZM EthernetFttHStandard</v>
      </c>
      <c r="W47" s="273">
        <f>MATCH($J47,'Tarieven ZM'!$B:$B,0)</f>
        <v>134</v>
      </c>
      <c r="X47" s="179">
        <f>INDEX('Tarieven ZM'!$H:$H,$W47)</f>
        <v>1000</v>
      </c>
      <c r="Y47" s="276">
        <f>-INDEX(Parameters!$B:$B,MATCH(Y$3,Parameters!$A:$A,0))*$X47</f>
        <v>0</v>
      </c>
      <c r="Z47" s="277">
        <f>-INDEX(Parameters!$B:$B,MATCH(Z$3,Parameters!$A:$A,0))*$X47</f>
        <v>0</v>
      </c>
      <c r="AA47" s="179">
        <f t="shared" si="97"/>
        <v>1000</v>
      </c>
      <c r="AB47" s="179">
        <f>AA47/INDEX(Parameters!$B:$B,MATCH("AfschrijftermijnVVE"&amp;12*$C47,Parameters!$A:$A,0))</f>
        <v>27.777777777777779</v>
      </c>
      <c r="AC47" s="179">
        <f>INDEX('Tarieven ZM'!$G:$G,$W47)</f>
        <v>1000</v>
      </c>
      <c r="AD47" s="276">
        <f>-INDEX(Parameters!$B:$B,MATCH(AD$3,Parameters!$A:$A,0))*$AC47</f>
        <v>0</v>
      </c>
      <c r="AE47" s="276">
        <f>-INDEX(Parameters!$B:$B,MATCH(AE$3,Parameters!$A:$A,0))*$AC47</f>
        <v>0</v>
      </c>
      <c r="AF47" s="179">
        <f t="shared" si="98"/>
        <v>1000</v>
      </c>
      <c r="AG47" s="278">
        <f t="shared" si="99"/>
        <v>1027.7777777777778</v>
      </c>
      <c r="AH47" s="209"/>
      <c r="AI47" s="279">
        <f>MATCH($T47,'Tarieven W&amp;O'!$B:$B,0)</f>
        <v>213</v>
      </c>
      <c r="AJ47" s="179">
        <f>IF(AI47&lt;&gt;"nvt",INDEX('Tarieven W&amp;O'!$H:$H,$AI47),0)</f>
        <v>0</v>
      </c>
      <c r="AK47" s="179">
        <f>IF(AI47&lt;&gt;"nvt",INDEX('Tarieven W&amp;O'!$I:$I,$AI47),0)</f>
        <v>0</v>
      </c>
      <c r="AL47" s="277">
        <f>IF(AI47&lt;&gt;"nvt",-INDEX(Parameters!$B:$B,MATCH(AL$3&amp;$M47,Parameters!$A:$A,0))*(AJ47+AK47),0)</f>
        <v>0</v>
      </c>
      <c r="AM47" s="277"/>
      <c r="AN47" s="179">
        <f t="shared" si="100"/>
        <v>0</v>
      </c>
      <c r="AO47" s="262">
        <f>AN47/INDEX(Parameters!$B:$B,MATCH("AfschrijftermijnVVE"&amp;12*$C47,Parameters!$A:$A,0))</f>
        <v>0</v>
      </c>
      <c r="AP47" s="179">
        <f>MATCH($U47,'Tarieven W&amp;O'!$B:$B,0)</f>
        <v>213</v>
      </c>
      <c r="AQ47" s="202">
        <f>IF(AP47&lt;&gt;"nvt",INDEX('Tarieven W&amp;O'!$G:$G,$AP47),0)</f>
        <v>0</v>
      </c>
      <c r="AR47" s="277">
        <f>-INDEX(Parameters!$B:$B,MATCH(AR$3&amp;M47&amp;$N47,Parameters!$A:$A,0))*(AQ47)</f>
        <v>0</v>
      </c>
      <c r="AS47" s="179"/>
      <c r="AT47" s="179"/>
      <c r="AU47" s="202">
        <f t="shared" si="101"/>
        <v>0</v>
      </c>
      <c r="AV47" s="202">
        <f t="shared" si="102"/>
        <v>0</v>
      </c>
      <c r="AW47" s="202"/>
      <c r="AX47" s="202">
        <f>Parameters!$B$6*AV47</f>
        <v>0</v>
      </c>
      <c r="AY47" s="202">
        <v>0</v>
      </c>
      <c r="AZ47" s="202"/>
      <c r="BA47" s="202">
        <f t="shared" si="11"/>
        <v>0</v>
      </c>
      <c r="BB47" s="202"/>
      <c r="BC47" s="278">
        <f t="shared" si="12"/>
        <v>0</v>
      </c>
      <c r="BD47" s="209"/>
      <c r="BE47" s="280">
        <f t="shared" si="103"/>
        <v>1027.7777777777778</v>
      </c>
      <c r="BF47" s="264">
        <f t="shared" si="104"/>
        <v>1</v>
      </c>
      <c r="BG47" s="274" t="b">
        <f t="shared" si="105"/>
        <v>0</v>
      </c>
      <c r="BI47" s="443" t="s">
        <v>538</v>
      </c>
      <c r="BJ47" s="281"/>
      <c r="BK47" s="203">
        <f>VLOOKUP(J47,'Tarieven ZM'!$B$7:$I$146,8,0)</f>
        <v>0</v>
      </c>
      <c r="BL47" s="203" t="str">
        <f t="shared" si="16"/>
        <v>FttHStandard</v>
      </c>
      <c r="BM47" s="282">
        <v>0</v>
      </c>
      <c r="BN47" s="262">
        <f>BM47/INDEX(Parameters!$B:$B,MATCH("AfschrijftermijnVVE"&amp;12*$C47,Parameters!$A:$A,0))</f>
        <v>0</v>
      </c>
      <c r="BO47" s="262">
        <f>INDEX('inkoop ULL tbv Epacity'!I:I,MATCH($BL47,'inkoop ULL tbv Epacity'!H:H,0))</f>
        <v>0</v>
      </c>
      <c r="BP47" s="263">
        <f t="shared" si="17"/>
        <v>0</v>
      </c>
      <c r="BR47" s="262">
        <f>Parameters!$B$12*AG47</f>
        <v>102.77777777777779</v>
      </c>
      <c r="BS47" s="262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SUM(Distributievergoedingen!$F$12,Distributievergoedingen!$I$12,Distributievergoedingen!$L$12,Distributievergoedingen!$O$12)*AF47+SUM(Distributievergoedingen!$O$12*AA47+Distributievergoedingen!$R$12+Distributievergoedingen!$U$12+Distributievergoedingen!$X$12)/(MAX(36,12*L47))</f>
        <v>112.77777777777777</v>
      </c>
      <c r="BT47" s="262"/>
      <c r="BU47" s="202">
        <f t="shared" si="18"/>
        <v>215.55555555555554</v>
      </c>
      <c r="BW47" s="278">
        <f t="shared" si="19"/>
        <v>215.55555555555554</v>
      </c>
      <c r="BY47" s="280">
        <f t="shared" si="20"/>
        <v>812.22222222222229</v>
      </c>
      <c r="BZ47" s="264">
        <f t="shared" si="21"/>
        <v>0.7902702702702703</v>
      </c>
      <c r="CA47" s="274" t="b">
        <f t="shared" si="22"/>
        <v>0</v>
      </c>
    </row>
    <row r="48" spans="1:79" s="203" customFormat="1">
      <c r="A48" s="203" t="str">
        <f t="shared" si="92"/>
        <v>2SA IPVPNEntry7x24</v>
      </c>
      <c r="B48" s="203" t="str">
        <f t="shared" si="93"/>
        <v>2SA IPVPNEntry7x24</v>
      </c>
      <c r="C48" s="438">
        <v>2</v>
      </c>
      <c r="D48" s="438" t="s">
        <v>93</v>
      </c>
      <c r="E48" s="438" t="s">
        <v>78</v>
      </c>
      <c r="F48" s="438" t="s">
        <v>34</v>
      </c>
      <c r="G48" s="438" t="s">
        <v>115</v>
      </c>
      <c r="H48" s="438" t="s">
        <v>115</v>
      </c>
      <c r="I48" s="438" t="s">
        <v>115</v>
      </c>
      <c r="J48" s="274" t="str">
        <f t="shared" si="94"/>
        <v>SA IPVPNEntry7x24</v>
      </c>
      <c r="L48" s="273">
        <f>INDEX(Mapping!$J:$J,MATCH(C$3&amp;C48,Mapping!$B:$B,0))</f>
        <v>1</v>
      </c>
      <c r="M48" s="179" t="str">
        <f>INDEX(Mapping!$H:$H,MATCH($E48,Mapping!$B:$B,0))</f>
        <v>WBA CM Ethernet</v>
      </c>
      <c r="N48" s="179" t="str">
        <f>INDEX(Mapping!$J:$J,MATCH($J48,Mapping!$B:$B,0))</f>
        <v>FttH</v>
      </c>
      <c r="O48" s="179" t="str">
        <f>INDEX(Mapping!$K:$K,MATCH($J48,Mapping!$B:$B,0))</f>
        <v>7x24</v>
      </c>
      <c r="P48"/>
      <c r="Q48" s="179"/>
      <c r="R48" s="179" t="str">
        <f>INDEX(Mapping!$H:$H,MATCH($H48,Mapping!$B:$B,0))</f>
        <v>nvt</v>
      </c>
      <c r="S48" s="179" t="str">
        <f>INDEX(Mapping!$H:$H,MATCH($I48,Mapping!$B:$B,0))</f>
        <v>nvt</v>
      </c>
      <c r="T48" s="179" t="str">
        <f t="shared" si="95"/>
        <v>WBA CM EthernetFttH7x24</v>
      </c>
      <c r="U48" s="274" t="str">
        <f t="shared" si="96"/>
        <v>WBA CM EthernetFttH7x24</v>
      </c>
      <c r="W48" s="273">
        <f>MATCH($J48,'Tarieven ZM'!$B:$B,0)</f>
        <v>122</v>
      </c>
      <c r="X48" s="179">
        <f>INDEX('Tarieven ZM'!$H:$H,$W48)</f>
        <v>1000</v>
      </c>
      <c r="Y48" s="276">
        <f>-INDEX(Parameters!$B:$B,MATCH(Y$3,Parameters!$A:$A,0))*$X48</f>
        <v>0</v>
      </c>
      <c r="Z48" s="277">
        <f>-INDEX(Parameters!$B:$B,MATCH(Z$3,Parameters!$A:$A,0))*$X48</f>
        <v>0</v>
      </c>
      <c r="AA48" s="179">
        <f t="shared" si="97"/>
        <v>1000</v>
      </c>
      <c r="AB48" s="179">
        <f>AA48/INDEX(Parameters!$B:$B,MATCH("AfschrijftermijnVVE"&amp;12*$C48,Parameters!$A:$A,0))</f>
        <v>27.777777777777779</v>
      </c>
      <c r="AC48" s="179">
        <f>INDEX('Tarieven ZM'!$G:$G,$W48)</f>
        <v>1000</v>
      </c>
      <c r="AD48" s="276">
        <f>-INDEX(Parameters!$B:$B,MATCH(AD$3,Parameters!$A:$A,0))*$AC48</f>
        <v>0</v>
      </c>
      <c r="AE48" s="276">
        <f>-INDEX(Parameters!$B:$B,MATCH(AE$3,Parameters!$A:$A,0))*$AC48</f>
        <v>0</v>
      </c>
      <c r="AF48" s="179">
        <f t="shared" si="98"/>
        <v>1000</v>
      </c>
      <c r="AG48" s="278">
        <f t="shared" si="99"/>
        <v>1027.7777777777778</v>
      </c>
      <c r="AH48" s="209"/>
      <c r="AI48" s="279">
        <f>MATCH($T48,'Tarieven W&amp;O'!$B:$B,0)</f>
        <v>192</v>
      </c>
      <c r="AJ48" s="179">
        <f>IF(AI48&lt;&gt;"nvt",INDEX('Tarieven W&amp;O'!$H:$H,$AI48),0)</f>
        <v>0</v>
      </c>
      <c r="AK48" s="179">
        <f>IF(AI48&lt;&gt;"nvt",INDEX('Tarieven W&amp;O'!$I:$I,$AI48),0)</f>
        <v>0</v>
      </c>
      <c r="AL48" s="277">
        <f>IF(AI48&lt;&gt;"nvt",-INDEX(Parameters!$B:$B,MATCH(AL$3&amp;$M48,Parameters!$A:$A,0))*(AJ48+AK48),0)</f>
        <v>0</v>
      </c>
      <c r="AM48" s="277"/>
      <c r="AN48" s="179">
        <f t="shared" si="100"/>
        <v>0</v>
      </c>
      <c r="AO48" s="262">
        <f>AN48/INDEX(Parameters!$B:$B,MATCH("AfschrijftermijnVVE"&amp;12*$C48,Parameters!$A:$A,0))</f>
        <v>0</v>
      </c>
      <c r="AP48" s="179">
        <f>MATCH($U48,'Tarieven W&amp;O'!$B:$B,0)</f>
        <v>192</v>
      </c>
      <c r="AQ48" s="202">
        <f>IF(AP48&lt;&gt;"nvt",INDEX('Tarieven W&amp;O'!$G:$G,$AP48),0)</f>
        <v>15.11</v>
      </c>
      <c r="AR48" s="277">
        <f>-INDEX(Parameters!$B:$B,MATCH(AR$3&amp;M48&amp;$N48,Parameters!$A:$A,0))*(AQ48)</f>
        <v>0</v>
      </c>
      <c r="AS48" s="179"/>
      <c r="AT48" s="179"/>
      <c r="AU48" s="202">
        <f t="shared" si="101"/>
        <v>15.11</v>
      </c>
      <c r="AV48" s="202">
        <f t="shared" si="102"/>
        <v>15.11</v>
      </c>
      <c r="AW48" s="202"/>
      <c r="AX48" s="202">
        <f>Parameters!$B$6*AV48</f>
        <v>0.15109999999999998</v>
      </c>
      <c r="AY48" s="202">
        <v>0</v>
      </c>
      <c r="AZ48" s="202"/>
      <c r="BA48" s="202">
        <f t="shared" si="11"/>
        <v>0.15109999999999998</v>
      </c>
      <c r="BB48" s="202"/>
      <c r="BC48" s="278">
        <f t="shared" si="12"/>
        <v>15.261099999999999</v>
      </c>
      <c r="BD48" s="209"/>
      <c r="BE48" s="280">
        <f t="shared" si="103"/>
        <v>1012.5166777777779</v>
      </c>
      <c r="BF48" s="264">
        <f t="shared" si="104"/>
        <v>0.98515136216216226</v>
      </c>
      <c r="BG48" s="274" t="b">
        <f t="shared" si="105"/>
        <v>0</v>
      </c>
      <c r="BI48" s="443" t="s">
        <v>538</v>
      </c>
      <c r="BJ48" s="281"/>
      <c r="BK48" s="203">
        <f>VLOOKUP(J48,'Tarieven ZM'!$B$7:$I$146,8,0)</f>
        <v>0</v>
      </c>
      <c r="BL48" s="203" t="str">
        <f t="shared" si="16"/>
        <v>FttH7x24</v>
      </c>
      <c r="BM48" s="282">
        <v>0</v>
      </c>
      <c r="BN48" s="262">
        <f>BM48/INDEX(Parameters!$B:$B,MATCH("AfschrijftermijnVVE"&amp;12*$C48,Parameters!$A:$A,0))</f>
        <v>0</v>
      </c>
      <c r="BO48" s="262">
        <f>INDEX('inkoop ULL tbv Epacity'!I:I,MATCH($BL48,'inkoop ULL tbv Epacity'!H:H,0))</f>
        <v>13.05</v>
      </c>
      <c r="BP48" s="263">
        <f t="shared" si="17"/>
        <v>13.05</v>
      </c>
      <c r="BR48" s="262">
        <f>Parameters!$B$12*AG48</f>
        <v>102.77777777777779</v>
      </c>
      <c r="BS48" s="262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SUM(Distributievergoedingen!$F$12,Distributievergoedingen!$I$12,Distributievergoedingen!$L$12,Distributievergoedingen!$O$12)*AF48+SUM(Distributievergoedingen!$O$12*AA48+Distributievergoedingen!$R$12+Distributievergoedingen!$U$12+Distributievergoedingen!$X$12)/(MAX(36,12*L48))</f>
        <v>112.77777777777777</v>
      </c>
      <c r="BT48" s="262"/>
      <c r="BU48" s="202">
        <f t="shared" si="18"/>
        <v>215.55555555555554</v>
      </c>
      <c r="BW48" s="278">
        <f t="shared" si="19"/>
        <v>228.60555555555555</v>
      </c>
      <c r="BY48" s="280">
        <f t="shared" si="20"/>
        <v>799.17222222222222</v>
      </c>
      <c r="BZ48" s="264">
        <f t="shared" si="21"/>
        <v>0.7775729729729729</v>
      </c>
      <c r="CA48" s="274" t="b">
        <f t="shared" si="22"/>
        <v>0</v>
      </c>
    </row>
    <row r="49" spans="1:79" s="203" customFormat="1">
      <c r="A49" s="203" t="str">
        <f t="shared" si="92"/>
        <v>2SA IPVPNPremium7x24</v>
      </c>
      <c r="B49" s="203" t="str">
        <f t="shared" si="93"/>
        <v>2SA IPVPNPremium7x24</v>
      </c>
      <c r="C49" s="438">
        <v>2</v>
      </c>
      <c r="D49" s="438" t="s">
        <v>93</v>
      </c>
      <c r="E49" s="438" t="s">
        <v>70</v>
      </c>
      <c r="F49" s="438" t="s">
        <v>34</v>
      </c>
      <c r="G49" s="438" t="s">
        <v>115</v>
      </c>
      <c r="H49" s="438" t="s">
        <v>115</v>
      </c>
      <c r="I49" s="438" t="s">
        <v>115</v>
      </c>
      <c r="J49" s="274" t="str">
        <f t="shared" si="94"/>
        <v>SA IPVPNPremium7x24</v>
      </c>
      <c r="L49" s="273">
        <f>INDEX(Mapping!$J:$J,MATCH(C$3&amp;C49,Mapping!$B:$B,0))</f>
        <v>1</v>
      </c>
      <c r="M49" s="179" t="str">
        <f>INDEX(Mapping!$H:$H,MATCH($E49,Mapping!$B:$B,0))</f>
        <v>WBA ZM Ethernet</v>
      </c>
      <c r="N49" s="179" t="str">
        <f>INDEX(Mapping!$J:$J,MATCH($J49,Mapping!$B:$B,0))</f>
        <v>FttH</v>
      </c>
      <c r="O49" s="179" t="str">
        <f>INDEX(Mapping!$K:$K,MATCH($J49,Mapping!$B:$B,0))</f>
        <v>7x24</v>
      </c>
      <c r="P49"/>
      <c r="Q49" s="179"/>
      <c r="R49" s="179" t="str">
        <f>INDEX(Mapping!$H:$H,MATCH($H49,Mapping!$B:$B,0))</f>
        <v>nvt</v>
      </c>
      <c r="S49" s="179" t="str">
        <f>INDEX(Mapping!$H:$H,MATCH($I49,Mapping!$B:$B,0))</f>
        <v>nvt</v>
      </c>
      <c r="T49" s="179" t="str">
        <f t="shared" si="95"/>
        <v>WBA ZM EthernetFttH7x24</v>
      </c>
      <c r="U49" s="274" t="str">
        <f t="shared" si="96"/>
        <v>WBA ZM EthernetFttH7x24</v>
      </c>
      <c r="W49" s="273">
        <f>MATCH($J49,'Tarieven ZM'!$B:$B,0)</f>
        <v>123</v>
      </c>
      <c r="X49" s="179">
        <f>INDEX('Tarieven ZM'!$H:$H,$W49)</f>
        <v>1000</v>
      </c>
      <c r="Y49" s="276">
        <f>-INDEX(Parameters!$B:$B,MATCH(Y$3,Parameters!$A:$A,0))*$X49</f>
        <v>0</v>
      </c>
      <c r="Z49" s="277">
        <f>-INDEX(Parameters!$B:$B,MATCH(Z$3,Parameters!$A:$A,0))*$X49</f>
        <v>0</v>
      </c>
      <c r="AA49" s="179">
        <f t="shared" si="97"/>
        <v>1000</v>
      </c>
      <c r="AB49" s="179">
        <f>AA49/INDEX(Parameters!$B:$B,MATCH("AfschrijftermijnVVE"&amp;12*$C49,Parameters!$A:$A,0))</f>
        <v>27.777777777777779</v>
      </c>
      <c r="AC49" s="179">
        <f>INDEX('Tarieven ZM'!$G:$G,$W49)</f>
        <v>1000</v>
      </c>
      <c r="AD49" s="276">
        <f>-INDEX(Parameters!$B:$B,MATCH(AD$3,Parameters!$A:$A,0))*$AC49</f>
        <v>0</v>
      </c>
      <c r="AE49" s="276">
        <f>-INDEX(Parameters!$B:$B,MATCH(AE$3,Parameters!$A:$A,0))*$AC49</f>
        <v>0</v>
      </c>
      <c r="AF49" s="179">
        <f t="shared" si="98"/>
        <v>1000</v>
      </c>
      <c r="AG49" s="278">
        <f t="shared" si="99"/>
        <v>1027.7777777777778</v>
      </c>
      <c r="AH49" s="209"/>
      <c r="AI49" s="279">
        <f>MATCH($T49,'Tarieven W&amp;O'!$B:$B,0)</f>
        <v>202</v>
      </c>
      <c r="AJ49" s="179">
        <f>IF(AI49&lt;&gt;"nvt",INDEX('Tarieven W&amp;O'!$H:$H,$AI49),0)</f>
        <v>0</v>
      </c>
      <c r="AK49" s="179">
        <f>IF(AI49&lt;&gt;"nvt",INDEX('Tarieven W&amp;O'!$I:$I,$AI49),0)</f>
        <v>0</v>
      </c>
      <c r="AL49" s="277">
        <f>IF(AI49&lt;&gt;"nvt",-INDEX(Parameters!$B:$B,MATCH(AL$3&amp;$M49,Parameters!$A:$A,0))*(AJ49+AK49),0)</f>
        <v>0</v>
      </c>
      <c r="AM49" s="277"/>
      <c r="AN49" s="179">
        <f t="shared" si="100"/>
        <v>0</v>
      </c>
      <c r="AO49" s="262">
        <f>AN49/INDEX(Parameters!$B:$B,MATCH("AfschrijftermijnVVE"&amp;12*$C49,Parameters!$A:$A,0))</f>
        <v>0</v>
      </c>
      <c r="AP49" s="179">
        <f>MATCH($U49,'Tarieven W&amp;O'!$B:$B,0)</f>
        <v>202</v>
      </c>
      <c r="AQ49" s="202">
        <f>IF(AP49&lt;&gt;"nvt",INDEX('Tarieven W&amp;O'!$G:$G,$AP49),0)</f>
        <v>15</v>
      </c>
      <c r="AR49" s="277">
        <f>-INDEX(Parameters!$B:$B,MATCH(AR$3&amp;M49&amp;$N49,Parameters!$A:$A,0))*(AQ49)</f>
        <v>0</v>
      </c>
      <c r="AS49" s="179"/>
      <c r="AT49" s="179"/>
      <c r="AU49" s="202">
        <f t="shared" si="101"/>
        <v>15</v>
      </c>
      <c r="AV49" s="202">
        <f t="shared" si="102"/>
        <v>15</v>
      </c>
      <c r="AW49" s="202"/>
      <c r="AX49" s="202">
        <f>Parameters!$B$6*AV49</f>
        <v>0.15</v>
      </c>
      <c r="AY49" s="202">
        <v>0</v>
      </c>
      <c r="AZ49" s="202"/>
      <c r="BA49" s="202">
        <f t="shared" si="11"/>
        <v>0.15</v>
      </c>
      <c r="BB49" s="202"/>
      <c r="BC49" s="278">
        <f t="shared" si="12"/>
        <v>15.15</v>
      </c>
      <c r="BD49" s="209"/>
      <c r="BE49" s="280">
        <f t="shared" si="103"/>
        <v>1012.6277777777779</v>
      </c>
      <c r="BF49" s="264">
        <f t="shared" si="104"/>
        <v>0.98525945945945947</v>
      </c>
      <c r="BG49" s="274" t="b">
        <f t="shared" si="105"/>
        <v>0</v>
      </c>
      <c r="BI49" s="443" t="s">
        <v>538</v>
      </c>
      <c r="BJ49" s="281"/>
      <c r="BK49" s="203">
        <f>VLOOKUP(J49,'Tarieven ZM'!$B$7:$I$146,8,0)</f>
        <v>0</v>
      </c>
      <c r="BL49" s="203" t="str">
        <f t="shared" si="16"/>
        <v>FttH7x24</v>
      </c>
      <c r="BM49" s="282">
        <v>0</v>
      </c>
      <c r="BN49" s="262">
        <f>BM49/INDEX(Parameters!$B:$B,MATCH("AfschrijftermijnVVE"&amp;12*$C49,Parameters!$A:$A,0))</f>
        <v>0</v>
      </c>
      <c r="BO49" s="262">
        <f>INDEX('inkoop ULL tbv Epacity'!I:I,MATCH($BL49,'inkoop ULL tbv Epacity'!H:H,0))</f>
        <v>13.05</v>
      </c>
      <c r="BP49" s="263">
        <f t="shared" si="17"/>
        <v>13.05</v>
      </c>
      <c r="BR49" s="262">
        <f>Parameters!$B$12*AG49</f>
        <v>102.77777777777779</v>
      </c>
      <c r="BS49" s="262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SUM(Distributievergoedingen!$F$12,Distributievergoedingen!$I$12,Distributievergoedingen!$L$12,Distributievergoedingen!$O$12)*AF49+SUM(Distributievergoedingen!$O$12*AA49+Distributievergoedingen!$R$12+Distributievergoedingen!$U$12+Distributievergoedingen!$X$12)/(MAX(36,12*L49))</f>
        <v>112.77777777777777</v>
      </c>
      <c r="BT49" s="262"/>
      <c r="BU49" s="202">
        <f t="shared" si="18"/>
        <v>215.55555555555554</v>
      </c>
      <c r="BW49" s="278">
        <f t="shared" si="19"/>
        <v>228.60555555555555</v>
      </c>
      <c r="BY49" s="280">
        <f t="shared" si="20"/>
        <v>799.17222222222222</v>
      </c>
      <c r="BZ49" s="264">
        <f t="shared" si="21"/>
        <v>0.7775729729729729</v>
      </c>
      <c r="CA49" s="274" t="b">
        <f t="shared" si="22"/>
        <v>0</v>
      </c>
    </row>
    <row r="50" spans="1:79" s="203" customFormat="1">
      <c r="A50" s="203" t="str">
        <f>C50&amp;D50&amp;E50&amp;F50</f>
        <v>3ADSLPremiumwinkeluren</v>
      </c>
      <c r="B50" s="203" t="str">
        <f t="shared" ref="B50:B72" si="106">A50</f>
        <v>3ADSLPremiumwinkeluren</v>
      </c>
      <c r="C50" s="438">
        <v>3</v>
      </c>
      <c r="D50" s="438" t="s">
        <v>42</v>
      </c>
      <c r="E50" s="438" t="s">
        <v>70</v>
      </c>
      <c r="F50" s="438" t="s">
        <v>131</v>
      </c>
      <c r="G50" s="438" t="s">
        <v>115</v>
      </c>
      <c r="H50" s="438" t="s">
        <v>115</v>
      </c>
      <c r="I50" s="438" t="s">
        <v>115</v>
      </c>
      <c r="J50" s="274" t="str">
        <f t="shared" ref="J50:J72" si="107">D50&amp;E50&amp;F50</f>
        <v>ADSLPremiumwinkeluren</v>
      </c>
      <c r="L50" s="273">
        <f>INDEX(Mapping!$J:$J,MATCH(C$3&amp;C50,Mapping!$B:$B,0))</f>
        <v>1</v>
      </c>
      <c r="M50" s="179" t="str">
        <f>INDEX(Mapping!$H:$H,MATCH($E50,Mapping!$B:$B,0))</f>
        <v>WBA ZM Ethernet</v>
      </c>
      <c r="N50" s="179" t="str">
        <f>INDEX(Mapping!$J:$J,MATCH($J50,Mapping!$B:$B,0))</f>
        <v>ADSL</v>
      </c>
      <c r="O50" s="179" t="str">
        <f>INDEX(Mapping!$K:$K,MATCH($J50,Mapping!$B:$B,0))</f>
        <v>7x24</v>
      </c>
      <c r="P50"/>
      <c r="Q50" s="179"/>
      <c r="R50" s="179" t="str">
        <f>INDEX(Mapping!$H:$H,MATCH($H50,Mapping!$B:$B,0))</f>
        <v>nvt</v>
      </c>
      <c r="S50" s="179" t="str">
        <f>INDEX(Mapping!$H:$H,MATCH($I50,Mapping!$B:$B,0))</f>
        <v>nvt</v>
      </c>
      <c r="T50" s="179" t="str">
        <f t="shared" ref="T50:T72" si="108">M50&amp;N50&amp;O50</f>
        <v>WBA ZM EthernetADSL7x24</v>
      </c>
      <c r="U50" s="274" t="str">
        <f t="shared" ref="U50:U72" si="109">T50</f>
        <v>WBA ZM EthernetADSL7x24</v>
      </c>
      <c r="W50" s="273">
        <f>MATCH($J50,'Tarieven ZM'!$B:$B,0)</f>
        <v>111</v>
      </c>
      <c r="X50" s="179">
        <f>INDEX('Tarieven ZM'!$H:$H,$W50)</f>
        <v>1000</v>
      </c>
      <c r="Y50" s="276">
        <f>-INDEX(Parameters!$B:$B,MATCH(Y$3,Parameters!$A:$A,0))*$X50</f>
        <v>0</v>
      </c>
      <c r="Z50" s="277">
        <f>-INDEX(Parameters!$B:$B,MATCH(Z$3,Parameters!$A:$A,0))*$X50</f>
        <v>0</v>
      </c>
      <c r="AA50" s="179">
        <f t="shared" ref="AA50:AA72" si="110">SUM(X50:Z50)</f>
        <v>1000</v>
      </c>
      <c r="AB50" s="179">
        <f>AA50/INDEX(Parameters!$B:$B,MATCH("AfschrijftermijnVVE"&amp;12*$C50,Parameters!$A:$A,0))</f>
        <v>27.777777777777779</v>
      </c>
      <c r="AC50" s="179">
        <f>INDEX('Tarieven ZM'!$G:$G,$W50)</f>
        <v>1000</v>
      </c>
      <c r="AD50" s="276">
        <f>-INDEX(Parameters!$B:$B,MATCH(AD$3,Parameters!$A:$A,0))*$AC50</f>
        <v>0</v>
      </c>
      <c r="AE50" s="276">
        <f>-INDEX(Parameters!$B:$B,MATCH(AE$3,Parameters!$A:$A,0))*$AC50</f>
        <v>0</v>
      </c>
      <c r="AF50" s="179">
        <f t="shared" ref="AF50:AF72" si="111">SUM(AC50:AE50)</f>
        <v>1000</v>
      </c>
      <c r="AG50" s="278">
        <f t="shared" ref="AG50:AG72" si="112">SUM(AB50,AF50)</f>
        <v>1027.7777777777778</v>
      </c>
      <c r="AH50" s="209"/>
      <c r="AI50" s="279">
        <f>MATCH($T50,'Tarieven W&amp;O'!$B:$B,0)</f>
        <v>199</v>
      </c>
      <c r="AJ50" s="179">
        <f>IF(AI50&lt;&gt;"nvt",INDEX('Tarieven W&amp;O'!$H:$H,$AI50),0)</f>
        <v>0</v>
      </c>
      <c r="AK50" s="179">
        <f>IF(AI50&lt;&gt;"nvt",INDEX('Tarieven W&amp;O'!$I:$I,$AI50),0)</f>
        <v>0</v>
      </c>
      <c r="AL50" s="277">
        <f>IF(AI50&lt;&gt;"nvt",-INDEX(Parameters!$B:$B,MATCH(AL$3&amp;$M50,Parameters!$A:$A,0))*(AJ50+AK50),0)</f>
        <v>0</v>
      </c>
      <c r="AM50" s="277"/>
      <c r="AN50" s="179">
        <f t="shared" ref="AN50:AN72" si="113">SUM(AJ50:AM50)</f>
        <v>0</v>
      </c>
      <c r="AO50" s="262">
        <f>AN50/INDEX(Parameters!$B:$B,MATCH("AfschrijftermijnVVE"&amp;12*$C50,Parameters!$A:$A,0))</f>
        <v>0</v>
      </c>
      <c r="AP50" s="179">
        <f>MATCH($U50,'Tarieven W&amp;O'!$B:$B,0)</f>
        <v>199</v>
      </c>
      <c r="AQ50" s="202">
        <f>IF(AP50&lt;&gt;"nvt",INDEX('Tarieven W&amp;O'!$G:$G,$AP50),0)</f>
        <v>8.1199999999999992</v>
      </c>
      <c r="AR50" s="277">
        <f>-INDEX(Parameters!$B:$B,MATCH(AR$3&amp;M50&amp;$N50,Parameters!$A:$A,0))*(AQ50)</f>
        <v>0</v>
      </c>
      <c r="AS50" s="179"/>
      <c r="AT50" s="179"/>
      <c r="AU50" s="202">
        <f t="shared" ref="AU50:AU72" si="114">SUM(AQ50:AT50)</f>
        <v>8.1199999999999992</v>
      </c>
      <c r="AV50" s="202">
        <f t="shared" ref="AV50:AV72" si="115">SUM(AO50,AU50)</f>
        <v>8.1199999999999992</v>
      </c>
      <c r="AW50" s="202"/>
      <c r="AX50" s="202">
        <f>Parameters!$B$6*AV50</f>
        <v>8.1199999999999994E-2</v>
      </c>
      <c r="AY50" s="202">
        <v>0</v>
      </c>
      <c r="AZ50" s="202"/>
      <c r="BA50" s="202">
        <f t="shared" si="11"/>
        <v>8.1199999999999994E-2</v>
      </c>
      <c r="BB50" s="202"/>
      <c r="BC50" s="278">
        <f t="shared" si="12"/>
        <v>8.2012</v>
      </c>
      <c r="BD50" s="209"/>
      <c r="BE50" s="280">
        <f t="shared" ref="BE50:BE72" si="116">AG50-BC50</f>
        <v>1019.5765777777779</v>
      </c>
      <c r="BF50" s="264">
        <f t="shared" ref="BF50:BF72" si="117">IF(AG50=0,-999%,BE50/AG50)</f>
        <v>0.99202045405405403</v>
      </c>
      <c r="BG50" s="274" t="b">
        <f t="shared" ref="BG50:BG72" si="118">BF50&lt;0</f>
        <v>0</v>
      </c>
      <c r="BI50" s="443" t="s">
        <v>538</v>
      </c>
      <c r="BJ50" s="281"/>
      <c r="BK50" s="203">
        <f>VLOOKUP(J50,'Tarieven ZM'!$B$7:$I$146,8,0)</f>
        <v>0</v>
      </c>
      <c r="BL50" s="203" t="str">
        <f t="shared" si="16"/>
        <v>ADSL7x24</v>
      </c>
      <c r="BM50" s="282">
        <v>0</v>
      </c>
      <c r="BN50" s="262">
        <f>BM50/INDEX(Parameters!$B:$B,MATCH("AfschrijftermijnVVE"&amp;12*$C50,Parameters!$A:$A,0))</f>
        <v>0</v>
      </c>
      <c r="BO50" s="262">
        <f>INDEX('inkoop ULL tbv Epacity'!I:I,MATCH($BL50,'inkoop ULL tbv Epacity'!H:H,0))</f>
        <v>8.1300000000000008</v>
      </c>
      <c r="BP50" s="263">
        <f t="shared" si="17"/>
        <v>8.1300000000000008</v>
      </c>
      <c r="BR50" s="262">
        <f>Parameters!$B$12*AG50</f>
        <v>102.77777777777779</v>
      </c>
      <c r="BS50" s="262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SUM(Distributievergoedingen!$F$12,Distributievergoedingen!$I$12,Distributievergoedingen!$L$12,Distributievergoedingen!$O$12)*AF50+SUM(Distributievergoedingen!$O$12*AA50+Distributievergoedingen!$R$12+Distributievergoedingen!$U$12+Distributievergoedingen!$X$12)/(MAX(36,12*L50))</f>
        <v>112.77777777777777</v>
      </c>
      <c r="BT50" s="262"/>
      <c r="BU50" s="202">
        <f t="shared" si="18"/>
        <v>215.55555555555554</v>
      </c>
      <c r="BW50" s="278">
        <f t="shared" si="19"/>
        <v>223.68555555555554</v>
      </c>
      <c r="BY50" s="280">
        <f t="shared" si="20"/>
        <v>804.09222222222229</v>
      </c>
      <c r="BZ50" s="264">
        <f t="shared" si="21"/>
        <v>0.78236000000000006</v>
      </c>
      <c r="CA50" s="274" t="b">
        <f t="shared" si="22"/>
        <v>0</v>
      </c>
    </row>
    <row r="51" spans="1:79" s="203" customFormat="1">
      <c r="A51" s="203" t="str">
        <f t="shared" ref="A51:A72" si="119">C51&amp;D51&amp;E51&amp;F51</f>
        <v>3ADSLBasic7x24</v>
      </c>
      <c r="B51" s="203" t="str">
        <f t="shared" si="106"/>
        <v>3ADSLBasic7x24</v>
      </c>
      <c r="C51" s="438">
        <v>3</v>
      </c>
      <c r="D51" s="438" t="s">
        <v>42</v>
      </c>
      <c r="E51" s="438" t="s">
        <v>44</v>
      </c>
      <c r="F51" s="438" t="s">
        <v>34</v>
      </c>
      <c r="G51" s="438" t="s">
        <v>115</v>
      </c>
      <c r="H51" s="438" t="s">
        <v>115</v>
      </c>
      <c r="I51" s="438" t="s">
        <v>115</v>
      </c>
      <c r="J51" s="274" t="str">
        <f t="shared" si="107"/>
        <v>ADSLBasic7x24</v>
      </c>
      <c r="L51" s="273">
        <f>INDEX(Mapping!$J:$J,MATCH(C$3&amp;C51,Mapping!$B:$B,0))</f>
        <v>1</v>
      </c>
      <c r="M51" s="179" t="str">
        <f>INDEX(Mapping!$H:$H,MATCH($E51,Mapping!$B:$B,0))</f>
        <v>WBA CM Ethernet</v>
      </c>
      <c r="N51" s="179" t="str">
        <f>INDEX(Mapping!$J:$J,MATCH($J51,Mapping!$B:$B,0))</f>
        <v>ADSL</v>
      </c>
      <c r="O51" s="179" t="str">
        <f>INDEX(Mapping!$K:$K,MATCH($J51,Mapping!$B:$B,0))</f>
        <v>7x24</v>
      </c>
      <c r="P51"/>
      <c r="Q51" s="179"/>
      <c r="R51" s="179" t="str">
        <f>INDEX(Mapping!$H:$H,MATCH($H51,Mapping!$B:$B,0))</f>
        <v>nvt</v>
      </c>
      <c r="S51" s="179" t="str">
        <f>INDEX(Mapping!$H:$H,MATCH($I51,Mapping!$B:$B,0))</f>
        <v>nvt</v>
      </c>
      <c r="T51" s="179" t="str">
        <f t="shared" si="108"/>
        <v>WBA CM EthernetADSL7x24</v>
      </c>
      <c r="U51" s="274" t="str">
        <f t="shared" si="109"/>
        <v>WBA CM EthernetADSL7x24</v>
      </c>
      <c r="W51" s="273">
        <f>MATCH($J51,'Tarieven ZM'!$B:$B,0)</f>
        <v>112</v>
      </c>
      <c r="X51" s="179">
        <f>INDEX('Tarieven ZM'!$H:$H,$W51)</f>
        <v>1000</v>
      </c>
      <c r="Y51" s="276">
        <f>-INDEX(Parameters!$B:$B,MATCH(Y$3,Parameters!$A:$A,0))*$X51</f>
        <v>0</v>
      </c>
      <c r="Z51" s="277">
        <f>-INDEX(Parameters!$B:$B,MATCH(Z$3,Parameters!$A:$A,0))*$X51</f>
        <v>0</v>
      </c>
      <c r="AA51" s="179">
        <f t="shared" si="110"/>
        <v>1000</v>
      </c>
      <c r="AB51" s="179">
        <f>AA51/INDEX(Parameters!$B:$B,MATCH("AfschrijftermijnVVE"&amp;12*$C51,Parameters!$A:$A,0))</f>
        <v>27.777777777777779</v>
      </c>
      <c r="AC51" s="179">
        <f>INDEX('Tarieven ZM'!$G:$G,$W51)</f>
        <v>1000</v>
      </c>
      <c r="AD51" s="276">
        <f>-INDEX(Parameters!$B:$B,MATCH(AD$3,Parameters!$A:$A,0))*$AC51</f>
        <v>0</v>
      </c>
      <c r="AE51" s="276">
        <f>-INDEX(Parameters!$B:$B,MATCH(AE$3,Parameters!$A:$A,0))*$AC51</f>
        <v>0</v>
      </c>
      <c r="AF51" s="179">
        <f t="shared" si="111"/>
        <v>1000</v>
      </c>
      <c r="AG51" s="278">
        <f t="shared" si="112"/>
        <v>1027.7777777777778</v>
      </c>
      <c r="AH51" s="209"/>
      <c r="AI51" s="279">
        <f>MATCH($T51,'Tarieven W&amp;O'!$B:$B,0)</f>
        <v>189</v>
      </c>
      <c r="AJ51" s="179">
        <f>IF(AI51&lt;&gt;"nvt",INDEX('Tarieven W&amp;O'!$H:$H,$AI51),0)</f>
        <v>0</v>
      </c>
      <c r="AK51" s="179">
        <f>IF(AI51&lt;&gt;"nvt",INDEX('Tarieven W&amp;O'!$I:$I,$AI51),0)</f>
        <v>0</v>
      </c>
      <c r="AL51" s="277">
        <f>IF(AI51&lt;&gt;"nvt",-INDEX(Parameters!$B:$B,MATCH(AL$3&amp;$M51,Parameters!$A:$A,0))*(AJ51+AK51),0)</f>
        <v>0</v>
      </c>
      <c r="AM51" s="277"/>
      <c r="AN51" s="179">
        <f t="shared" si="113"/>
        <v>0</v>
      </c>
      <c r="AO51" s="262">
        <f>AN51/INDEX(Parameters!$B:$B,MATCH("AfschrijftermijnVVE"&amp;12*$C51,Parameters!$A:$A,0))</f>
        <v>0</v>
      </c>
      <c r="AP51" s="179">
        <f>MATCH($U51,'Tarieven W&amp;O'!$B:$B,0)</f>
        <v>189</v>
      </c>
      <c r="AQ51" s="202">
        <f>IF(AP51&lt;&gt;"nvt",INDEX('Tarieven W&amp;O'!$G:$G,$AP51),0)</f>
        <v>15.11</v>
      </c>
      <c r="AR51" s="277">
        <f>-INDEX(Parameters!$B:$B,MATCH(AR$3&amp;M51&amp;$N51,Parameters!$A:$A,0))*(AQ51)</f>
        <v>-1.5110000000000001</v>
      </c>
      <c r="AS51" s="179"/>
      <c r="AT51" s="179"/>
      <c r="AU51" s="202">
        <f t="shared" si="114"/>
        <v>13.599</v>
      </c>
      <c r="AV51" s="202">
        <f t="shared" si="115"/>
        <v>13.599</v>
      </c>
      <c r="AW51" s="202"/>
      <c r="AX51" s="202">
        <f>Parameters!$B$6*AV51</f>
        <v>0.13599</v>
      </c>
      <c r="AY51" s="202">
        <v>0</v>
      </c>
      <c r="AZ51" s="202"/>
      <c r="BA51" s="202">
        <f t="shared" si="11"/>
        <v>0.13599</v>
      </c>
      <c r="BB51" s="202"/>
      <c r="BC51" s="278">
        <f t="shared" si="12"/>
        <v>13.73499</v>
      </c>
      <c r="BD51" s="209"/>
      <c r="BE51" s="280">
        <f t="shared" si="116"/>
        <v>1014.0427877777778</v>
      </c>
      <c r="BF51" s="264">
        <f t="shared" si="117"/>
        <v>0.98663622594594591</v>
      </c>
      <c r="BG51" s="274" t="b">
        <f t="shared" si="118"/>
        <v>0</v>
      </c>
      <c r="BI51" s="443" t="s">
        <v>538</v>
      </c>
      <c r="BJ51" s="281"/>
      <c r="BK51" s="203">
        <f>VLOOKUP(J51,'Tarieven ZM'!$B$7:$I$146,8,0)</f>
        <v>0</v>
      </c>
      <c r="BL51" s="203" t="str">
        <f t="shared" si="16"/>
        <v>ADSL7x24</v>
      </c>
      <c r="BM51" s="282">
        <v>0</v>
      </c>
      <c r="BN51" s="262">
        <f>BM51/INDEX(Parameters!$B:$B,MATCH("AfschrijftermijnVVE"&amp;12*$C51,Parameters!$A:$A,0))</f>
        <v>0</v>
      </c>
      <c r="BO51" s="262">
        <f>INDEX('inkoop ULL tbv Epacity'!I:I,MATCH($BL51,'inkoop ULL tbv Epacity'!H:H,0))</f>
        <v>8.1300000000000008</v>
      </c>
      <c r="BP51" s="263">
        <f t="shared" si="17"/>
        <v>8.1300000000000008</v>
      </c>
      <c r="BR51" s="262">
        <f>Parameters!$B$12*AG51</f>
        <v>102.77777777777779</v>
      </c>
      <c r="BS51" s="262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SUM(Distributievergoedingen!$F$12,Distributievergoedingen!$I$12,Distributievergoedingen!$L$12,Distributievergoedingen!$O$12)*AF51+SUM(Distributievergoedingen!$O$12*AA51+Distributievergoedingen!$R$12+Distributievergoedingen!$U$12+Distributievergoedingen!$X$12)/(MAX(36,12*L51))</f>
        <v>112.77777777777777</v>
      </c>
      <c r="BT51" s="262"/>
      <c r="BU51" s="202">
        <f t="shared" si="18"/>
        <v>215.55555555555554</v>
      </c>
      <c r="BW51" s="278">
        <f t="shared" si="19"/>
        <v>223.68555555555554</v>
      </c>
      <c r="BY51" s="280">
        <f t="shared" si="20"/>
        <v>804.09222222222229</v>
      </c>
      <c r="BZ51" s="264">
        <f t="shared" si="21"/>
        <v>0.78236000000000006</v>
      </c>
      <c r="CA51" s="274" t="b">
        <f t="shared" si="22"/>
        <v>0</v>
      </c>
    </row>
    <row r="52" spans="1:79" s="203" customFormat="1">
      <c r="A52" s="203" t="str">
        <f t="shared" si="119"/>
        <v>3ADSLPremium7x24</v>
      </c>
      <c r="B52" s="203" t="str">
        <f t="shared" si="106"/>
        <v>3ADSLPremium7x24</v>
      </c>
      <c r="C52" s="438">
        <v>3</v>
      </c>
      <c r="D52" s="438" t="s">
        <v>42</v>
      </c>
      <c r="E52" s="438" t="s">
        <v>70</v>
      </c>
      <c r="F52" s="438" t="s">
        <v>34</v>
      </c>
      <c r="G52" s="438" t="s">
        <v>115</v>
      </c>
      <c r="H52" s="438" t="s">
        <v>115</v>
      </c>
      <c r="I52" s="438" t="s">
        <v>115</v>
      </c>
      <c r="J52" s="274" t="str">
        <f t="shared" si="107"/>
        <v>ADSLPremium7x24</v>
      </c>
      <c r="L52" s="273">
        <f>INDEX(Mapping!$J:$J,MATCH(C$3&amp;C52,Mapping!$B:$B,0))</f>
        <v>1</v>
      </c>
      <c r="M52" s="179" t="str">
        <f>INDEX(Mapping!$H:$H,MATCH($E52,Mapping!$B:$B,0))</f>
        <v>WBA ZM Ethernet</v>
      </c>
      <c r="N52" s="179" t="str">
        <f>INDEX(Mapping!$J:$J,MATCH($J52,Mapping!$B:$B,0))</f>
        <v>ADSL</v>
      </c>
      <c r="O52" s="179" t="str">
        <f>INDEX(Mapping!$K:$K,MATCH($J52,Mapping!$B:$B,0))</f>
        <v>7x24</v>
      </c>
      <c r="P52"/>
      <c r="Q52" s="179"/>
      <c r="R52" s="179" t="str">
        <f>INDEX(Mapping!$H:$H,MATCH($H52,Mapping!$B:$B,0))</f>
        <v>nvt</v>
      </c>
      <c r="S52" s="179" t="str">
        <f>INDEX(Mapping!$H:$H,MATCH($I52,Mapping!$B:$B,0))</f>
        <v>nvt</v>
      </c>
      <c r="T52" s="179" t="str">
        <f t="shared" si="108"/>
        <v>WBA ZM EthernetADSL7x24</v>
      </c>
      <c r="U52" s="274" t="str">
        <f t="shared" si="109"/>
        <v>WBA ZM EthernetADSL7x24</v>
      </c>
      <c r="W52" s="273">
        <f>MATCH($J52,'Tarieven ZM'!$B:$B,0)</f>
        <v>113</v>
      </c>
      <c r="X52" s="179">
        <f>INDEX('Tarieven ZM'!$H:$H,$W52)</f>
        <v>1000</v>
      </c>
      <c r="Y52" s="276">
        <f>-INDEX(Parameters!$B:$B,MATCH(Y$3,Parameters!$A:$A,0))*$X52</f>
        <v>0</v>
      </c>
      <c r="Z52" s="277">
        <f>-INDEX(Parameters!$B:$B,MATCH(Z$3,Parameters!$A:$A,0))*$X52</f>
        <v>0</v>
      </c>
      <c r="AA52" s="179">
        <f t="shared" si="110"/>
        <v>1000</v>
      </c>
      <c r="AB52" s="179">
        <f>AA52/INDEX(Parameters!$B:$B,MATCH("AfschrijftermijnVVE"&amp;12*$C52,Parameters!$A:$A,0))</f>
        <v>27.777777777777779</v>
      </c>
      <c r="AC52" s="179">
        <f>INDEX('Tarieven ZM'!$G:$G,$W52)</f>
        <v>1000</v>
      </c>
      <c r="AD52" s="276">
        <f>-INDEX(Parameters!$B:$B,MATCH(AD$3,Parameters!$A:$A,0))*$AC52</f>
        <v>0</v>
      </c>
      <c r="AE52" s="276">
        <f>-INDEX(Parameters!$B:$B,MATCH(AE$3,Parameters!$A:$A,0))*$AC52</f>
        <v>0</v>
      </c>
      <c r="AF52" s="179">
        <f t="shared" si="111"/>
        <v>1000</v>
      </c>
      <c r="AG52" s="278">
        <f t="shared" si="112"/>
        <v>1027.7777777777778</v>
      </c>
      <c r="AH52" s="209"/>
      <c r="AI52" s="279">
        <f>MATCH($T52,'Tarieven W&amp;O'!$B:$B,0)</f>
        <v>199</v>
      </c>
      <c r="AJ52" s="179">
        <f>IF(AI52&lt;&gt;"nvt",INDEX('Tarieven W&amp;O'!$H:$H,$AI52),0)</f>
        <v>0</v>
      </c>
      <c r="AK52" s="179">
        <f>IF(AI52&lt;&gt;"nvt",INDEX('Tarieven W&amp;O'!$I:$I,$AI52),0)</f>
        <v>0</v>
      </c>
      <c r="AL52" s="277">
        <f>IF(AI52&lt;&gt;"nvt",-INDEX(Parameters!$B:$B,MATCH(AL$3&amp;$M52,Parameters!$A:$A,0))*(AJ52+AK52),0)</f>
        <v>0</v>
      </c>
      <c r="AM52" s="277"/>
      <c r="AN52" s="179">
        <f t="shared" si="113"/>
        <v>0</v>
      </c>
      <c r="AO52" s="262">
        <f>AN52/INDEX(Parameters!$B:$B,MATCH("AfschrijftermijnVVE"&amp;12*$C52,Parameters!$A:$A,0))</f>
        <v>0</v>
      </c>
      <c r="AP52" s="179">
        <f>MATCH($U52,'Tarieven W&amp;O'!$B:$B,0)</f>
        <v>199</v>
      </c>
      <c r="AQ52" s="202">
        <f>IF(AP52&lt;&gt;"nvt",INDEX('Tarieven W&amp;O'!$G:$G,$AP52),0)</f>
        <v>8.1199999999999992</v>
      </c>
      <c r="AR52" s="277">
        <f>-INDEX(Parameters!$B:$B,MATCH(AR$3&amp;M52&amp;$N52,Parameters!$A:$A,0))*(AQ52)</f>
        <v>0</v>
      </c>
      <c r="AS52" s="179"/>
      <c r="AT52" s="179"/>
      <c r="AU52" s="202">
        <f t="shared" si="114"/>
        <v>8.1199999999999992</v>
      </c>
      <c r="AV52" s="202">
        <f t="shared" si="115"/>
        <v>8.1199999999999992</v>
      </c>
      <c r="AW52" s="202"/>
      <c r="AX52" s="202">
        <f>Parameters!$B$6*AV52</f>
        <v>8.1199999999999994E-2</v>
      </c>
      <c r="AY52" s="202">
        <v>0</v>
      </c>
      <c r="AZ52" s="202"/>
      <c r="BA52" s="202">
        <f t="shared" si="11"/>
        <v>8.1199999999999994E-2</v>
      </c>
      <c r="BB52" s="202"/>
      <c r="BC52" s="278">
        <f t="shared" si="12"/>
        <v>8.2012</v>
      </c>
      <c r="BD52" s="209"/>
      <c r="BE52" s="280">
        <f t="shared" si="116"/>
        <v>1019.5765777777779</v>
      </c>
      <c r="BF52" s="264">
        <f t="shared" si="117"/>
        <v>0.99202045405405403</v>
      </c>
      <c r="BG52" s="274" t="b">
        <f t="shared" si="118"/>
        <v>0</v>
      </c>
      <c r="BI52" s="443" t="s">
        <v>538</v>
      </c>
      <c r="BJ52" s="281"/>
      <c r="BK52" s="203">
        <f>VLOOKUP(J52,'Tarieven ZM'!$B$7:$I$146,8,0)</f>
        <v>0</v>
      </c>
      <c r="BL52" s="203" t="str">
        <f t="shared" si="16"/>
        <v>ADSL7x24</v>
      </c>
      <c r="BM52" s="282">
        <v>0</v>
      </c>
      <c r="BN52" s="262">
        <f>BM52/INDEX(Parameters!$B:$B,MATCH("AfschrijftermijnVVE"&amp;12*$C52,Parameters!$A:$A,0))</f>
        <v>0</v>
      </c>
      <c r="BO52" s="262">
        <f>INDEX('inkoop ULL tbv Epacity'!I:I,MATCH($BL52,'inkoop ULL tbv Epacity'!H:H,0))</f>
        <v>8.1300000000000008</v>
      </c>
      <c r="BP52" s="263">
        <f t="shared" si="17"/>
        <v>8.1300000000000008</v>
      </c>
      <c r="BR52" s="262">
        <f>Parameters!$B$12*AG52</f>
        <v>102.77777777777779</v>
      </c>
      <c r="BS52" s="262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SUM(Distributievergoedingen!$F$12,Distributievergoedingen!$I$12,Distributievergoedingen!$L$12,Distributievergoedingen!$O$12)*AF52+SUM(Distributievergoedingen!$O$12*AA52+Distributievergoedingen!$R$12+Distributievergoedingen!$U$12+Distributievergoedingen!$X$12)/(MAX(36,12*L52))</f>
        <v>112.77777777777777</v>
      </c>
      <c r="BT52" s="262"/>
      <c r="BU52" s="202">
        <f t="shared" si="18"/>
        <v>215.55555555555554</v>
      </c>
      <c r="BW52" s="278">
        <f t="shared" si="19"/>
        <v>223.68555555555554</v>
      </c>
      <c r="BY52" s="280">
        <f t="shared" si="20"/>
        <v>804.09222222222229</v>
      </c>
      <c r="BZ52" s="264">
        <f t="shared" si="21"/>
        <v>0.78236000000000006</v>
      </c>
      <c r="CA52" s="274" t="b">
        <f t="shared" si="22"/>
        <v>0</v>
      </c>
    </row>
    <row r="53" spans="1:79" s="203" customFormat="1">
      <c r="A53" s="203" t="str">
        <f t="shared" si="119"/>
        <v>3SDSLBasicwinkeluren</v>
      </c>
      <c r="B53" s="203" t="str">
        <f t="shared" si="106"/>
        <v>3SDSLBasicwinkeluren</v>
      </c>
      <c r="C53" s="438">
        <v>3</v>
      </c>
      <c r="D53" s="438" t="s">
        <v>64</v>
      </c>
      <c r="E53" s="438" t="s">
        <v>44</v>
      </c>
      <c r="F53" s="438" t="s">
        <v>131</v>
      </c>
      <c r="G53" s="438" t="s">
        <v>115</v>
      </c>
      <c r="H53" s="438" t="s">
        <v>115</v>
      </c>
      <c r="I53" s="438" t="s">
        <v>115</v>
      </c>
      <c r="J53" s="274" t="str">
        <f t="shared" si="107"/>
        <v>SDSLBasicwinkeluren</v>
      </c>
      <c r="L53" s="273">
        <f>INDEX(Mapping!$J:$J,MATCH(C$3&amp;C53,Mapping!$B:$B,0))</f>
        <v>1</v>
      </c>
      <c r="M53" s="179" t="str">
        <f>INDEX(Mapping!$H:$H,MATCH($E53,Mapping!$B:$B,0))</f>
        <v>WBA CM Ethernet</v>
      </c>
      <c r="N53" s="179" t="str">
        <f>INDEX(Mapping!$J:$J,MATCH($J53,Mapping!$B:$B,0))</f>
        <v>SDSL</v>
      </c>
      <c r="O53" s="179" t="str">
        <f>INDEX(Mapping!$K:$K,MATCH($J53,Mapping!$B:$B,0))</f>
        <v>7x24</v>
      </c>
      <c r="P53"/>
      <c r="Q53" s="179"/>
      <c r="R53" s="179" t="str">
        <f>INDEX(Mapping!$H:$H,MATCH($H53,Mapping!$B:$B,0))</f>
        <v>nvt</v>
      </c>
      <c r="S53" s="179" t="str">
        <f>INDEX(Mapping!$H:$H,MATCH($I53,Mapping!$B:$B,0))</f>
        <v>nvt</v>
      </c>
      <c r="T53" s="179" t="str">
        <f t="shared" si="108"/>
        <v>WBA CM EthernetSDSL7x24</v>
      </c>
      <c r="U53" s="274" t="str">
        <f t="shared" si="109"/>
        <v>WBA CM EthernetSDSL7x24</v>
      </c>
      <c r="W53" s="273">
        <f>MATCH($J53,'Tarieven ZM'!$B:$B,0)</f>
        <v>114</v>
      </c>
      <c r="X53" s="179">
        <f>INDEX('Tarieven ZM'!$H:$H,$W53)</f>
        <v>1000</v>
      </c>
      <c r="Y53" s="276">
        <f>-INDEX(Parameters!$B:$B,MATCH(Y$3,Parameters!$A:$A,0))*$X53</f>
        <v>0</v>
      </c>
      <c r="Z53" s="277">
        <f>-INDEX(Parameters!$B:$B,MATCH(Z$3,Parameters!$A:$A,0))*$X53</f>
        <v>0</v>
      </c>
      <c r="AA53" s="179">
        <f t="shared" si="110"/>
        <v>1000</v>
      </c>
      <c r="AB53" s="179">
        <f>AA53/INDEX(Parameters!$B:$B,MATCH("AfschrijftermijnVVE"&amp;12*$C53,Parameters!$A:$A,0))</f>
        <v>27.777777777777779</v>
      </c>
      <c r="AC53" s="179">
        <f>INDEX('Tarieven ZM'!$G:$G,$W53)</f>
        <v>1000</v>
      </c>
      <c r="AD53" s="276">
        <f>-INDEX(Parameters!$B:$B,MATCH(AD$3,Parameters!$A:$A,0))*$AC53</f>
        <v>0</v>
      </c>
      <c r="AE53" s="276">
        <f>-INDEX(Parameters!$B:$B,MATCH(AE$3,Parameters!$A:$A,0))*$AC53</f>
        <v>0</v>
      </c>
      <c r="AF53" s="179">
        <f t="shared" si="111"/>
        <v>1000</v>
      </c>
      <c r="AG53" s="278">
        <f t="shared" si="112"/>
        <v>1027.7777777777778</v>
      </c>
      <c r="AH53" s="209"/>
      <c r="AI53" s="279">
        <f>MATCH($T53,'Tarieven W&amp;O'!$B:$B,0)</f>
        <v>191</v>
      </c>
      <c r="AJ53" s="179">
        <f>IF(AI53&lt;&gt;"nvt",INDEX('Tarieven W&amp;O'!$H:$H,$AI53),0)</f>
        <v>0</v>
      </c>
      <c r="AK53" s="179">
        <f>IF(AI53&lt;&gt;"nvt",INDEX('Tarieven W&amp;O'!$I:$I,$AI53),0)</f>
        <v>0</v>
      </c>
      <c r="AL53" s="277">
        <f>IF(AI53&lt;&gt;"nvt",-INDEX(Parameters!$B:$B,MATCH(AL$3&amp;$M53,Parameters!$A:$A,0))*(AJ53+AK53),0)</f>
        <v>0</v>
      </c>
      <c r="AM53" s="277"/>
      <c r="AN53" s="179">
        <f t="shared" si="113"/>
        <v>0</v>
      </c>
      <c r="AO53" s="262">
        <f>AN53/INDEX(Parameters!$B:$B,MATCH("AfschrijftermijnVVE"&amp;12*$C53,Parameters!$A:$A,0))</f>
        <v>0</v>
      </c>
      <c r="AP53" s="179">
        <f>MATCH($U53,'Tarieven W&amp;O'!$B:$B,0)</f>
        <v>191</v>
      </c>
      <c r="AQ53" s="202">
        <f>IF(AP53&lt;&gt;"nvt",INDEX('Tarieven W&amp;O'!$G:$G,$AP53),0)</f>
        <v>15.11</v>
      </c>
      <c r="AR53" s="277">
        <f>-INDEX(Parameters!$B:$B,MATCH(AR$3&amp;M53&amp;$N53,Parameters!$A:$A,0))*(AQ53)</f>
        <v>-1.5110000000000001</v>
      </c>
      <c r="AS53" s="179"/>
      <c r="AT53" s="179"/>
      <c r="AU53" s="202">
        <f t="shared" si="114"/>
        <v>13.599</v>
      </c>
      <c r="AV53" s="202">
        <f t="shared" si="115"/>
        <v>13.599</v>
      </c>
      <c r="AW53" s="202"/>
      <c r="AX53" s="202">
        <f>Parameters!$B$6*AV53</f>
        <v>0.13599</v>
      </c>
      <c r="AY53" s="202">
        <v>0</v>
      </c>
      <c r="AZ53" s="202"/>
      <c r="BA53" s="202">
        <f t="shared" si="11"/>
        <v>0.13599</v>
      </c>
      <c r="BB53" s="202"/>
      <c r="BC53" s="278">
        <f t="shared" si="12"/>
        <v>13.73499</v>
      </c>
      <c r="BD53" s="209"/>
      <c r="BE53" s="280">
        <f t="shared" si="116"/>
        <v>1014.0427877777778</v>
      </c>
      <c r="BF53" s="264">
        <f t="shared" si="117"/>
        <v>0.98663622594594591</v>
      </c>
      <c r="BG53" s="274" t="b">
        <f t="shared" si="118"/>
        <v>0</v>
      </c>
      <c r="BI53" s="443" t="s">
        <v>538</v>
      </c>
      <c r="BJ53" s="281"/>
      <c r="BK53" s="203">
        <f>VLOOKUP(J53,'Tarieven ZM'!$B$7:$I$146,8,0)</f>
        <v>0</v>
      </c>
      <c r="BL53" s="203" t="str">
        <f t="shared" si="16"/>
        <v>SDSL7x24</v>
      </c>
      <c r="BM53" s="282">
        <v>0</v>
      </c>
      <c r="BN53" s="262">
        <f>BM53/INDEX(Parameters!$B:$B,MATCH("AfschrijftermijnVVE"&amp;12*$C53,Parameters!$A:$A,0))</f>
        <v>0</v>
      </c>
      <c r="BO53" s="262">
        <f>INDEX('inkoop ULL tbv Epacity'!I:I,MATCH($BL53,'inkoop ULL tbv Epacity'!H:H,0))</f>
        <v>2.39</v>
      </c>
      <c r="BP53" s="263">
        <f t="shared" si="17"/>
        <v>2.39</v>
      </c>
      <c r="BR53" s="262">
        <f>Parameters!$B$12*AG53</f>
        <v>102.77777777777779</v>
      </c>
      <c r="BS53" s="262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SUM(Distributievergoedingen!$F$12,Distributievergoedingen!$I$12,Distributievergoedingen!$L$12,Distributievergoedingen!$O$12)*AF53+SUM(Distributievergoedingen!$O$12*AA53+Distributievergoedingen!$R$12+Distributievergoedingen!$U$12+Distributievergoedingen!$X$12)/(MAX(36,12*L53))</f>
        <v>112.77777777777777</v>
      </c>
      <c r="BT53" s="262"/>
      <c r="BU53" s="202">
        <f t="shared" si="18"/>
        <v>215.55555555555554</v>
      </c>
      <c r="BW53" s="278">
        <f t="shared" si="19"/>
        <v>217.94555555555553</v>
      </c>
      <c r="BY53" s="280">
        <f t="shared" si="20"/>
        <v>809.8322222222223</v>
      </c>
      <c r="BZ53" s="264">
        <f t="shared" si="21"/>
        <v>0.78794486486486492</v>
      </c>
      <c r="CA53" s="274" t="b">
        <f t="shared" si="22"/>
        <v>0</v>
      </c>
    </row>
    <row r="54" spans="1:79" s="203" customFormat="1">
      <c r="A54" s="203" t="str">
        <f t="shared" si="119"/>
        <v>3SDSLPremiumwinkeluren</v>
      </c>
      <c r="B54" s="203" t="str">
        <f t="shared" si="106"/>
        <v>3SDSLPremiumwinkeluren</v>
      </c>
      <c r="C54" s="438">
        <v>3</v>
      </c>
      <c r="D54" s="438" t="s">
        <v>64</v>
      </c>
      <c r="E54" s="438" t="s">
        <v>70</v>
      </c>
      <c r="F54" s="438" t="s">
        <v>131</v>
      </c>
      <c r="G54" s="438" t="s">
        <v>115</v>
      </c>
      <c r="H54" s="438" t="s">
        <v>115</v>
      </c>
      <c r="I54" s="438" t="s">
        <v>115</v>
      </c>
      <c r="J54" s="274" t="str">
        <f t="shared" si="107"/>
        <v>SDSLPremiumwinkeluren</v>
      </c>
      <c r="L54" s="273">
        <f>INDEX(Mapping!$J:$J,MATCH(C$3&amp;C54,Mapping!$B:$B,0))</f>
        <v>1</v>
      </c>
      <c r="M54" s="179" t="str">
        <f>INDEX(Mapping!$H:$H,MATCH($E54,Mapping!$B:$B,0))</f>
        <v>WBA ZM Ethernet</v>
      </c>
      <c r="N54" s="179" t="str">
        <f>INDEX(Mapping!$J:$J,MATCH($J54,Mapping!$B:$B,0))</f>
        <v>SDSL</v>
      </c>
      <c r="O54" s="179" t="str">
        <f>INDEX(Mapping!$K:$K,MATCH($J54,Mapping!$B:$B,0))</f>
        <v>7x24</v>
      </c>
      <c r="P54"/>
      <c r="Q54" s="179"/>
      <c r="R54" s="179" t="str">
        <f>INDEX(Mapping!$H:$H,MATCH($H54,Mapping!$B:$B,0))</f>
        <v>nvt</v>
      </c>
      <c r="S54" s="179" t="str">
        <f>INDEX(Mapping!$H:$H,MATCH($I54,Mapping!$B:$B,0))</f>
        <v>nvt</v>
      </c>
      <c r="T54" s="179" t="str">
        <f t="shared" si="108"/>
        <v>WBA ZM EthernetSDSL7x24</v>
      </c>
      <c r="U54" s="274" t="str">
        <f t="shared" si="109"/>
        <v>WBA ZM EthernetSDSL7x24</v>
      </c>
      <c r="W54" s="273">
        <f>MATCH($J54,'Tarieven ZM'!$B:$B,0)</f>
        <v>115</v>
      </c>
      <c r="X54" s="179">
        <f>INDEX('Tarieven ZM'!$H:$H,$W54)</f>
        <v>1000</v>
      </c>
      <c r="Y54" s="276">
        <f>-INDEX(Parameters!$B:$B,MATCH(Y$3,Parameters!$A:$A,0))*$X54</f>
        <v>0</v>
      </c>
      <c r="Z54" s="277">
        <f>-INDEX(Parameters!$B:$B,MATCH(Z$3,Parameters!$A:$A,0))*$X54</f>
        <v>0</v>
      </c>
      <c r="AA54" s="179">
        <f t="shared" si="110"/>
        <v>1000</v>
      </c>
      <c r="AB54" s="179">
        <f>AA54/INDEX(Parameters!$B:$B,MATCH("AfschrijftermijnVVE"&amp;12*$C54,Parameters!$A:$A,0))</f>
        <v>27.777777777777779</v>
      </c>
      <c r="AC54" s="179">
        <f>INDEX('Tarieven ZM'!$G:$G,$W54)</f>
        <v>1000</v>
      </c>
      <c r="AD54" s="276">
        <f>-INDEX(Parameters!$B:$B,MATCH(AD$3,Parameters!$A:$A,0))*$AC54</f>
        <v>0</v>
      </c>
      <c r="AE54" s="276">
        <f>-INDEX(Parameters!$B:$B,MATCH(AE$3,Parameters!$A:$A,0))*$AC54</f>
        <v>0</v>
      </c>
      <c r="AF54" s="179">
        <f t="shared" si="111"/>
        <v>1000</v>
      </c>
      <c r="AG54" s="278">
        <f t="shared" si="112"/>
        <v>1027.7777777777778</v>
      </c>
      <c r="AH54" s="209"/>
      <c r="AI54" s="279">
        <f>MATCH($T54,'Tarieven W&amp;O'!$B:$B,0)</f>
        <v>201</v>
      </c>
      <c r="AJ54" s="179">
        <f>IF(AI54&lt;&gt;"nvt",INDEX('Tarieven W&amp;O'!$H:$H,$AI54),0)</f>
        <v>0</v>
      </c>
      <c r="AK54" s="179">
        <f>IF(AI54&lt;&gt;"nvt",INDEX('Tarieven W&amp;O'!$I:$I,$AI54),0)</f>
        <v>0</v>
      </c>
      <c r="AL54" s="277">
        <f>IF(AI54&lt;&gt;"nvt",-INDEX(Parameters!$B:$B,MATCH(AL$3&amp;$M54,Parameters!$A:$A,0))*(AJ54+AK54),0)</f>
        <v>0</v>
      </c>
      <c r="AM54" s="277"/>
      <c r="AN54" s="179">
        <f t="shared" si="113"/>
        <v>0</v>
      </c>
      <c r="AO54" s="262">
        <f>AN54/INDEX(Parameters!$B:$B,MATCH("AfschrijftermijnVVE"&amp;12*$C54,Parameters!$A:$A,0))</f>
        <v>0</v>
      </c>
      <c r="AP54" s="179">
        <f>MATCH($U54,'Tarieven W&amp;O'!$B:$B,0)</f>
        <v>201</v>
      </c>
      <c r="AQ54" s="202">
        <f>IF(AP54&lt;&gt;"nvt",INDEX('Tarieven W&amp;O'!$G:$G,$AP54),0)</f>
        <v>8.1199999999999992</v>
      </c>
      <c r="AR54" s="277">
        <f>-INDEX(Parameters!$B:$B,MATCH(AR$3&amp;M54&amp;$N54,Parameters!$A:$A,0))*(AQ54)</f>
        <v>0</v>
      </c>
      <c r="AS54" s="179"/>
      <c r="AT54" s="179"/>
      <c r="AU54" s="202">
        <f t="shared" si="114"/>
        <v>8.1199999999999992</v>
      </c>
      <c r="AV54" s="202">
        <f t="shared" si="115"/>
        <v>8.1199999999999992</v>
      </c>
      <c r="AW54" s="202"/>
      <c r="AX54" s="202">
        <f>Parameters!$B$6*AV54</f>
        <v>8.1199999999999994E-2</v>
      </c>
      <c r="AY54" s="202">
        <v>0</v>
      </c>
      <c r="AZ54" s="202"/>
      <c r="BA54" s="202">
        <f t="shared" si="11"/>
        <v>8.1199999999999994E-2</v>
      </c>
      <c r="BB54" s="202"/>
      <c r="BC54" s="278">
        <f t="shared" si="12"/>
        <v>8.2012</v>
      </c>
      <c r="BD54" s="209"/>
      <c r="BE54" s="280">
        <f t="shared" si="116"/>
        <v>1019.5765777777779</v>
      </c>
      <c r="BF54" s="264">
        <f t="shared" si="117"/>
        <v>0.99202045405405403</v>
      </c>
      <c r="BG54" s="274" t="b">
        <f t="shared" si="118"/>
        <v>0</v>
      </c>
      <c r="BI54" s="443" t="s">
        <v>538</v>
      </c>
      <c r="BJ54" s="281"/>
      <c r="BK54" s="203">
        <f>VLOOKUP(J54,'Tarieven ZM'!$B$7:$I$146,8,0)</f>
        <v>0</v>
      </c>
      <c r="BL54" s="203" t="str">
        <f t="shared" si="16"/>
        <v>SDSL7x24</v>
      </c>
      <c r="BM54" s="282">
        <v>0</v>
      </c>
      <c r="BN54" s="262">
        <f>BM54/INDEX(Parameters!$B:$B,MATCH("AfschrijftermijnVVE"&amp;12*$C54,Parameters!$A:$A,0))</f>
        <v>0</v>
      </c>
      <c r="BO54" s="262">
        <f>INDEX('inkoop ULL tbv Epacity'!I:I,MATCH($BL54,'inkoop ULL tbv Epacity'!H:H,0))</f>
        <v>2.39</v>
      </c>
      <c r="BP54" s="263">
        <f t="shared" si="17"/>
        <v>2.39</v>
      </c>
      <c r="BR54" s="262">
        <f>Parameters!$B$12*AG54</f>
        <v>102.77777777777779</v>
      </c>
      <c r="BS54" s="262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SUM(Distributievergoedingen!$F$12,Distributievergoedingen!$I$12,Distributievergoedingen!$L$12,Distributievergoedingen!$O$12)*AF54+SUM(Distributievergoedingen!$O$12*AA54+Distributievergoedingen!$R$12+Distributievergoedingen!$U$12+Distributievergoedingen!$X$12)/(MAX(36,12*L54))</f>
        <v>112.77777777777777</v>
      </c>
      <c r="BT54" s="262"/>
      <c r="BU54" s="202">
        <f t="shared" si="18"/>
        <v>215.55555555555554</v>
      </c>
      <c r="BW54" s="278">
        <f t="shared" si="19"/>
        <v>217.94555555555553</v>
      </c>
      <c r="BY54" s="280">
        <f t="shared" si="20"/>
        <v>809.8322222222223</v>
      </c>
      <c r="BZ54" s="264">
        <f t="shared" si="21"/>
        <v>0.78794486486486492</v>
      </c>
      <c r="CA54" s="274" t="b">
        <f t="shared" si="22"/>
        <v>0</v>
      </c>
    </row>
    <row r="55" spans="1:79" s="203" customFormat="1">
      <c r="A55" s="203" t="str">
        <f t="shared" si="119"/>
        <v>3SDSLBasic7x24</v>
      </c>
      <c r="B55" s="203" t="str">
        <f t="shared" si="106"/>
        <v>3SDSLBasic7x24</v>
      </c>
      <c r="C55" s="438">
        <v>3</v>
      </c>
      <c r="D55" s="438" t="s">
        <v>64</v>
      </c>
      <c r="E55" s="438" t="s">
        <v>44</v>
      </c>
      <c r="F55" s="438" t="s">
        <v>34</v>
      </c>
      <c r="G55" s="438" t="s">
        <v>115</v>
      </c>
      <c r="H55" s="438" t="s">
        <v>115</v>
      </c>
      <c r="I55" s="438" t="s">
        <v>115</v>
      </c>
      <c r="J55" s="274" t="str">
        <f t="shared" si="107"/>
        <v>SDSLBasic7x24</v>
      </c>
      <c r="L55" s="273">
        <f>INDEX(Mapping!$J:$J,MATCH(C$3&amp;C55,Mapping!$B:$B,0))</f>
        <v>1</v>
      </c>
      <c r="M55" s="179" t="str">
        <f>INDEX(Mapping!$H:$H,MATCH($E55,Mapping!$B:$B,0))</f>
        <v>WBA CM Ethernet</v>
      </c>
      <c r="N55" s="179" t="str">
        <f>INDEX(Mapping!$J:$J,MATCH($J55,Mapping!$B:$B,0))</f>
        <v>SDSL</v>
      </c>
      <c r="O55" s="179" t="str">
        <f>INDEX(Mapping!$K:$K,MATCH($J55,Mapping!$B:$B,0))</f>
        <v>7x24</v>
      </c>
      <c r="P55"/>
      <c r="Q55" s="179"/>
      <c r="R55" s="179" t="str">
        <f>INDEX(Mapping!$H:$H,MATCH($H55,Mapping!$B:$B,0))</f>
        <v>nvt</v>
      </c>
      <c r="S55" s="179" t="str">
        <f>INDEX(Mapping!$H:$H,MATCH($I55,Mapping!$B:$B,0))</f>
        <v>nvt</v>
      </c>
      <c r="T55" s="179" t="str">
        <f t="shared" si="108"/>
        <v>WBA CM EthernetSDSL7x24</v>
      </c>
      <c r="U55" s="274" t="str">
        <f t="shared" si="109"/>
        <v>WBA CM EthernetSDSL7x24</v>
      </c>
      <c r="W55" s="273">
        <f>MATCH($J55,'Tarieven ZM'!$B:$B,0)</f>
        <v>116</v>
      </c>
      <c r="X55" s="179">
        <f>INDEX('Tarieven ZM'!$H:$H,$W55)</f>
        <v>1000</v>
      </c>
      <c r="Y55" s="276">
        <f>-INDEX(Parameters!$B:$B,MATCH(Y$3,Parameters!$A:$A,0))*$X55</f>
        <v>0</v>
      </c>
      <c r="Z55" s="277">
        <f>-INDEX(Parameters!$B:$B,MATCH(Z$3,Parameters!$A:$A,0))*$X55</f>
        <v>0</v>
      </c>
      <c r="AA55" s="179">
        <f t="shared" si="110"/>
        <v>1000</v>
      </c>
      <c r="AB55" s="179">
        <f>AA55/INDEX(Parameters!$B:$B,MATCH("AfschrijftermijnVVE"&amp;12*$C55,Parameters!$A:$A,0))</f>
        <v>27.777777777777779</v>
      </c>
      <c r="AC55" s="179">
        <f>INDEX('Tarieven ZM'!$G:$G,$W55)</f>
        <v>1000</v>
      </c>
      <c r="AD55" s="276">
        <f>-INDEX(Parameters!$B:$B,MATCH(AD$3,Parameters!$A:$A,0))*$AC55</f>
        <v>0</v>
      </c>
      <c r="AE55" s="276">
        <f>-INDEX(Parameters!$B:$B,MATCH(AE$3,Parameters!$A:$A,0))*$AC55</f>
        <v>0</v>
      </c>
      <c r="AF55" s="179">
        <f t="shared" si="111"/>
        <v>1000</v>
      </c>
      <c r="AG55" s="278">
        <f t="shared" si="112"/>
        <v>1027.7777777777778</v>
      </c>
      <c r="AH55" s="209"/>
      <c r="AI55" s="279">
        <f>MATCH($T55,'Tarieven W&amp;O'!$B:$B,0)</f>
        <v>191</v>
      </c>
      <c r="AJ55" s="179">
        <f>IF(AI55&lt;&gt;"nvt",INDEX('Tarieven W&amp;O'!$H:$H,$AI55),0)</f>
        <v>0</v>
      </c>
      <c r="AK55" s="179">
        <f>IF(AI55&lt;&gt;"nvt",INDEX('Tarieven W&amp;O'!$I:$I,$AI55),0)</f>
        <v>0</v>
      </c>
      <c r="AL55" s="277">
        <f>IF(AI55&lt;&gt;"nvt",-INDEX(Parameters!$B:$B,MATCH(AL$3&amp;$M55,Parameters!$A:$A,0))*(AJ55+AK55),0)</f>
        <v>0</v>
      </c>
      <c r="AM55" s="277"/>
      <c r="AN55" s="179">
        <f t="shared" si="113"/>
        <v>0</v>
      </c>
      <c r="AO55" s="262">
        <f>AN55/INDEX(Parameters!$B:$B,MATCH("AfschrijftermijnVVE"&amp;12*$C55,Parameters!$A:$A,0))</f>
        <v>0</v>
      </c>
      <c r="AP55" s="179">
        <f>MATCH($U55,'Tarieven W&amp;O'!$B:$B,0)</f>
        <v>191</v>
      </c>
      <c r="AQ55" s="202">
        <f>IF(AP55&lt;&gt;"nvt",INDEX('Tarieven W&amp;O'!$G:$G,$AP55),0)</f>
        <v>15.11</v>
      </c>
      <c r="AR55" s="277">
        <f>-INDEX(Parameters!$B:$B,MATCH(AR$3&amp;M55&amp;$N55,Parameters!$A:$A,0))*(AQ55)</f>
        <v>-1.5110000000000001</v>
      </c>
      <c r="AS55" s="179"/>
      <c r="AT55" s="179"/>
      <c r="AU55" s="202">
        <f t="shared" si="114"/>
        <v>13.599</v>
      </c>
      <c r="AV55" s="202">
        <f t="shared" si="115"/>
        <v>13.599</v>
      </c>
      <c r="AW55" s="202"/>
      <c r="AX55" s="202">
        <f>Parameters!$B$6*AV55</f>
        <v>0.13599</v>
      </c>
      <c r="AY55" s="202">
        <v>0</v>
      </c>
      <c r="AZ55" s="202"/>
      <c r="BA55" s="202">
        <f t="shared" si="11"/>
        <v>0.13599</v>
      </c>
      <c r="BB55" s="202"/>
      <c r="BC55" s="278">
        <f t="shared" si="12"/>
        <v>13.73499</v>
      </c>
      <c r="BD55" s="209"/>
      <c r="BE55" s="280">
        <f t="shared" si="116"/>
        <v>1014.0427877777778</v>
      </c>
      <c r="BF55" s="264">
        <f t="shared" si="117"/>
        <v>0.98663622594594591</v>
      </c>
      <c r="BG55" s="274" t="b">
        <f t="shared" si="118"/>
        <v>0</v>
      </c>
      <c r="BI55" s="443" t="s">
        <v>538</v>
      </c>
      <c r="BJ55" s="281"/>
      <c r="BK55" s="203">
        <f>VLOOKUP(J55,'Tarieven ZM'!$B$7:$I$146,8,0)</f>
        <v>0</v>
      </c>
      <c r="BL55" s="203" t="str">
        <f t="shared" si="16"/>
        <v>SDSL7x24</v>
      </c>
      <c r="BM55" s="282">
        <v>0</v>
      </c>
      <c r="BN55" s="262">
        <f>BM55/INDEX(Parameters!$B:$B,MATCH("AfschrijftermijnVVE"&amp;12*$C55,Parameters!$A:$A,0))</f>
        <v>0</v>
      </c>
      <c r="BO55" s="262">
        <f>INDEX('inkoop ULL tbv Epacity'!I:I,MATCH($BL55,'inkoop ULL tbv Epacity'!H:H,0))</f>
        <v>2.39</v>
      </c>
      <c r="BP55" s="263">
        <f t="shared" si="17"/>
        <v>2.39</v>
      </c>
      <c r="BR55" s="262">
        <f>Parameters!$B$12*AG55</f>
        <v>102.77777777777779</v>
      </c>
      <c r="BS55" s="262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SUM(Distributievergoedingen!$F$12,Distributievergoedingen!$I$12,Distributievergoedingen!$L$12,Distributievergoedingen!$O$12)*AF55+SUM(Distributievergoedingen!$O$12*AA55+Distributievergoedingen!$R$12+Distributievergoedingen!$U$12+Distributievergoedingen!$X$12)/(MAX(36,12*L55))</f>
        <v>112.77777777777777</v>
      </c>
      <c r="BT55" s="262"/>
      <c r="BU55" s="202">
        <f t="shared" si="18"/>
        <v>215.55555555555554</v>
      </c>
      <c r="BW55" s="278">
        <f t="shared" si="19"/>
        <v>217.94555555555553</v>
      </c>
      <c r="BY55" s="280">
        <f t="shared" si="20"/>
        <v>809.8322222222223</v>
      </c>
      <c r="BZ55" s="264">
        <f t="shared" si="21"/>
        <v>0.78794486486486492</v>
      </c>
      <c r="CA55" s="274" t="b">
        <f t="shared" si="22"/>
        <v>0</v>
      </c>
    </row>
    <row r="56" spans="1:79" s="203" customFormat="1">
      <c r="A56" s="203" t="str">
        <f t="shared" si="119"/>
        <v>3SDSLPremium7x24</v>
      </c>
      <c r="B56" s="203" t="str">
        <f t="shared" si="106"/>
        <v>3SDSLPremium7x24</v>
      </c>
      <c r="C56" s="438">
        <v>3</v>
      </c>
      <c r="D56" s="438" t="s">
        <v>64</v>
      </c>
      <c r="E56" s="438" t="s">
        <v>70</v>
      </c>
      <c r="F56" s="438" t="s">
        <v>34</v>
      </c>
      <c r="G56" s="438" t="s">
        <v>115</v>
      </c>
      <c r="H56" s="438" t="s">
        <v>115</v>
      </c>
      <c r="I56" s="438" t="s">
        <v>115</v>
      </c>
      <c r="J56" s="274" t="str">
        <f t="shared" si="107"/>
        <v>SDSLPremium7x24</v>
      </c>
      <c r="L56" s="273">
        <f>INDEX(Mapping!$J:$J,MATCH(C$3&amp;C56,Mapping!$B:$B,0))</f>
        <v>1</v>
      </c>
      <c r="M56" s="179" t="str">
        <f>INDEX(Mapping!$H:$H,MATCH($E56,Mapping!$B:$B,0))</f>
        <v>WBA ZM Ethernet</v>
      </c>
      <c r="N56" s="179" t="str">
        <f>INDEX(Mapping!$J:$J,MATCH($J56,Mapping!$B:$B,0))</f>
        <v>SDSL</v>
      </c>
      <c r="O56" s="179" t="str">
        <f>INDEX(Mapping!$K:$K,MATCH($J56,Mapping!$B:$B,0))</f>
        <v>7x24</v>
      </c>
      <c r="P56"/>
      <c r="Q56" s="179"/>
      <c r="R56" s="179" t="str">
        <f>INDEX(Mapping!$H:$H,MATCH($H56,Mapping!$B:$B,0))</f>
        <v>nvt</v>
      </c>
      <c r="S56" s="179" t="str">
        <f>INDEX(Mapping!$H:$H,MATCH($I56,Mapping!$B:$B,0))</f>
        <v>nvt</v>
      </c>
      <c r="T56" s="179" t="str">
        <f t="shared" si="108"/>
        <v>WBA ZM EthernetSDSL7x24</v>
      </c>
      <c r="U56" s="274" t="str">
        <f t="shared" si="109"/>
        <v>WBA ZM EthernetSDSL7x24</v>
      </c>
      <c r="W56" s="273">
        <f>MATCH($J56,'Tarieven ZM'!$B:$B,0)</f>
        <v>117</v>
      </c>
      <c r="X56" s="179">
        <f>INDEX('Tarieven ZM'!$H:$H,$W56)</f>
        <v>1000</v>
      </c>
      <c r="Y56" s="276">
        <f>-INDEX(Parameters!$B:$B,MATCH(Y$3,Parameters!$A:$A,0))*$X56</f>
        <v>0</v>
      </c>
      <c r="Z56" s="277">
        <f>-INDEX(Parameters!$B:$B,MATCH(Z$3,Parameters!$A:$A,0))*$X56</f>
        <v>0</v>
      </c>
      <c r="AA56" s="179">
        <f t="shared" si="110"/>
        <v>1000</v>
      </c>
      <c r="AB56" s="179">
        <f>AA56/INDEX(Parameters!$B:$B,MATCH("AfschrijftermijnVVE"&amp;12*$C56,Parameters!$A:$A,0))</f>
        <v>27.777777777777779</v>
      </c>
      <c r="AC56" s="179">
        <f>INDEX('Tarieven ZM'!$G:$G,$W56)</f>
        <v>1000</v>
      </c>
      <c r="AD56" s="276">
        <f>-INDEX(Parameters!$B:$B,MATCH(AD$3,Parameters!$A:$A,0))*$AC56</f>
        <v>0</v>
      </c>
      <c r="AE56" s="276">
        <f>-INDEX(Parameters!$B:$B,MATCH(AE$3,Parameters!$A:$A,0))*$AC56</f>
        <v>0</v>
      </c>
      <c r="AF56" s="179">
        <f t="shared" si="111"/>
        <v>1000</v>
      </c>
      <c r="AG56" s="278">
        <f t="shared" si="112"/>
        <v>1027.7777777777778</v>
      </c>
      <c r="AH56" s="209"/>
      <c r="AI56" s="279">
        <f>MATCH($T56,'Tarieven W&amp;O'!$B:$B,0)</f>
        <v>201</v>
      </c>
      <c r="AJ56" s="179">
        <f>IF(AI56&lt;&gt;"nvt",INDEX('Tarieven W&amp;O'!$H:$H,$AI56),0)</f>
        <v>0</v>
      </c>
      <c r="AK56" s="179">
        <f>IF(AI56&lt;&gt;"nvt",INDEX('Tarieven W&amp;O'!$I:$I,$AI56),0)</f>
        <v>0</v>
      </c>
      <c r="AL56" s="277">
        <f>IF(AI56&lt;&gt;"nvt",-INDEX(Parameters!$B:$B,MATCH(AL$3&amp;$M56,Parameters!$A:$A,0))*(AJ56+AK56),0)</f>
        <v>0</v>
      </c>
      <c r="AM56" s="277"/>
      <c r="AN56" s="179">
        <f t="shared" si="113"/>
        <v>0</v>
      </c>
      <c r="AO56" s="262">
        <f>AN56/INDEX(Parameters!$B:$B,MATCH("AfschrijftermijnVVE"&amp;12*$C56,Parameters!$A:$A,0))</f>
        <v>0</v>
      </c>
      <c r="AP56" s="179">
        <f>MATCH($U56,'Tarieven W&amp;O'!$B:$B,0)</f>
        <v>201</v>
      </c>
      <c r="AQ56" s="202">
        <f>IF(AP56&lt;&gt;"nvt",INDEX('Tarieven W&amp;O'!$G:$G,$AP56),0)</f>
        <v>8.1199999999999992</v>
      </c>
      <c r="AR56" s="277">
        <f>-INDEX(Parameters!$B:$B,MATCH(AR$3&amp;M56&amp;$N56,Parameters!$A:$A,0))*(AQ56)</f>
        <v>0</v>
      </c>
      <c r="AS56" s="179"/>
      <c r="AT56" s="179"/>
      <c r="AU56" s="202">
        <f t="shared" si="114"/>
        <v>8.1199999999999992</v>
      </c>
      <c r="AV56" s="202">
        <f t="shared" si="115"/>
        <v>8.1199999999999992</v>
      </c>
      <c r="AW56" s="202"/>
      <c r="AX56" s="202">
        <f>Parameters!$B$6*AV56</f>
        <v>8.1199999999999994E-2</v>
      </c>
      <c r="AY56" s="202">
        <v>0</v>
      </c>
      <c r="AZ56" s="202"/>
      <c r="BA56" s="202">
        <f t="shared" si="11"/>
        <v>8.1199999999999994E-2</v>
      </c>
      <c r="BB56" s="202"/>
      <c r="BC56" s="278">
        <f t="shared" si="12"/>
        <v>8.2012</v>
      </c>
      <c r="BD56" s="209"/>
      <c r="BE56" s="280">
        <f t="shared" si="116"/>
        <v>1019.5765777777779</v>
      </c>
      <c r="BF56" s="264">
        <f t="shared" si="117"/>
        <v>0.99202045405405403</v>
      </c>
      <c r="BG56" s="274" t="b">
        <f t="shared" si="118"/>
        <v>0</v>
      </c>
      <c r="BI56" s="443" t="s">
        <v>538</v>
      </c>
      <c r="BJ56" s="281"/>
      <c r="BK56" s="203">
        <f>VLOOKUP(J56,'Tarieven ZM'!$B$7:$I$146,8,0)</f>
        <v>0</v>
      </c>
      <c r="BL56" s="203" t="str">
        <f t="shared" si="16"/>
        <v>SDSL7x24</v>
      </c>
      <c r="BM56" s="282">
        <v>0</v>
      </c>
      <c r="BN56" s="262">
        <f>BM56/INDEX(Parameters!$B:$B,MATCH("AfschrijftermijnVVE"&amp;12*$C56,Parameters!$A:$A,0))</f>
        <v>0</v>
      </c>
      <c r="BO56" s="262">
        <f>INDEX('inkoop ULL tbv Epacity'!I:I,MATCH($BL56,'inkoop ULL tbv Epacity'!H:H,0))</f>
        <v>2.39</v>
      </c>
      <c r="BP56" s="263">
        <f t="shared" si="17"/>
        <v>2.39</v>
      </c>
      <c r="BR56" s="262">
        <f>Parameters!$B$12*AG56</f>
        <v>102.77777777777779</v>
      </c>
      <c r="BS56" s="262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SUM(Distributievergoedingen!$F$12,Distributievergoedingen!$I$12,Distributievergoedingen!$L$12,Distributievergoedingen!$O$12)*AF56+SUM(Distributievergoedingen!$O$12*AA56+Distributievergoedingen!$R$12+Distributievergoedingen!$U$12+Distributievergoedingen!$X$12)/(MAX(36,12*L56))</f>
        <v>112.77777777777777</v>
      </c>
      <c r="BT56" s="262"/>
      <c r="BU56" s="202">
        <f t="shared" si="18"/>
        <v>215.55555555555554</v>
      </c>
      <c r="BW56" s="278">
        <f t="shared" si="19"/>
        <v>217.94555555555553</v>
      </c>
      <c r="BY56" s="280">
        <f t="shared" si="20"/>
        <v>809.8322222222223</v>
      </c>
      <c r="BZ56" s="264">
        <f t="shared" si="21"/>
        <v>0.78794486486486492</v>
      </c>
      <c r="CA56" s="274" t="b">
        <f t="shared" si="22"/>
        <v>0</v>
      </c>
    </row>
    <row r="57" spans="1:79" s="203" customFormat="1">
      <c r="A57" s="203" t="str">
        <f t="shared" si="119"/>
        <v>3VDSLEntry7x24</v>
      </c>
      <c r="B57" s="203" t="str">
        <f t="shared" si="106"/>
        <v>3VDSLEntry7x24</v>
      </c>
      <c r="C57" s="438">
        <v>3</v>
      </c>
      <c r="D57" s="438" t="s">
        <v>77</v>
      </c>
      <c r="E57" s="438" t="s">
        <v>78</v>
      </c>
      <c r="F57" s="438" t="s">
        <v>34</v>
      </c>
      <c r="G57" s="438" t="s">
        <v>115</v>
      </c>
      <c r="H57" s="438" t="s">
        <v>115</v>
      </c>
      <c r="I57" s="438" t="s">
        <v>115</v>
      </c>
      <c r="J57" s="274" t="str">
        <f t="shared" si="107"/>
        <v>VDSLEntry7x24</v>
      </c>
      <c r="L57" s="273">
        <f>INDEX(Mapping!$J:$J,MATCH(C$3&amp;C57,Mapping!$B:$B,0))</f>
        <v>1</v>
      </c>
      <c r="M57" s="179" t="str">
        <f>INDEX(Mapping!$H:$H,MATCH($E57,Mapping!$B:$B,0))</f>
        <v>WBA CM Ethernet</v>
      </c>
      <c r="N57" s="179" t="str">
        <f>INDEX(Mapping!$J:$J,MATCH($J57,Mapping!$B:$B,0))</f>
        <v>VDSL</v>
      </c>
      <c r="O57" s="179" t="str">
        <f>INDEX(Mapping!$K:$K,MATCH($J57,Mapping!$B:$B,0))</f>
        <v>7x24</v>
      </c>
      <c r="P57"/>
      <c r="Q57" s="179"/>
      <c r="R57" s="179" t="str">
        <f>INDEX(Mapping!$H:$H,MATCH($H57,Mapping!$B:$B,0))</f>
        <v>nvt</v>
      </c>
      <c r="S57" s="179" t="str">
        <f>INDEX(Mapping!$H:$H,MATCH($I57,Mapping!$B:$B,0))</f>
        <v>nvt</v>
      </c>
      <c r="T57" s="179" t="str">
        <f t="shared" si="108"/>
        <v>WBA CM EthernetVDSL7x24</v>
      </c>
      <c r="U57" s="274" t="str">
        <f t="shared" si="109"/>
        <v>WBA CM EthernetVDSL7x24</v>
      </c>
      <c r="W57" s="273">
        <f>MATCH($J57,'Tarieven ZM'!$B:$B,0)</f>
        <v>118</v>
      </c>
      <c r="X57" s="179">
        <f>INDEX('Tarieven ZM'!$H:$H,$W57)</f>
        <v>1000</v>
      </c>
      <c r="Y57" s="276">
        <f>-INDEX(Parameters!$B:$B,MATCH(Y$3,Parameters!$A:$A,0))*$X57</f>
        <v>0</v>
      </c>
      <c r="Z57" s="277">
        <f>-INDEX(Parameters!$B:$B,MATCH(Z$3,Parameters!$A:$A,0))*$X57</f>
        <v>0</v>
      </c>
      <c r="AA57" s="179">
        <f t="shared" si="110"/>
        <v>1000</v>
      </c>
      <c r="AB57" s="179">
        <f>AA57/INDEX(Parameters!$B:$B,MATCH("AfschrijftermijnVVE"&amp;12*$C57,Parameters!$A:$A,0))</f>
        <v>27.777777777777779</v>
      </c>
      <c r="AC57" s="179">
        <f>INDEX('Tarieven ZM'!$G:$G,$W57)</f>
        <v>1000</v>
      </c>
      <c r="AD57" s="276">
        <f>-INDEX(Parameters!$B:$B,MATCH(AD$3,Parameters!$A:$A,0))*$AC57</f>
        <v>0</v>
      </c>
      <c r="AE57" s="276">
        <f>-INDEX(Parameters!$B:$B,MATCH(AE$3,Parameters!$A:$A,0))*$AC57</f>
        <v>0</v>
      </c>
      <c r="AF57" s="179">
        <f t="shared" si="111"/>
        <v>1000</v>
      </c>
      <c r="AG57" s="278">
        <f t="shared" si="112"/>
        <v>1027.7777777777778</v>
      </c>
      <c r="AH57" s="209"/>
      <c r="AI57" s="279">
        <f>MATCH($T57,'Tarieven W&amp;O'!$B:$B,0)</f>
        <v>190</v>
      </c>
      <c r="AJ57" s="179">
        <f>IF(AI57&lt;&gt;"nvt",INDEX('Tarieven W&amp;O'!$H:$H,$AI57),0)</f>
        <v>0</v>
      </c>
      <c r="AK57" s="179">
        <f>IF(AI57&lt;&gt;"nvt",INDEX('Tarieven W&amp;O'!$I:$I,$AI57),0)</f>
        <v>0</v>
      </c>
      <c r="AL57" s="277">
        <f>IF(AI57&lt;&gt;"nvt",-INDEX(Parameters!$B:$B,MATCH(AL$3&amp;$M57,Parameters!$A:$A,0))*(AJ57+AK57),0)</f>
        <v>0</v>
      </c>
      <c r="AM57" s="277"/>
      <c r="AN57" s="179">
        <f t="shared" si="113"/>
        <v>0</v>
      </c>
      <c r="AO57" s="262">
        <f>AN57/INDEX(Parameters!$B:$B,MATCH("AfschrijftermijnVVE"&amp;12*$C57,Parameters!$A:$A,0))</f>
        <v>0</v>
      </c>
      <c r="AP57" s="179">
        <f>MATCH($U57,'Tarieven W&amp;O'!$B:$B,0)</f>
        <v>190</v>
      </c>
      <c r="AQ57" s="202">
        <f>IF(AP57&lt;&gt;"nvt",INDEX('Tarieven W&amp;O'!$G:$G,$AP57),0)</f>
        <v>15.11</v>
      </c>
      <c r="AR57" s="277">
        <f>-INDEX(Parameters!$B:$B,MATCH(AR$3&amp;M57&amp;$N57,Parameters!$A:$A,0))*(AQ57)</f>
        <v>-1.5110000000000001</v>
      </c>
      <c r="AS57" s="179"/>
      <c r="AT57" s="179"/>
      <c r="AU57" s="202">
        <f t="shared" si="114"/>
        <v>13.599</v>
      </c>
      <c r="AV57" s="202">
        <f t="shared" si="115"/>
        <v>13.599</v>
      </c>
      <c r="AW57" s="202"/>
      <c r="AX57" s="202">
        <f>Parameters!$B$6*AV57</f>
        <v>0.13599</v>
      </c>
      <c r="AY57" s="202">
        <v>0</v>
      </c>
      <c r="AZ57" s="202"/>
      <c r="BA57" s="202">
        <f t="shared" si="11"/>
        <v>0.13599</v>
      </c>
      <c r="BB57" s="202"/>
      <c r="BC57" s="278">
        <f t="shared" si="12"/>
        <v>13.73499</v>
      </c>
      <c r="BD57" s="209"/>
      <c r="BE57" s="280">
        <f t="shared" si="116"/>
        <v>1014.0427877777778</v>
      </c>
      <c r="BF57" s="264">
        <f t="shared" si="117"/>
        <v>0.98663622594594591</v>
      </c>
      <c r="BG57" s="274" t="b">
        <f t="shared" si="118"/>
        <v>0</v>
      </c>
      <c r="BI57" s="443" t="s">
        <v>538</v>
      </c>
      <c r="BJ57" s="281"/>
      <c r="BK57" s="203">
        <f>VLOOKUP(J57,'Tarieven ZM'!$B$7:$I$146,8,0)</f>
        <v>0</v>
      </c>
      <c r="BL57" s="203" t="str">
        <f t="shared" si="16"/>
        <v>VDSL7x24</v>
      </c>
      <c r="BM57" s="282">
        <v>0</v>
      </c>
      <c r="BN57" s="262">
        <f>BM57/INDEX(Parameters!$B:$B,MATCH("AfschrijftermijnVVE"&amp;12*$C57,Parameters!$A:$A,0))</f>
        <v>0</v>
      </c>
      <c r="BO57" s="262">
        <f>INDEX('inkoop ULL tbv Epacity'!I:I,MATCH($BL57,'inkoop ULL tbv Epacity'!H:H,0))</f>
        <v>8.1300000000000008</v>
      </c>
      <c r="BP57" s="263">
        <f t="shared" si="17"/>
        <v>8.1300000000000008</v>
      </c>
      <c r="BR57" s="262">
        <f>Parameters!$B$12*AG57</f>
        <v>102.77777777777779</v>
      </c>
      <c r="BS57" s="262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SUM(Distributievergoedingen!$F$12,Distributievergoedingen!$I$12,Distributievergoedingen!$L$12,Distributievergoedingen!$O$12)*AF57+SUM(Distributievergoedingen!$O$12*AA57+Distributievergoedingen!$R$12+Distributievergoedingen!$U$12+Distributievergoedingen!$X$12)/(MAX(36,12*L57))</f>
        <v>112.77777777777777</v>
      </c>
      <c r="BT57" s="262"/>
      <c r="BU57" s="202">
        <f t="shared" si="18"/>
        <v>215.55555555555554</v>
      </c>
      <c r="BW57" s="278">
        <f t="shared" si="19"/>
        <v>223.68555555555554</v>
      </c>
      <c r="BY57" s="280">
        <f t="shared" si="20"/>
        <v>804.09222222222229</v>
      </c>
      <c r="BZ57" s="264">
        <f t="shared" si="21"/>
        <v>0.78236000000000006</v>
      </c>
      <c r="CA57" s="274" t="b">
        <f t="shared" si="22"/>
        <v>0</v>
      </c>
    </row>
    <row r="58" spans="1:79" s="203" customFormat="1">
      <c r="A58" s="203" t="str">
        <f t="shared" si="119"/>
        <v>3VDSLPremium7x24</v>
      </c>
      <c r="B58" s="203" t="str">
        <f t="shared" si="106"/>
        <v>3VDSLPremium7x24</v>
      </c>
      <c r="C58" s="438">
        <v>3</v>
      </c>
      <c r="D58" s="438" t="s">
        <v>77</v>
      </c>
      <c r="E58" s="438" t="s">
        <v>70</v>
      </c>
      <c r="F58" s="438" t="s">
        <v>34</v>
      </c>
      <c r="G58" s="438" t="s">
        <v>115</v>
      </c>
      <c r="H58" s="438" t="s">
        <v>115</v>
      </c>
      <c r="I58" s="438" t="s">
        <v>115</v>
      </c>
      <c r="J58" s="274" t="str">
        <f t="shared" si="107"/>
        <v>VDSLPremium7x24</v>
      </c>
      <c r="L58" s="273">
        <f>INDEX(Mapping!$J:$J,MATCH(C$3&amp;C58,Mapping!$B:$B,0))</f>
        <v>1</v>
      </c>
      <c r="M58" s="179" t="str">
        <f>INDEX(Mapping!$H:$H,MATCH($E58,Mapping!$B:$B,0))</f>
        <v>WBA ZM Ethernet</v>
      </c>
      <c r="N58" s="179" t="str">
        <f>INDEX(Mapping!$J:$J,MATCH($J58,Mapping!$B:$B,0))</f>
        <v>VDSL</v>
      </c>
      <c r="O58" s="179" t="str">
        <f>INDEX(Mapping!$K:$K,MATCH($J58,Mapping!$B:$B,0))</f>
        <v>7x24</v>
      </c>
      <c r="P58"/>
      <c r="Q58" s="179"/>
      <c r="R58" s="179" t="str">
        <f>INDEX(Mapping!$H:$H,MATCH($H58,Mapping!$B:$B,0))</f>
        <v>nvt</v>
      </c>
      <c r="S58" s="179" t="str">
        <f>INDEX(Mapping!$H:$H,MATCH($I58,Mapping!$B:$B,0))</f>
        <v>nvt</v>
      </c>
      <c r="T58" s="179" t="str">
        <f t="shared" si="108"/>
        <v>WBA ZM EthernetVDSL7x24</v>
      </c>
      <c r="U58" s="274" t="str">
        <f t="shared" si="109"/>
        <v>WBA ZM EthernetVDSL7x24</v>
      </c>
      <c r="W58" s="273">
        <f>MATCH($J58,'Tarieven ZM'!$B:$B,0)</f>
        <v>119</v>
      </c>
      <c r="X58" s="179">
        <f>INDEX('Tarieven ZM'!$H:$H,$W58)</f>
        <v>1000</v>
      </c>
      <c r="Y58" s="276">
        <f>-INDEX(Parameters!$B:$B,MATCH(Y$3,Parameters!$A:$A,0))*$X58</f>
        <v>0</v>
      </c>
      <c r="Z58" s="277">
        <f>-INDEX(Parameters!$B:$B,MATCH(Z$3,Parameters!$A:$A,0))*$X58</f>
        <v>0</v>
      </c>
      <c r="AA58" s="179">
        <f t="shared" si="110"/>
        <v>1000</v>
      </c>
      <c r="AB58" s="179">
        <f>AA58/INDEX(Parameters!$B:$B,MATCH("AfschrijftermijnVVE"&amp;12*$C58,Parameters!$A:$A,0))</f>
        <v>27.777777777777779</v>
      </c>
      <c r="AC58" s="179">
        <f>INDEX('Tarieven ZM'!$G:$G,$W58)</f>
        <v>1000</v>
      </c>
      <c r="AD58" s="276">
        <f>-INDEX(Parameters!$B:$B,MATCH(AD$3,Parameters!$A:$A,0))*$AC58</f>
        <v>0</v>
      </c>
      <c r="AE58" s="276">
        <f>-INDEX(Parameters!$B:$B,MATCH(AE$3,Parameters!$A:$A,0))*$AC58</f>
        <v>0</v>
      </c>
      <c r="AF58" s="179">
        <f t="shared" si="111"/>
        <v>1000</v>
      </c>
      <c r="AG58" s="278">
        <f t="shared" si="112"/>
        <v>1027.7777777777778</v>
      </c>
      <c r="AH58" s="209"/>
      <c r="AI58" s="279">
        <f>MATCH($T58,'Tarieven W&amp;O'!$B:$B,0)</f>
        <v>200</v>
      </c>
      <c r="AJ58" s="179">
        <f>IF(AI58&lt;&gt;"nvt",INDEX('Tarieven W&amp;O'!$H:$H,$AI58),0)</f>
        <v>0</v>
      </c>
      <c r="AK58" s="179">
        <f>IF(AI58&lt;&gt;"nvt",INDEX('Tarieven W&amp;O'!$I:$I,$AI58),0)</f>
        <v>0</v>
      </c>
      <c r="AL58" s="277">
        <f>IF(AI58&lt;&gt;"nvt",-INDEX(Parameters!$B:$B,MATCH(AL$3&amp;$M58,Parameters!$A:$A,0))*(AJ58+AK58),0)</f>
        <v>0</v>
      </c>
      <c r="AM58" s="277"/>
      <c r="AN58" s="179">
        <f t="shared" si="113"/>
        <v>0</v>
      </c>
      <c r="AO58" s="262">
        <f>AN58/INDEX(Parameters!$B:$B,MATCH("AfschrijftermijnVVE"&amp;12*$C58,Parameters!$A:$A,0))</f>
        <v>0</v>
      </c>
      <c r="AP58" s="179">
        <f>MATCH($U58,'Tarieven W&amp;O'!$B:$B,0)</f>
        <v>200</v>
      </c>
      <c r="AQ58" s="202">
        <f>IF(AP58&lt;&gt;"nvt",INDEX('Tarieven W&amp;O'!$G:$G,$AP58),0)</f>
        <v>8.1199999999999992</v>
      </c>
      <c r="AR58" s="277">
        <f>-INDEX(Parameters!$B:$B,MATCH(AR$3&amp;M58&amp;$N58,Parameters!$A:$A,0))*(AQ58)</f>
        <v>0</v>
      </c>
      <c r="AS58" s="179"/>
      <c r="AT58" s="179"/>
      <c r="AU58" s="202">
        <f t="shared" si="114"/>
        <v>8.1199999999999992</v>
      </c>
      <c r="AV58" s="202">
        <f t="shared" si="115"/>
        <v>8.1199999999999992</v>
      </c>
      <c r="AW58" s="202"/>
      <c r="AX58" s="202">
        <f>Parameters!$B$6*AV58</f>
        <v>8.1199999999999994E-2</v>
      </c>
      <c r="AY58" s="202">
        <v>0</v>
      </c>
      <c r="AZ58" s="202"/>
      <c r="BA58" s="202">
        <f t="shared" si="11"/>
        <v>8.1199999999999994E-2</v>
      </c>
      <c r="BB58" s="202"/>
      <c r="BC58" s="278">
        <f t="shared" si="12"/>
        <v>8.2012</v>
      </c>
      <c r="BD58" s="209"/>
      <c r="BE58" s="280">
        <f t="shared" si="116"/>
        <v>1019.5765777777779</v>
      </c>
      <c r="BF58" s="264">
        <f t="shared" si="117"/>
        <v>0.99202045405405403</v>
      </c>
      <c r="BG58" s="274" t="b">
        <f t="shared" si="118"/>
        <v>0</v>
      </c>
      <c r="BI58" s="443" t="s">
        <v>538</v>
      </c>
      <c r="BJ58" s="281"/>
      <c r="BK58" s="203">
        <f>VLOOKUP(J58,'Tarieven ZM'!$B$7:$I$146,8,0)</f>
        <v>0</v>
      </c>
      <c r="BL58" s="203" t="str">
        <f t="shared" si="16"/>
        <v>VDSL7x24</v>
      </c>
      <c r="BM58" s="282">
        <v>0</v>
      </c>
      <c r="BN58" s="262">
        <f>BM58/INDEX(Parameters!$B:$B,MATCH("AfschrijftermijnVVE"&amp;12*$C58,Parameters!$A:$A,0))</f>
        <v>0</v>
      </c>
      <c r="BO58" s="262">
        <f>INDEX('inkoop ULL tbv Epacity'!I:I,MATCH($BL58,'inkoop ULL tbv Epacity'!H:H,0))</f>
        <v>8.1300000000000008</v>
      </c>
      <c r="BP58" s="263">
        <f t="shared" si="17"/>
        <v>8.1300000000000008</v>
      </c>
      <c r="BR58" s="262">
        <f>Parameters!$B$12*AG58</f>
        <v>102.77777777777779</v>
      </c>
      <c r="BS58" s="262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SUM(Distributievergoedingen!$F$12,Distributievergoedingen!$I$12,Distributievergoedingen!$L$12,Distributievergoedingen!$O$12)*AF58+SUM(Distributievergoedingen!$O$12*AA58+Distributievergoedingen!$R$12+Distributievergoedingen!$U$12+Distributievergoedingen!$X$12)/(MAX(36,12*L58))</f>
        <v>112.77777777777777</v>
      </c>
      <c r="BT58" s="262"/>
      <c r="BU58" s="202">
        <f t="shared" si="18"/>
        <v>215.55555555555554</v>
      </c>
      <c r="BW58" s="278">
        <f t="shared" si="19"/>
        <v>223.68555555555554</v>
      </c>
      <c r="BY58" s="280">
        <f t="shared" si="20"/>
        <v>804.09222222222229</v>
      </c>
      <c r="BZ58" s="264">
        <f t="shared" si="21"/>
        <v>0.78236000000000006</v>
      </c>
      <c r="CA58" s="274" t="b">
        <f t="shared" si="22"/>
        <v>0</v>
      </c>
    </row>
    <row r="59" spans="1:79" s="203" customFormat="1">
      <c r="A59" s="203" t="str">
        <f t="shared" si="119"/>
        <v>3VDSL BondingEntry7x24</v>
      </c>
      <c r="B59" s="203" t="str">
        <f t="shared" si="106"/>
        <v>3VDSL BondingEntry7x24</v>
      </c>
      <c r="C59" s="438">
        <v>3</v>
      </c>
      <c r="D59" s="438" t="s">
        <v>170</v>
      </c>
      <c r="E59" s="438" t="s">
        <v>78</v>
      </c>
      <c r="F59" s="438" t="s">
        <v>34</v>
      </c>
      <c r="G59" s="438" t="s">
        <v>115</v>
      </c>
      <c r="H59" s="438" t="s">
        <v>115</v>
      </c>
      <c r="I59" s="438" t="s">
        <v>115</v>
      </c>
      <c r="J59" s="274" t="str">
        <f t="shared" si="107"/>
        <v>VDSL BondingEntry7x24</v>
      </c>
      <c r="L59" s="273">
        <f>INDEX(Mapping!$J:$J,MATCH(C$3&amp;C59,Mapping!$B:$B,0))</f>
        <v>1</v>
      </c>
      <c r="M59" s="179" t="str">
        <f>INDEX(Mapping!$H:$H,MATCH($E59,Mapping!$B:$B,0))</f>
        <v>WBA CM Ethernet</v>
      </c>
      <c r="N59" s="179" t="str">
        <f>INDEX(Mapping!$J:$J,MATCH($J59,Mapping!$B:$B,0))</f>
        <v>VDSL</v>
      </c>
      <c r="O59" s="179" t="str">
        <f>INDEX(Mapping!$K:$K,MATCH($J59,Mapping!$B:$B,0))</f>
        <v>7x24</v>
      </c>
      <c r="P59"/>
      <c r="Q59" s="179"/>
      <c r="R59" s="179" t="str">
        <f>INDEX(Mapping!$H:$H,MATCH($H59,Mapping!$B:$B,0))</f>
        <v>nvt</v>
      </c>
      <c r="S59" s="179" t="str">
        <f>INDEX(Mapping!$H:$H,MATCH($I59,Mapping!$B:$B,0))</f>
        <v>nvt</v>
      </c>
      <c r="T59" s="179" t="str">
        <f t="shared" si="108"/>
        <v>WBA CM EthernetVDSL7x24</v>
      </c>
      <c r="U59" s="274" t="str">
        <f t="shared" si="109"/>
        <v>WBA CM EthernetVDSL7x24</v>
      </c>
      <c r="W59" s="273">
        <f>MATCH($J59,'Tarieven ZM'!$B:$B,0)</f>
        <v>120</v>
      </c>
      <c r="X59" s="179">
        <f>INDEX('Tarieven ZM'!$H:$H,$W59)</f>
        <v>1000</v>
      </c>
      <c r="Y59" s="276">
        <f>-INDEX(Parameters!$B:$B,MATCH(Y$3,Parameters!$A:$A,0))*$X59</f>
        <v>0</v>
      </c>
      <c r="Z59" s="277">
        <f>-INDEX(Parameters!$B:$B,MATCH(Z$3,Parameters!$A:$A,0))*$X59</f>
        <v>0</v>
      </c>
      <c r="AA59" s="179">
        <f t="shared" si="110"/>
        <v>1000</v>
      </c>
      <c r="AB59" s="179">
        <f>AA59/INDEX(Parameters!$B:$B,MATCH("AfschrijftermijnVVE"&amp;12*$C59,Parameters!$A:$A,0))</f>
        <v>27.777777777777779</v>
      </c>
      <c r="AC59" s="179">
        <f>INDEX('Tarieven ZM'!$G:$G,$W59)</f>
        <v>1000</v>
      </c>
      <c r="AD59" s="276">
        <f>-INDEX(Parameters!$B:$B,MATCH(AD$3,Parameters!$A:$A,0))*$AC59</f>
        <v>0</v>
      </c>
      <c r="AE59" s="276">
        <f>-INDEX(Parameters!$B:$B,MATCH(AE$3,Parameters!$A:$A,0))*$AC59</f>
        <v>0</v>
      </c>
      <c r="AF59" s="179">
        <f t="shared" si="111"/>
        <v>1000</v>
      </c>
      <c r="AG59" s="278">
        <f t="shared" si="112"/>
        <v>1027.7777777777778</v>
      </c>
      <c r="AH59" s="209"/>
      <c r="AI59" s="279">
        <f>MATCH($T59,'Tarieven W&amp;O'!$B:$B,0)</f>
        <v>190</v>
      </c>
      <c r="AJ59" s="179">
        <f>IF(AI59&lt;&gt;"nvt",INDEX('Tarieven W&amp;O'!$H:$H,$AI59),0)</f>
        <v>0</v>
      </c>
      <c r="AK59" s="179">
        <f>IF(AI59&lt;&gt;"nvt",INDEX('Tarieven W&amp;O'!$I:$I,$AI59),0)</f>
        <v>0</v>
      </c>
      <c r="AL59" s="277">
        <f>IF(AI59&lt;&gt;"nvt",-INDEX(Parameters!$B:$B,MATCH(AL$3&amp;$M59,Parameters!$A:$A,0))*(AJ59+AK59),0)</f>
        <v>0</v>
      </c>
      <c r="AM59" s="277"/>
      <c r="AN59" s="179">
        <f t="shared" si="113"/>
        <v>0</v>
      </c>
      <c r="AO59" s="262">
        <f>AN59/INDEX(Parameters!$B:$B,MATCH("AfschrijftermijnVVE"&amp;12*$C59,Parameters!$A:$A,0))</f>
        <v>0</v>
      </c>
      <c r="AP59" s="179">
        <f>MATCH($U59,'Tarieven W&amp;O'!$B:$B,0)</f>
        <v>190</v>
      </c>
      <c r="AQ59" s="202">
        <f>IF(AP59&lt;&gt;"nvt",INDEX('Tarieven W&amp;O'!$G:$G,$AP59),0)</f>
        <v>15.11</v>
      </c>
      <c r="AR59" s="277">
        <f>-INDEX(Parameters!$B:$B,MATCH(AR$3&amp;M59&amp;$N59,Parameters!$A:$A,0))*(AQ59)</f>
        <v>-1.5110000000000001</v>
      </c>
      <c r="AS59" s="179"/>
      <c r="AT59" s="179"/>
      <c r="AU59" s="202">
        <f t="shared" si="114"/>
        <v>13.599</v>
      </c>
      <c r="AV59" s="202">
        <f t="shared" si="115"/>
        <v>13.599</v>
      </c>
      <c r="AW59" s="202"/>
      <c r="AX59" s="202">
        <f>Parameters!$B$6*AV59</f>
        <v>0.13599</v>
      </c>
      <c r="AY59" s="202">
        <v>0</v>
      </c>
      <c r="AZ59" s="202"/>
      <c r="BA59" s="202">
        <f t="shared" ref="BA59:BA72" si="120">SUM(AX59:AZ59)</f>
        <v>0.13599</v>
      </c>
      <c r="BB59" s="202"/>
      <c r="BC59" s="278">
        <f t="shared" ref="BC59:BC72" si="121">SUM(AV59,BA59)</f>
        <v>13.73499</v>
      </c>
      <c r="BD59" s="209"/>
      <c r="BE59" s="280">
        <f t="shared" si="116"/>
        <v>1014.0427877777778</v>
      </c>
      <c r="BF59" s="264">
        <f t="shared" si="117"/>
        <v>0.98663622594594591</v>
      </c>
      <c r="BG59" s="274" t="b">
        <f t="shared" si="118"/>
        <v>0</v>
      </c>
      <c r="BI59" s="443" t="s">
        <v>538</v>
      </c>
      <c r="BJ59" s="281"/>
      <c r="BK59" s="203">
        <f>VLOOKUP(J59,'Tarieven ZM'!$B$7:$I$146,8,0)</f>
        <v>0</v>
      </c>
      <c r="BL59" s="203" t="str">
        <f t="shared" si="16"/>
        <v>VDSL7x24</v>
      </c>
      <c r="BM59" s="282">
        <v>0</v>
      </c>
      <c r="BN59" s="262">
        <f>BM59/INDEX(Parameters!$B:$B,MATCH("AfschrijftermijnVVE"&amp;12*$C59,Parameters!$A:$A,0))</f>
        <v>0</v>
      </c>
      <c r="BO59" s="262">
        <f>INDEX('inkoop ULL tbv Epacity'!I:I,MATCH($BL59,'inkoop ULL tbv Epacity'!H:H,0))</f>
        <v>8.1300000000000008</v>
      </c>
      <c r="BP59" s="263">
        <f t="shared" ref="BP59:BP72" si="122">BN59+BO59</f>
        <v>8.1300000000000008</v>
      </c>
      <c r="BR59" s="262">
        <f>Parameters!$B$12*AG59</f>
        <v>102.77777777777779</v>
      </c>
      <c r="BS59" s="262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SUM(Distributievergoedingen!$F$12,Distributievergoedingen!$I$12,Distributievergoedingen!$L$12,Distributievergoedingen!$O$12)*AF59+SUM(Distributievergoedingen!$O$12*AA59+Distributievergoedingen!$R$12+Distributievergoedingen!$U$12+Distributievergoedingen!$X$12)/(MAX(36,12*L59))</f>
        <v>112.77777777777777</v>
      </c>
      <c r="BT59" s="262"/>
      <c r="BU59" s="202">
        <f t="shared" ref="BU59:BU72" si="123">SUM(BR59:BT59)</f>
        <v>215.55555555555554</v>
      </c>
      <c r="BW59" s="278">
        <f t="shared" ref="BW59:BW72" si="124">SUM(BP59,BU59)</f>
        <v>223.68555555555554</v>
      </c>
      <c r="BY59" s="280">
        <f t="shared" ref="BY59:BY72" si="125">AG59-BW59</f>
        <v>804.09222222222229</v>
      </c>
      <c r="BZ59" s="264">
        <f t="shared" ref="BZ59:BZ72" si="126">IF(AG59=0,-999%,BY59/AG59)</f>
        <v>0.78236000000000006</v>
      </c>
      <c r="CA59" s="274" t="b">
        <f t="shared" ref="CA59:CA72" si="127">BZ59&lt;0</f>
        <v>0</v>
      </c>
    </row>
    <row r="60" spans="1:79" s="203" customFormat="1">
      <c r="A60" s="203" t="str">
        <f t="shared" si="119"/>
        <v>3VDSL BondingPremium7x24</v>
      </c>
      <c r="B60" s="203" t="str">
        <f t="shared" si="106"/>
        <v>3VDSL BondingPremium7x24</v>
      </c>
      <c r="C60" s="438">
        <v>3</v>
      </c>
      <c r="D60" s="438" t="s">
        <v>170</v>
      </c>
      <c r="E60" s="438" t="s">
        <v>70</v>
      </c>
      <c r="F60" s="438" t="s">
        <v>34</v>
      </c>
      <c r="G60" s="438" t="s">
        <v>115</v>
      </c>
      <c r="H60" s="438" t="s">
        <v>115</v>
      </c>
      <c r="I60" s="438" t="s">
        <v>115</v>
      </c>
      <c r="J60" s="274" t="str">
        <f t="shared" si="107"/>
        <v>VDSL BondingPremium7x24</v>
      </c>
      <c r="L60" s="273">
        <f>INDEX(Mapping!$J:$J,MATCH(C$3&amp;C60,Mapping!$B:$B,0))</f>
        <v>1</v>
      </c>
      <c r="M60" s="179" t="str">
        <f>INDEX(Mapping!$H:$H,MATCH($E60,Mapping!$B:$B,0))</f>
        <v>WBA ZM Ethernet</v>
      </c>
      <c r="N60" s="179" t="str">
        <f>INDEX(Mapping!$J:$J,MATCH($J60,Mapping!$B:$B,0))</f>
        <v>VDSL</v>
      </c>
      <c r="O60" s="179" t="str">
        <f>INDEX(Mapping!$K:$K,MATCH($J60,Mapping!$B:$B,0))</f>
        <v>7x24</v>
      </c>
      <c r="P60"/>
      <c r="Q60" s="179"/>
      <c r="R60" s="179" t="str">
        <f>INDEX(Mapping!$H:$H,MATCH($H60,Mapping!$B:$B,0))</f>
        <v>nvt</v>
      </c>
      <c r="S60" s="179" t="str">
        <f>INDEX(Mapping!$H:$H,MATCH($I60,Mapping!$B:$B,0))</f>
        <v>nvt</v>
      </c>
      <c r="T60" s="179" t="str">
        <f t="shared" si="108"/>
        <v>WBA ZM EthernetVDSL7x24</v>
      </c>
      <c r="U60" s="274" t="str">
        <f t="shared" si="109"/>
        <v>WBA ZM EthernetVDSL7x24</v>
      </c>
      <c r="W60" s="273">
        <f>MATCH($J60,'Tarieven ZM'!$B:$B,0)</f>
        <v>121</v>
      </c>
      <c r="X60" s="179">
        <f>INDEX('Tarieven ZM'!$H:$H,$W60)</f>
        <v>1000</v>
      </c>
      <c r="Y60" s="276">
        <f>-INDEX(Parameters!$B:$B,MATCH(Y$3,Parameters!$A:$A,0))*$X60</f>
        <v>0</v>
      </c>
      <c r="Z60" s="277">
        <f>-INDEX(Parameters!$B:$B,MATCH(Z$3,Parameters!$A:$A,0))*$X60</f>
        <v>0</v>
      </c>
      <c r="AA60" s="179">
        <f t="shared" si="110"/>
        <v>1000</v>
      </c>
      <c r="AB60" s="179">
        <f>AA60/INDEX(Parameters!$B:$B,MATCH("AfschrijftermijnVVE"&amp;12*$C60,Parameters!$A:$A,0))</f>
        <v>27.777777777777779</v>
      </c>
      <c r="AC60" s="179">
        <f>INDEX('Tarieven ZM'!$G:$G,$W60)</f>
        <v>1000</v>
      </c>
      <c r="AD60" s="276">
        <f>-INDEX(Parameters!$B:$B,MATCH(AD$3,Parameters!$A:$A,0))*$AC60</f>
        <v>0</v>
      </c>
      <c r="AE60" s="276">
        <f>-INDEX(Parameters!$B:$B,MATCH(AE$3,Parameters!$A:$A,0))*$AC60</f>
        <v>0</v>
      </c>
      <c r="AF60" s="179">
        <f t="shared" si="111"/>
        <v>1000</v>
      </c>
      <c r="AG60" s="278">
        <f t="shared" si="112"/>
        <v>1027.7777777777778</v>
      </c>
      <c r="AH60" s="209"/>
      <c r="AI60" s="279">
        <f>MATCH($T60,'Tarieven W&amp;O'!$B:$B,0)</f>
        <v>200</v>
      </c>
      <c r="AJ60" s="179">
        <f>IF(AI60&lt;&gt;"nvt",INDEX('Tarieven W&amp;O'!$H:$H,$AI60),0)</f>
        <v>0</v>
      </c>
      <c r="AK60" s="179">
        <f>IF(AI60&lt;&gt;"nvt",INDEX('Tarieven W&amp;O'!$I:$I,$AI60),0)</f>
        <v>0</v>
      </c>
      <c r="AL60" s="277">
        <f>IF(AI60&lt;&gt;"nvt",-INDEX(Parameters!$B:$B,MATCH(AL$3&amp;$M60,Parameters!$A:$A,0))*(AJ60+AK60),0)</f>
        <v>0</v>
      </c>
      <c r="AM60" s="277"/>
      <c r="AN60" s="179">
        <f t="shared" si="113"/>
        <v>0</v>
      </c>
      <c r="AO60" s="262">
        <f>AN60/INDEX(Parameters!$B:$B,MATCH("AfschrijftermijnVVE"&amp;12*$C60,Parameters!$A:$A,0))</f>
        <v>0</v>
      </c>
      <c r="AP60" s="179">
        <f>MATCH($U60,'Tarieven W&amp;O'!$B:$B,0)</f>
        <v>200</v>
      </c>
      <c r="AQ60" s="202">
        <f>IF(AP60&lt;&gt;"nvt",INDEX('Tarieven W&amp;O'!$G:$G,$AP60),0)</f>
        <v>8.1199999999999992</v>
      </c>
      <c r="AR60" s="277">
        <f>-INDEX(Parameters!$B:$B,MATCH(AR$3&amp;M60&amp;$N60,Parameters!$A:$A,0))*(AQ60)</f>
        <v>0</v>
      </c>
      <c r="AS60" s="179"/>
      <c r="AT60" s="179"/>
      <c r="AU60" s="202">
        <f t="shared" si="114"/>
        <v>8.1199999999999992</v>
      </c>
      <c r="AV60" s="202">
        <f t="shared" si="115"/>
        <v>8.1199999999999992</v>
      </c>
      <c r="AW60" s="202"/>
      <c r="AX60" s="202">
        <f>Parameters!$B$6*AV60</f>
        <v>8.1199999999999994E-2</v>
      </c>
      <c r="AY60" s="202">
        <v>0</v>
      </c>
      <c r="AZ60" s="202"/>
      <c r="BA60" s="202">
        <f t="shared" si="120"/>
        <v>8.1199999999999994E-2</v>
      </c>
      <c r="BB60" s="202"/>
      <c r="BC60" s="278">
        <f t="shared" si="121"/>
        <v>8.2012</v>
      </c>
      <c r="BD60" s="209"/>
      <c r="BE60" s="280">
        <f t="shared" si="116"/>
        <v>1019.5765777777779</v>
      </c>
      <c r="BF60" s="264">
        <f t="shared" si="117"/>
        <v>0.99202045405405403</v>
      </c>
      <c r="BG60" s="274" t="b">
        <f t="shared" si="118"/>
        <v>0</v>
      </c>
      <c r="BI60" s="443" t="s">
        <v>538</v>
      </c>
      <c r="BJ60" s="281"/>
      <c r="BK60" s="203">
        <f>VLOOKUP(J60,'Tarieven ZM'!$B$7:$I$146,8,0)</f>
        <v>0</v>
      </c>
      <c r="BL60" s="203" t="str">
        <f t="shared" si="16"/>
        <v>VDSL7x24</v>
      </c>
      <c r="BM60" s="282">
        <v>0</v>
      </c>
      <c r="BN60" s="262">
        <f>BM60/INDEX(Parameters!$B:$B,MATCH("AfschrijftermijnVVE"&amp;12*$C60,Parameters!$A:$A,0))</f>
        <v>0</v>
      </c>
      <c r="BO60" s="262">
        <f>INDEX('inkoop ULL tbv Epacity'!I:I,MATCH($BL60,'inkoop ULL tbv Epacity'!H:H,0))</f>
        <v>8.1300000000000008</v>
      </c>
      <c r="BP60" s="263">
        <f t="shared" si="122"/>
        <v>8.1300000000000008</v>
      </c>
      <c r="BR60" s="262">
        <f>Parameters!$B$12*AG60</f>
        <v>102.77777777777779</v>
      </c>
      <c r="BS60" s="262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SUM(Distributievergoedingen!$F$12,Distributievergoedingen!$I$12,Distributievergoedingen!$L$12,Distributievergoedingen!$O$12)*AF60+SUM(Distributievergoedingen!$O$12*AA60+Distributievergoedingen!$R$12+Distributievergoedingen!$U$12+Distributievergoedingen!$X$12)/(MAX(36,12*L60))</f>
        <v>112.77777777777777</v>
      </c>
      <c r="BT60" s="262"/>
      <c r="BU60" s="202">
        <f t="shared" si="123"/>
        <v>215.55555555555554</v>
      </c>
      <c r="BW60" s="278">
        <f t="shared" si="124"/>
        <v>223.68555555555554</v>
      </c>
      <c r="BY60" s="280">
        <f t="shared" si="125"/>
        <v>804.09222222222229</v>
      </c>
      <c r="BZ60" s="264">
        <f t="shared" si="126"/>
        <v>0.78236000000000006</v>
      </c>
      <c r="CA60" s="274" t="b">
        <f t="shared" si="127"/>
        <v>0</v>
      </c>
    </row>
    <row r="61" spans="1:79" s="203" customFormat="1">
      <c r="A61" s="203" t="str">
        <f t="shared" si="119"/>
        <v>3ADSLEntrykantooruren</v>
      </c>
      <c r="B61" s="203" t="str">
        <f t="shared" si="106"/>
        <v>3ADSLEntrykantooruren</v>
      </c>
      <c r="C61" s="438">
        <v>3</v>
      </c>
      <c r="D61" s="438" t="s">
        <v>42</v>
      </c>
      <c r="E61" s="438" t="s">
        <v>78</v>
      </c>
      <c r="F61" s="438" t="s">
        <v>1250</v>
      </c>
      <c r="G61" s="438" t="s">
        <v>115</v>
      </c>
      <c r="H61" s="438" t="s">
        <v>115</v>
      </c>
      <c r="I61" s="438" t="s">
        <v>115</v>
      </c>
      <c r="J61" s="274" t="str">
        <f t="shared" si="107"/>
        <v>ADSLEntrykantooruren</v>
      </c>
      <c r="L61" s="273">
        <f>INDEX(Mapping!$J:$J,MATCH(C$3&amp;C61,Mapping!$B:$B,0))</f>
        <v>1</v>
      </c>
      <c r="M61" s="179" t="str">
        <f>INDEX(Mapping!$H:$H,MATCH($E61,Mapping!$B:$B,0))</f>
        <v>WBA CM Ethernet</v>
      </c>
      <c r="N61" s="179" t="str">
        <f>INDEX(Mapping!$J:$J,MATCH($J61,Mapping!$B:$B,0))</f>
        <v>ADSL</v>
      </c>
      <c r="O61" s="179" t="str">
        <f>INDEX(Mapping!$K:$K,MATCH($J61,Mapping!$B:$B,0))</f>
        <v>Standard</v>
      </c>
      <c r="P61"/>
      <c r="Q61" s="179"/>
      <c r="R61" s="179" t="str">
        <f>INDEX(Mapping!$H:$H,MATCH($H61,Mapping!$B:$B,0))</f>
        <v>nvt</v>
      </c>
      <c r="S61" s="179" t="str">
        <f>INDEX(Mapping!$H:$H,MATCH($I61,Mapping!$B:$B,0))</f>
        <v>nvt</v>
      </c>
      <c r="T61" s="179" t="str">
        <f t="shared" si="108"/>
        <v>WBA CM EthernetADSLStandard</v>
      </c>
      <c r="U61" s="274" t="str">
        <f t="shared" si="109"/>
        <v>WBA CM EthernetADSLStandard</v>
      </c>
      <c r="W61" s="273">
        <f>MATCH($J61,'Tarieven ZM'!$B:$B,0)</f>
        <v>125</v>
      </c>
      <c r="X61" s="179">
        <f>INDEX('Tarieven ZM'!$H:$H,$W61)</f>
        <v>1000</v>
      </c>
      <c r="Y61" s="276">
        <f>-INDEX(Parameters!$B:$B,MATCH(Y$3,Parameters!$A:$A,0))*$X61</f>
        <v>0</v>
      </c>
      <c r="Z61" s="277">
        <f>-INDEX(Parameters!$B:$B,MATCH(Z$3,Parameters!$A:$A,0))*$X61</f>
        <v>0</v>
      </c>
      <c r="AA61" s="179">
        <f t="shared" si="110"/>
        <v>1000</v>
      </c>
      <c r="AB61" s="179">
        <f>AA61/INDEX(Parameters!$B:$B,MATCH("AfschrijftermijnVVE"&amp;12*$C61,Parameters!$A:$A,0))</f>
        <v>27.777777777777779</v>
      </c>
      <c r="AC61" s="179">
        <f>INDEX('Tarieven ZM'!$G:$G,$W61)</f>
        <v>1000</v>
      </c>
      <c r="AD61" s="276">
        <f>-INDEX(Parameters!$B:$B,MATCH(AD$3,Parameters!$A:$A,0))*$AC61</f>
        <v>0</v>
      </c>
      <c r="AE61" s="276">
        <f>-INDEX(Parameters!$B:$B,MATCH(AE$3,Parameters!$A:$A,0))*$AC61</f>
        <v>0</v>
      </c>
      <c r="AF61" s="179">
        <f t="shared" si="111"/>
        <v>1000</v>
      </c>
      <c r="AG61" s="278">
        <f t="shared" si="112"/>
        <v>1027.7777777777778</v>
      </c>
      <c r="AH61" s="209"/>
      <c r="AI61" s="279">
        <f>MATCH($T61,'Tarieven W&amp;O'!$B:$B,0)</f>
        <v>205</v>
      </c>
      <c r="AJ61" s="179">
        <f>IF(AI61&lt;&gt;"nvt",INDEX('Tarieven W&amp;O'!$H:$H,$AI61),0)</f>
        <v>0</v>
      </c>
      <c r="AK61" s="179">
        <f>IF(AI61&lt;&gt;"nvt",INDEX('Tarieven W&amp;O'!$I:$I,$AI61),0)</f>
        <v>0</v>
      </c>
      <c r="AL61" s="277">
        <f>IF(AI61&lt;&gt;"nvt",-INDEX(Parameters!$B:$B,MATCH(AL$3&amp;$M61,Parameters!$A:$A,0))*(AJ61+AK61),0)</f>
        <v>0</v>
      </c>
      <c r="AM61" s="277"/>
      <c r="AN61" s="179">
        <f t="shared" si="113"/>
        <v>0</v>
      </c>
      <c r="AO61" s="262">
        <f>AN61/INDEX(Parameters!$B:$B,MATCH("AfschrijftermijnVVE"&amp;12*$C61,Parameters!$A:$A,0))</f>
        <v>0</v>
      </c>
      <c r="AP61" s="179">
        <f>MATCH($U61,'Tarieven W&amp;O'!$B:$B,0)</f>
        <v>205</v>
      </c>
      <c r="AQ61" s="202">
        <f>IF(AP61&lt;&gt;"nvt",INDEX('Tarieven W&amp;O'!$G:$G,$AP61),0)</f>
        <v>0</v>
      </c>
      <c r="AR61" s="277">
        <f>-INDEX(Parameters!$B:$B,MATCH(AR$3&amp;M61&amp;$N61,Parameters!$A:$A,0))*(AQ61)</f>
        <v>0</v>
      </c>
      <c r="AS61" s="179"/>
      <c r="AT61" s="179"/>
      <c r="AU61" s="202">
        <f t="shared" si="114"/>
        <v>0</v>
      </c>
      <c r="AV61" s="202">
        <f t="shared" si="115"/>
        <v>0</v>
      </c>
      <c r="AW61" s="202"/>
      <c r="AX61" s="202">
        <f>Parameters!$B$6*AV61</f>
        <v>0</v>
      </c>
      <c r="AY61" s="202">
        <v>0</v>
      </c>
      <c r="AZ61" s="202"/>
      <c r="BA61" s="202">
        <f t="shared" si="120"/>
        <v>0</v>
      </c>
      <c r="BB61" s="202"/>
      <c r="BC61" s="278">
        <f t="shared" si="121"/>
        <v>0</v>
      </c>
      <c r="BD61" s="209"/>
      <c r="BE61" s="280">
        <f t="shared" si="116"/>
        <v>1027.7777777777778</v>
      </c>
      <c r="BF61" s="264">
        <f t="shared" si="117"/>
        <v>1</v>
      </c>
      <c r="BG61" s="274" t="b">
        <f t="shared" si="118"/>
        <v>0</v>
      </c>
      <c r="BI61" s="443" t="s">
        <v>538</v>
      </c>
      <c r="BJ61" s="281"/>
      <c r="BK61" s="203">
        <f>VLOOKUP(J61,'Tarieven ZM'!$B$7:$I$146,8,0)</f>
        <v>0</v>
      </c>
      <c r="BL61" s="203" t="str">
        <f t="shared" si="16"/>
        <v>ADSLStandard</v>
      </c>
      <c r="BM61" s="282">
        <v>0</v>
      </c>
      <c r="BN61" s="262">
        <f>BM61/INDEX(Parameters!$B:$B,MATCH("AfschrijftermijnVVE"&amp;12*$C61,Parameters!$A:$A,0))</f>
        <v>0</v>
      </c>
      <c r="BO61" s="262">
        <f>INDEX('inkoop ULL tbv Epacity'!I:I,MATCH($BL61,'inkoop ULL tbv Epacity'!H:H,0))</f>
        <v>0</v>
      </c>
      <c r="BP61" s="263">
        <f t="shared" si="122"/>
        <v>0</v>
      </c>
      <c r="BR61" s="262">
        <f>Parameters!$B$12*AG61</f>
        <v>102.77777777777779</v>
      </c>
      <c r="BS61" s="262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SUM(Distributievergoedingen!$F$12,Distributievergoedingen!$I$12,Distributievergoedingen!$L$12,Distributievergoedingen!$O$12)*AF61+SUM(Distributievergoedingen!$O$12*AA61+Distributievergoedingen!$R$12+Distributievergoedingen!$U$12+Distributievergoedingen!$X$12)/(MAX(36,12*L61))</f>
        <v>112.77777777777777</v>
      </c>
      <c r="BT61" s="262"/>
      <c r="BU61" s="202">
        <f t="shared" si="123"/>
        <v>215.55555555555554</v>
      </c>
      <c r="BW61" s="278">
        <f t="shared" si="124"/>
        <v>215.55555555555554</v>
      </c>
      <c r="BY61" s="280">
        <f t="shared" si="125"/>
        <v>812.22222222222229</v>
      </c>
      <c r="BZ61" s="264">
        <f t="shared" si="126"/>
        <v>0.7902702702702703</v>
      </c>
      <c r="CA61" s="274" t="b">
        <f t="shared" si="127"/>
        <v>0</v>
      </c>
    </row>
    <row r="62" spans="1:79" s="203" customFormat="1">
      <c r="A62" s="203" t="str">
        <f t="shared" si="119"/>
        <v>3ADSLPremiumkantooruren</v>
      </c>
      <c r="B62" s="203" t="str">
        <f t="shared" si="106"/>
        <v>3ADSLPremiumkantooruren</v>
      </c>
      <c r="C62" s="438">
        <v>3</v>
      </c>
      <c r="D62" s="438" t="s">
        <v>42</v>
      </c>
      <c r="E62" s="438" t="s">
        <v>70</v>
      </c>
      <c r="F62" s="438" t="s">
        <v>1250</v>
      </c>
      <c r="G62" s="438" t="s">
        <v>115</v>
      </c>
      <c r="H62" s="438" t="s">
        <v>115</v>
      </c>
      <c r="I62" s="438" t="s">
        <v>115</v>
      </c>
      <c r="J62" s="274" t="str">
        <f t="shared" si="107"/>
        <v>ADSLPremiumkantooruren</v>
      </c>
      <c r="L62" s="273">
        <f>INDEX(Mapping!$J:$J,MATCH(C$3&amp;C62,Mapping!$B:$B,0))</f>
        <v>1</v>
      </c>
      <c r="M62" s="179" t="str">
        <f>INDEX(Mapping!$H:$H,MATCH($E62,Mapping!$B:$B,0))</f>
        <v>WBA ZM Ethernet</v>
      </c>
      <c r="N62" s="179" t="str">
        <f>INDEX(Mapping!$J:$J,MATCH($J62,Mapping!$B:$B,0))</f>
        <v>ADSL</v>
      </c>
      <c r="O62" s="179" t="str">
        <f>INDEX(Mapping!$K:$K,MATCH($J62,Mapping!$B:$B,0))</f>
        <v>Standard</v>
      </c>
      <c r="P62"/>
      <c r="Q62" s="179"/>
      <c r="R62" s="179" t="str">
        <f>INDEX(Mapping!$H:$H,MATCH($H62,Mapping!$B:$B,0))</f>
        <v>nvt</v>
      </c>
      <c r="S62" s="179" t="str">
        <f>INDEX(Mapping!$H:$H,MATCH($I62,Mapping!$B:$B,0))</f>
        <v>nvt</v>
      </c>
      <c r="T62" s="179" t="str">
        <f t="shared" si="108"/>
        <v>WBA ZM EthernetADSLStandard</v>
      </c>
      <c r="U62" s="274" t="str">
        <f t="shared" si="109"/>
        <v>WBA ZM EthernetADSLStandard</v>
      </c>
      <c r="W62" s="273">
        <f>MATCH($J62,'Tarieven ZM'!$B:$B,0)</f>
        <v>126</v>
      </c>
      <c r="X62" s="179">
        <f>INDEX('Tarieven ZM'!$H:$H,$W62)</f>
        <v>1000</v>
      </c>
      <c r="Y62" s="276">
        <f>-INDEX(Parameters!$B:$B,MATCH(Y$3,Parameters!$A:$A,0))*$X62</f>
        <v>0</v>
      </c>
      <c r="Z62" s="277">
        <f>-INDEX(Parameters!$B:$B,MATCH(Z$3,Parameters!$A:$A,0))*$X62</f>
        <v>0</v>
      </c>
      <c r="AA62" s="179">
        <f t="shared" si="110"/>
        <v>1000</v>
      </c>
      <c r="AB62" s="179">
        <f>AA62/INDEX(Parameters!$B:$B,MATCH("AfschrijftermijnVVE"&amp;12*$C62,Parameters!$A:$A,0))</f>
        <v>27.777777777777779</v>
      </c>
      <c r="AC62" s="179">
        <f>INDEX('Tarieven ZM'!$G:$G,$W62)</f>
        <v>1000</v>
      </c>
      <c r="AD62" s="276">
        <f>-INDEX(Parameters!$B:$B,MATCH(AD$3,Parameters!$A:$A,0))*$AC62</f>
        <v>0</v>
      </c>
      <c r="AE62" s="276">
        <f>-INDEX(Parameters!$B:$B,MATCH(AE$3,Parameters!$A:$A,0))*$AC62</f>
        <v>0</v>
      </c>
      <c r="AF62" s="179">
        <f t="shared" si="111"/>
        <v>1000</v>
      </c>
      <c r="AG62" s="278">
        <f t="shared" si="112"/>
        <v>1027.7777777777778</v>
      </c>
      <c r="AH62" s="209"/>
      <c r="AI62" s="279">
        <f>MATCH($T62,'Tarieven W&amp;O'!$B:$B,0)</f>
        <v>210</v>
      </c>
      <c r="AJ62" s="179">
        <f>IF(AI62&lt;&gt;"nvt",INDEX('Tarieven W&amp;O'!$H:$H,$AI62),0)</f>
        <v>0</v>
      </c>
      <c r="AK62" s="179">
        <f>IF(AI62&lt;&gt;"nvt",INDEX('Tarieven W&amp;O'!$I:$I,$AI62),0)</f>
        <v>0</v>
      </c>
      <c r="AL62" s="277">
        <f>IF(AI62&lt;&gt;"nvt",-INDEX(Parameters!$B:$B,MATCH(AL$3&amp;$M62,Parameters!$A:$A,0))*(AJ62+AK62),0)</f>
        <v>0</v>
      </c>
      <c r="AM62" s="277"/>
      <c r="AN62" s="179">
        <f t="shared" si="113"/>
        <v>0</v>
      </c>
      <c r="AO62" s="262">
        <f>AN62/INDEX(Parameters!$B:$B,MATCH("AfschrijftermijnVVE"&amp;12*$C62,Parameters!$A:$A,0))</f>
        <v>0</v>
      </c>
      <c r="AP62" s="179">
        <f>MATCH($U62,'Tarieven W&amp;O'!$B:$B,0)</f>
        <v>210</v>
      </c>
      <c r="AQ62" s="202">
        <f>IF(AP62&lt;&gt;"nvt",INDEX('Tarieven W&amp;O'!$G:$G,$AP62),0)</f>
        <v>0</v>
      </c>
      <c r="AR62" s="277">
        <f>-INDEX(Parameters!$B:$B,MATCH(AR$3&amp;M62&amp;$N62,Parameters!$A:$A,0))*(AQ62)</f>
        <v>0</v>
      </c>
      <c r="AS62" s="179"/>
      <c r="AT62" s="179"/>
      <c r="AU62" s="202">
        <f t="shared" si="114"/>
        <v>0</v>
      </c>
      <c r="AV62" s="202">
        <f t="shared" si="115"/>
        <v>0</v>
      </c>
      <c r="AW62" s="202"/>
      <c r="AX62" s="202">
        <f>Parameters!$B$6*AV62</f>
        <v>0</v>
      </c>
      <c r="AY62" s="202">
        <v>0</v>
      </c>
      <c r="AZ62" s="202"/>
      <c r="BA62" s="202">
        <f t="shared" si="120"/>
        <v>0</v>
      </c>
      <c r="BB62" s="202"/>
      <c r="BC62" s="278">
        <f t="shared" si="121"/>
        <v>0</v>
      </c>
      <c r="BD62" s="209"/>
      <c r="BE62" s="280">
        <f t="shared" si="116"/>
        <v>1027.7777777777778</v>
      </c>
      <c r="BF62" s="264">
        <f t="shared" si="117"/>
        <v>1</v>
      </c>
      <c r="BG62" s="274" t="b">
        <f t="shared" si="118"/>
        <v>0</v>
      </c>
      <c r="BI62" s="443" t="s">
        <v>538</v>
      </c>
      <c r="BJ62" s="281"/>
      <c r="BK62" s="203">
        <f>VLOOKUP(J62,'Tarieven ZM'!$B$7:$I$146,8,0)</f>
        <v>0</v>
      </c>
      <c r="BL62" s="203" t="str">
        <f t="shared" si="16"/>
        <v>ADSLStandard</v>
      </c>
      <c r="BM62" s="282">
        <v>0</v>
      </c>
      <c r="BN62" s="262">
        <f>BM62/INDEX(Parameters!$B:$B,MATCH("AfschrijftermijnVVE"&amp;12*$C62,Parameters!$A:$A,0))</f>
        <v>0</v>
      </c>
      <c r="BO62" s="262">
        <f>INDEX('inkoop ULL tbv Epacity'!I:I,MATCH($BL62,'inkoop ULL tbv Epacity'!H:H,0))</f>
        <v>0</v>
      </c>
      <c r="BP62" s="263">
        <f t="shared" si="122"/>
        <v>0</v>
      </c>
      <c r="BR62" s="262">
        <f>Parameters!$B$12*AG62</f>
        <v>102.77777777777779</v>
      </c>
      <c r="BS62" s="262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SUM(Distributievergoedingen!$F$12,Distributievergoedingen!$I$12,Distributievergoedingen!$L$12,Distributievergoedingen!$O$12)*AF62+SUM(Distributievergoedingen!$O$12*AA62+Distributievergoedingen!$R$12+Distributievergoedingen!$U$12+Distributievergoedingen!$X$12)/(MAX(36,12*L62))</f>
        <v>112.77777777777777</v>
      </c>
      <c r="BT62" s="262"/>
      <c r="BU62" s="202">
        <f t="shared" si="123"/>
        <v>215.55555555555554</v>
      </c>
      <c r="BW62" s="278">
        <f t="shared" si="124"/>
        <v>215.55555555555554</v>
      </c>
      <c r="BY62" s="280">
        <f t="shared" si="125"/>
        <v>812.22222222222229</v>
      </c>
      <c r="BZ62" s="264">
        <f t="shared" si="126"/>
        <v>0.7902702702702703</v>
      </c>
      <c r="CA62" s="274" t="b">
        <f t="shared" si="127"/>
        <v>0</v>
      </c>
    </row>
    <row r="63" spans="1:79" s="203" customFormat="1">
      <c r="A63" s="203" t="str">
        <f t="shared" si="119"/>
        <v>3SDSLEntrykantooruren</v>
      </c>
      <c r="B63" s="203" t="str">
        <f t="shared" si="106"/>
        <v>3SDSLEntrykantooruren</v>
      </c>
      <c r="C63" s="438">
        <v>3</v>
      </c>
      <c r="D63" s="438" t="s">
        <v>64</v>
      </c>
      <c r="E63" s="438" t="s">
        <v>78</v>
      </c>
      <c r="F63" s="438" t="s">
        <v>1250</v>
      </c>
      <c r="G63" s="438" t="s">
        <v>115</v>
      </c>
      <c r="H63" s="438" t="s">
        <v>115</v>
      </c>
      <c r="I63" s="438" t="s">
        <v>115</v>
      </c>
      <c r="J63" s="274" t="str">
        <f t="shared" si="107"/>
        <v>SDSLEntrykantooruren</v>
      </c>
      <c r="L63" s="273">
        <f>INDEX(Mapping!$J:$J,MATCH(C$3&amp;C63,Mapping!$B:$B,0))</f>
        <v>1</v>
      </c>
      <c r="M63" s="179" t="str">
        <f>INDEX(Mapping!$H:$H,MATCH($E63,Mapping!$B:$B,0))</f>
        <v>WBA CM Ethernet</v>
      </c>
      <c r="N63" s="179" t="str">
        <f>INDEX(Mapping!$J:$J,MATCH($J63,Mapping!$B:$B,0))</f>
        <v>SDSL</v>
      </c>
      <c r="O63" s="179" t="str">
        <f>INDEX(Mapping!$K:$K,MATCH($J63,Mapping!$B:$B,0))</f>
        <v>Standard</v>
      </c>
      <c r="P63"/>
      <c r="Q63" s="179"/>
      <c r="R63" s="179" t="str">
        <f>INDEX(Mapping!$H:$H,MATCH($H63,Mapping!$B:$B,0))</f>
        <v>nvt</v>
      </c>
      <c r="S63" s="179" t="str">
        <f>INDEX(Mapping!$H:$H,MATCH($I63,Mapping!$B:$B,0))</f>
        <v>nvt</v>
      </c>
      <c r="T63" s="179" t="str">
        <f t="shared" si="108"/>
        <v>WBA CM EthernetSDSLStandard</v>
      </c>
      <c r="U63" s="274" t="str">
        <f t="shared" si="109"/>
        <v>WBA CM EthernetSDSLStandard</v>
      </c>
      <c r="W63" s="273">
        <f>MATCH($J63,'Tarieven ZM'!$B:$B,0)</f>
        <v>127</v>
      </c>
      <c r="X63" s="179">
        <f>INDEX('Tarieven ZM'!$H:$H,$W63)</f>
        <v>1000</v>
      </c>
      <c r="Y63" s="276">
        <f>-INDEX(Parameters!$B:$B,MATCH(Y$3,Parameters!$A:$A,0))*$X63</f>
        <v>0</v>
      </c>
      <c r="Z63" s="277">
        <f>-INDEX(Parameters!$B:$B,MATCH(Z$3,Parameters!$A:$A,0))*$X63</f>
        <v>0</v>
      </c>
      <c r="AA63" s="179">
        <f t="shared" si="110"/>
        <v>1000</v>
      </c>
      <c r="AB63" s="179">
        <f>AA63/INDEX(Parameters!$B:$B,MATCH("AfschrijftermijnVVE"&amp;12*$C63,Parameters!$A:$A,0))</f>
        <v>27.777777777777779</v>
      </c>
      <c r="AC63" s="179">
        <f>INDEX('Tarieven ZM'!$G:$G,$W63)</f>
        <v>1000</v>
      </c>
      <c r="AD63" s="276">
        <f>-INDEX(Parameters!$B:$B,MATCH(AD$3,Parameters!$A:$A,0))*$AC63</f>
        <v>0</v>
      </c>
      <c r="AE63" s="276">
        <f>-INDEX(Parameters!$B:$B,MATCH(AE$3,Parameters!$A:$A,0))*$AC63</f>
        <v>0</v>
      </c>
      <c r="AF63" s="179">
        <f t="shared" si="111"/>
        <v>1000</v>
      </c>
      <c r="AG63" s="278">
        <f t="shared" si="112"/>
        <v>1027.7777777777778</v>
      </c>
      <c r="AH63" s="209"/>
      <c r="AI63" s="279">
        <f>MATCH($T63,'Tarieven W&amp;O'!$B:$B,0)</f>
        <v>207</v>
      </c>
      <c r="AJ63" s="179">
        <f>IF(AI63&lt;&gt;"nvt",INDEX('Tarieven W&amp;O'!$H:$H,$AI63),0)</f>
        <v>0</v>
      </c>
      <c r="AK63" s="179">
        <f>IF(AI63&lt;&gt;"nvt",INDEX('Tarieven W&amp;O'!$I:$I,$AI63),0)</f>
        <v>0</v>
      </c>
      <c r="AL63" s="277">
        <f>IF(AI63&lt;&gt;"nvt",-INDEX(Parameters!$B:$B,MATCH(AL$3&amp;$M63,Parameters!$A:$A,0))*(AJ63+AK63),0)</f>
        <v>0</v>
      </c>
      <c r="AM63" s="277"/>
      <c r="AN63" s="179">
        <f t="shared" si="113"/>
        <v>0</v>
      </c>
      <c r="AO63" s="262">
        <f>AN63/INDEX(Parameters!$B:$B,MATCH("AfschrijftermijnVVE"&amp;12*$C63,Parameters!$A:$A,0))</f>
        <v>0</v>
      </c>
      <c r="AP63" s="179">
        <f>MATCH($U63,'Tarieven W&amp;O'!$B:$B,0)</f>
        <v>207</v>
      </c>
      <c r="AQ63" s="202">
        <f>IF(AP63&lt;&gt;"nvt",INDEX('Tarieven W&amp;O'!$G:$G,$AP63),0)</f>
        <v>0</v>
      </c>
      <c r="AR63" s="277">
        <f>-INDEX(Parameters!$B:$B,MATCH(AR$3&amp;M63&amp;$N63,Parameters!$A:$A,0))*(AQ63)</f>
        <v>0</v>
      </c>
      <c r="AS63" s="179"/>
      <c r="AT63" s="179"/>
      <c r="AU63" s="202">
        <f t="shared" si="114"/>
        <v>0</v>
      </c>
      <c r="AV63" s="202">
        <f t="shared" si="115"/>
        <v>0</v>
      </c>
      <c r="AW63" s="202"/>
      <c r="AX63" s="202">
        <f>Parameters!$B$6*AV63</f>
        <v>0</v>
      </c>
      <c r="AY63" s="202">
        <v>0</v>
      </c>
      <c r="AZ63" s="202"/>
      <c r="BA63" s="202">
        <f t="shared" si="120"/>
        <v>0</v>
      </c>
      <c r="BB63" s="202"/>
      <c r="BC63" s="278">
        <f t="shared" si="121"/>
        <v>0</v>
      </c>
      <c r="BD63" s="209"/>
      <c r="BE63" s="280">
        <f t="shared" si="116"/>
        <v>1027.7777777777778</v>
      </c>
      <c r="BF63" s="264">
        <f t="shared" si="117"/>
        <v>1</v>
      </c>
      <c r="BG63" s="274" t="b">
        <f t="shared" si="118"/>
        <v>0</v>
      </c>
      <c r="BI63" s="443" t="s">
        <v>538</v>
      </c>
      <c r="BJ63" s="281"/>
      <c r="BK63" s="203">
        <f>VLOOKUP(J63,'Tarieven ZM'!$B$7:$I$146,8,0)</f>
        <v>0</v>
      </c>
      <c r="BL63" s="203" t="str">
        <f t="shared" si="16"/>
        <v>SDSLStandard</v>
      </c>
      <c r="BM63" s="282">
        <v>0</v>
      </c>
      <c r="BN63" s="262">
        <f>BM63/INDEX(Parameters!$B:$B,MATCH("AfschrijftermijnVVE"&amp;12*$C63,Parameters!$A:$A,0))</f>
        <v>0</v>
      </c>
      <c r="BO63" s="262">
        <f>INDEX('inkoop ULL tbv Epacity'!I:I,MATCH($BL63,'inkoop ULL tbv Epacity'!H:H,0))</f>
        <v>0</v>
      </c>
      <c r="BP63" s="263">
        <f t="shared" si="122"/>
        <v>0</v>
      </c>
      <c r="BR63" s="262">
        <f>Parameters!$B$12*AG63</f>
        <v>102.77777777777779</v>
      </c>
      <c r="BS63" s="262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SUM(Distributievergoedingen!$F$12,Distributievergoedingen!$I$12,Distributievergoedingen!$L$12,Distributievergoedingen!$O$12)*AF63+SUM(Distributievergoedingen!$O$12*AA63+Distributievergoedingen!$R$12+Distributievergoedingen!$U$12+Distributievergoedingen!$X$12)/(MAX(36,12*L63))</f>
        <v>112.77777777777777</v>
      </c>
      <c r="BT63" s="262"/>
      <c r="BU63" s="202">
        <f t="shared" si="123"/>
        <v>215.55555555555554</v>
      </c>
      <c r="BW63" s="278">
        <f t="shared" si="124"/>
        <v>215.55555555555554</v>
      </c>
      <c r="BY63" s="280">
        <f t="shared" si="125"/>
        <v>812.22222222222229</v>
      </c>
      <c r="BZ63" s="264">
        <f t="shared" si="126"/>
        <v>0.7902702702702703</v>
      </c>
      <c r="CA63" s="274" t="b">
        <f t="shared" si="127"/>
        <v>0</v>
      </c>
    </row>
    <row r="64" spans="1:79" s="203" customFormat="1">
      <c r="A64" s="203" t="str">
        <f t="shared" si="119"/>
        <v>3SDSLPremiumkantooruren</v>
      </c>
      <c r="B64" s="203" t="str">
        <f t="shared" si="106"/>
        <v>3SDSLPremiumkantooruren</v>
      </c>
      <c r="C64" s="438">
        <v>3</v>
      </c>
      <c r="D64" s="438" t="s">
        <v>64</v>
      </c>
      <c r="E64" s="438" t="s">
        <v>70</v>
      </c>
      <c r="F64" s="438" t="s">
        <v>1250</v>
      </c>
      <c r="G64" s="438" t="s">
        <v>115</v>
      </c>
      <c r="H64" s="438" t="s">
        <v>115</v>
      </c>
      <c r="I64" s="438" t="s">
        <v>115</v>
      </c>
      <c r="J64" s="274" t="str">
        <f t="shared" si="107"/>
        <v>SDSLPremiumkantooruren</v>
      </c>
      <c r="L64" s="273">
        <f>INDEX(Mapping!$J:$J,MATCH(C$3&amp;C64,Mapping!$B:$B,0))</f>
        <v>1</v>
      </c>
      <c r="M64" s="179" t="str">
        <f>INDEX(Mapping!$H:$H,MATCH($E64,Mapping!$B:$B,0))</f>
        <v>WBA ZM Ethernet</v>
      </c>
      <c r="N64" s="179" t="str">
        <f>INDEX(Mapping!$J:$J,MATCH($J64,Mapping!$B:$B,0))</f>
        <v>SDSL</v>
      </c>
      <c r="O64" s="179" t="str">
        <f>INDEX(Mapping!$K:$K,MATCH($J64,Mapping!$B:$B,0))</f>
        <v>Standard</v>
      </c>
      <c r="P64"/>
      <c r="Q64" s="179"/>
      <c r="R64" s="179" t="str">
        <f>INDEX(Mapping!$H:$H,MATCH($H64,Mapping!$B:$B,0))</f>
        <v>nvt</v>
      </c>
      <c r="S64" s="179" t="str">
        <f>INDEX(Mapping!$H:$H,MATCH($I64,Mapping!$B:$B,0))</f>
        <v>nvt</v>
      </c>
      <c r="T64" s="179" t="str">
        <f t="shared" si="108"/>
        <v>WBA ZM EthernetSDSLStandard</v>
      </c>
      <c r="U64" s="274" t="str">
        <f t="shared" si="109"/>
        <v>WBA ZM EthernetSDSLStandard</v>
      </c>
      <c r="W64" s="273">
        <f>MATCH($J64,'Tarieven ZM'!$B:$B,0)</f>
        <v>128</v>
      </c>
      <c r="X64" s="179">
        <f>INDEX('Tarieven ZM'!$H:$H,$W64)</f>
        <v>1000</v>
      </c>
      <c r="Y64" s="276">
        <f>-INDEX(Parameters!$B:$B,MATCH(Y$3,Parameters!$A:$A,0))*$X64</f>
        <v>0</v>
      </c>
      <c r="Z64" s="277">
        <f>-INDEX(Parameters!$B:$B,MATCH(Z$3,Parameters!$A:$A,0))*$X64</f>
        <v>0</v>
      </c>
      <c r="AA64" s="179">
        <f t="shared" si="110"/>
        <v>1000</v>
      </c>
      <c r="AB64" s="179">
        <f>AA64/INDEX(Parameters!$B:$B,MATCH("AfschrijftermijnVVE"&amp;12*$C64,Parameters!$A:$A,0))</f>
        <v>27.777777777777779</v>
      </c>
      <c r="AC64" s="179">
        <f>INDEX('Tarieven ZM'!$G:$G,$W64)</f>
        <v>1000</v>
      </c>
      <c r="AD64" s="276">
        <f>-INDEX(Parameters!$B:$B,MATCH(AD$3,Parameters!$A:$A,0))*$AC64</f>
        <v>0</v>
      </c>
      <c r="AE64" s="276">
        <f>-INDEX(Parameters!$B:$B,MATCH(AE$3,Parameters!$A:$A,0))*$AC64</f>
        <v>0</v>
      </c>
      <c r="AF64" s="179">
        <f t="shared" si="111"/>
        <v>1000</v>
      </c>
      <c r="AG64" s="278">
        <f t="shared" si="112"/>
        <v>1027.7777777777778</v>
      </c>
      <c r="AH64" s="209"/>
      <c r="AI64" s="279">
        <f>MATCH($T64,'Tarieven W&amp;O'!$B:$B,0)</f>
        <v>212</v>
      </c>
      <c r="AJ64" s="179">
        <f>IF(AI64&lt;&gt;"nvt",INDEX('Tarieven W&amp;O'!$H:$H,$AI64),0)</f>
        <v>0</v>
      </c>
      <c r="AK64" s="179">
        <f>IF(AI64&lt;&gt;"nvt",INDEX('Tarieven W&amp;O'!$I:$I,$AI64),0)</f>
        <v>0</v>
      </c>
      <c r="AL64" s="277">
        <f>IF(AI64&lt;&gt;"nvt",-INDEX(Parameters!$B:$B,MATCH(AL$3&amp;$M64,Parameters!$A:$A,0))*(AJ64+AK64),0)</f>
        <v>0</v>
      </c>
      <c r="AM64" s="277"/>
      <c r="AN64" s="179">
        <f t="shared" si="113"/>
        <v>0</v>
      </c>
      <c r="AO64" s="262">
        <f>AN64/INDEX(Parameters!$B:$B,MATCH("AfschrijftermijnVVE"&amp;12*$C64,Parameters!$A:$A,0))</f>
        <v>0</v>
      </c>
      <c r="AP64" s="179">
        <f>MATCH($U64,'Tarieven W&amp;O'!$B:$B,0)</f>
        <v>212</v>
      </c>
      <c r="AQ64" s="202">
        <f>IF(AP64&lt;&gt;"nvt",INDEX('Tarieven W&amp;O'!$G:$G,$AP64),0)</f>
        <v>0</v>
      </c>
      <c r="AR64" s="277">
        <f>-INDEX(Parameters!$B:$B,MATCH(AR$3&amp;M64&amp;$N64,Parameters!$A:$A,0))*(AQ64)</f>
        <v>0</v>
      </c>
      <c r="AS64" s="179"/>
      <c r="AT64" s="179"/>
      <c r="AU64" s="202">
        <f t="shared" si="114"/>
        <v>0</v>
      </c>
      <c r="AV64" s="202">
        <f t="shared" si="115"/>
        <v>0</v>
      </c>
      <c r="AW64" s="202"/>
      <c r="AX64" s="202">
        <f>Parameters!$B$6*AV64</f>
        <v>0</v>
      </c>
      <c r="AY64" s="202">
        <v>0</v>
      </c>
      <c r="AZ64" s="202"/>
      <c r="BA64" s="202">
        <f t="shared" si="120"/>
        <v>0</v>
      </c>
      <c r="BB64" s="202"/>
      <c r="BC64" s="278">
        <f t="shared" si="121"/>
        <v>0</v>
      </c>
      <c r="BD64" s="209"/>
      <c r="BE64" s="280">
        <f t="shared" si="116"/>
        <v>1027.7777777777778</v>
      </c>
      <c r="BF64" s="264">
        <f t="shared" si="117"/>
        <v>1</v>
      </c>
      <c r="BG64" s="274" t="b">
        <f t="shared" si="118"/>
        <v>0</v>
      </c>
      <c r="BI64" s="443" t="s">
        <v>538</v>
      </c>
      <c r="BJ64" s="281"/>
      <c r="BK64" s="203">
        <f>VLOOKUP(J64,'Tarieven ZM'!$B$7:$I$146,8,0)</f>
        <v>0</v>
      </c>
      <c r="BL64" s="203" t="str">
        <f t="shared" si="16"/>
        <v>SDSLStandard</v>
      </c>
      <c r="BM64" s="282">
        <v>0</v>
      </c>
      <c r="BN64" s="262">
        <f>BM64/INDEX(Parameters!$B:$B,MATCH("AfschrijftermijnVVE"&amp;12*$C64,Parameters!$A:$A,0))</f>
        <v>0</v>
      </c>
      <c r="BO64" s="262">
        <f>INDEX('inkoop ULL tbv Epacity'!I:I,MATCH($BL64,'inkoop ULL tbv Epacity'!H:H,0))</f>
        <v>0</v>
      </c>
      <c r="BP64" s="263">
        <f t="shared" si="122"/>
        <v>0</v>
      </c>
      <c r="BR64" s="262">
        <f>Parameters!$B$12*AG64</f>
        <v>102.77777777777779</v>
      </c>
      <c r="BS64" s="262">
        <f>SUM(Distributievergoedingen!$F$12,Distributievergoedingen!$I$12,Distributievergoedingen!$L$12,Distributievergoedingen!$O$12)*AF64+SUM(Distributievergoedingen!$O$12*AA64+Distributievergoedingen!$R$12+Distributievergoedingen!$U$12+Distributievergoedingen!$X$12)/(MAX(36,12*L64))</f>
        <v>112.77777777777777</v>
      </c>
      <c r="BT64" s="262"/>
      <c r="BU64" s="202">
        <f t="shared" si="123"/>
        <v>215.55555555555554</v>
      </c>
      <c r="BW64" s="278">
        <f t="shared" si="124"/>
        <v>215.55555555555554</v>
      </c>
      <c r="BY64" s="280">
        <f t="shared" si="125"/>
        <v>812.22222222222229</v>
      </c>
      <c r="BZ64" s="264">
        <f t="shared" si="126"/>
        <v>0.7902702702702703</v>
      </c>
      <c r="CA64" s="274" t="b">
        <f t="shared" si="127"/>
        <v>0</v>
      </c>
    </row>
    <row r="65" spans="1:79" s="203" customFormat="1">
      <c r="A65" s="203" t="str">
        <f t="shared" si="119"/>
        <v>3VDSLEntrykantooruren</v>
      </c>
      <c r="B65" s="203" t="str">
        <f t="shared" si="106"/>
        <v>3VDSLEntrykantooruren</v>
      </c>
      <c r="C65" s="438">
        <v>3</v>
      </c>
      <c r="D65" s="438" t="s">
        <v>77</v>
      </c>
      <c r="E65" s="438" t="s">
        <v>78</v>
      </c>
      <c r="F65" s="438" t="s">
        <v>1250</v>
      </c>
      <c r="G65" s="438" t="s">
        <v>115</v>
      </c>
      <c r="H65" s="438" t="s">
        <v>115</v>
      </c>
      <c r="I65" s="438" t="s">
        <v>115</v>
      </c>
      <c r="J65" s="274" t="str">
        <f t="shared" si="107"/>
        <v>VDSLEntrykantooruren</v>
      </c>
      <c r="L65" s="273">
        <f>INDEX(Mapping!$J:$J,MATCH(C$3&amp;C65,Mapping!$B:$B,0))</f>
        <v>1</v>
      </c>
      <c r="M65" s="179" t="str">
        <f>INDEX(Mapping!$H:$H,MATCH($E65,Mapping!$B:$B,0))</f>
        <v>WBA CM Ethernet</v>
      </c>
      <c r="N65" s="179" t="str">
        <f>INDEX(Mapping!$J:$J,MATCH($J65,Mapping!$B:$B,0))</f>
        <v>VDSL</v>
      </c>
      <c r="O65" s="179" t="str">
        <f>INDEX(Mapping!$K:$K,MATCH($J65,Mapping!$B:$B,0))</f>
        <v>Standard</v>
      </c>
      <c r="P65"/>
      <c r="Q65" s="179"/>
      <c r="R65" s="179" t="str">
        <f>INDEX(Mapping!$H:$H,MATCH($H65,Mapping!$B:$B,0))</f>
        <v>nvt</v>
      </c>
      <c r="S65" s="179" t="str">
        <f>INDEX(Mapping!$H:$H,MATCH($I65,Mapping!$B:$B,0))</f>
        <v>nvt</v>
      </c>
      <c r="T65" s="179" t="str">
        <f t="shared" si="108"/>
        <v>WBA CM EthernetVDSLStandard</v>
      </c>
      <c r="U65" s="274" t="str">
        <f t="shared" si="109"/>
        <v>WBA CM EthernetVDSLStandard</v>
      </c>
      <c r="W65" s="273">
        <f>MATCH($J65,'Tarieven ZM'!$B:$B,0)</f>
        <v>129</v>
      </c>
      <c r="X65" s="179">
        <f>INDEX('Tarieven ZM'!$H:$H,$W65)</f>
        <v>1000</v>
      </c>
      <c r="Y65" s="276">
        <f>-INDEX(Parameters!$B:$B,MATCH(Y$3,Parameters!$A:$A,0))*$X65</f>
        <v>0</v>
      </c>
      <c r="Z65" s="277">
        <f>-INDEX(Parameters!$B:$B,MATCH(Z$3,Parameters!$A:$A,0))*$X65</f>
        <v>0</v>
      </c>
      <c r="AA65" s="179">
        <f t="shared" si="110"/>
        <v>1000</v>
      </c>
      <c r="AB65" s="179">
        <f>AA65/INDEX(Parameters!$B:$B,MATCH("AfschrijftermijnVVE"&amp;12*$C65,Parameters!$A:$A,0))</f>
        <v>27.777777777777779</v>
      </c>
      <c r="AC65" s="179">
        <f>INDEX('Tarieven ZM'!$G:$G,$W65)</f>
        <v>1000</v>
      </c>
      <c r="AD65" s="276">
        <f>-INDEX(Parameters!$B:$B,MATCH(AD$3,Parameters!$A:$A,0))*$AC65</f>
        <v>0</v>
      </c>
      <c r="AE65" s="276">
        <f>-INDEX(Parameters!$B:$B,MATCH(AE$3,Parameters!$A:$A,0))*$AC65</f>
        <v>0</v>
      </c>
      <c r="AF65" s="179">
        <f t="shared" si="111"/>
        <v>1000</v>
      </c>
      <c r="AG65" s="278">
        <f t="shared" si="112"/>
        <v>1027.7777777777778</v>
      </c>
      <c r="AH65" s="209"/>
      <c r="AI65" s="279">
        <f>MATCH($T65,'Tarieven W&amp;O'!$B:$B,0)</f>
        <v>206</v>
      </c>
      <c r="AJ65" s="179">
        <f>IF(AI65&lt;&gt;"nvt",INDEX('Tarieven W&amp;O'!$H:$H,$AI65),0)</f>
        <v>0</v>
      </c>
      <c r="AK65" s="179">
        <f>IF(AI65&lt;&gt;"nvt",INDEX('Tarieven W&amp;O'!$I:$I,$AI65),0)</f>
        <v>0</v>
      </c>
      <c r="AL65" s="277">
        <f>IF(AI65&lt;&gt;"nvt",-INDEX(Parameters!$B:$B,MATCH(AL$3&amp;$M65,Parameters!$A:$A,0))*(AJ65+AK65),0)</f>
        <v>0</v>
      </c>
      <c r="AM65" s="277"/>
      <c r="AN65" s="179">
        <f t="shared" si="113"/>
        <v>0</v>
      </c>
      <c r="AO65" s="262">
        <f>AN65/INDEX(Parameters!$B:$B,MATCH("AfschrijftermijnVVE"&amp;12*$C65,Parameters!$A:$A,0))</f>
        <v>0</v>
      </c>
      <c r="AP65" s="179">
        <f>MATCH($U65,'Tarieven W&amp;O'!$B:$B,0)</f>
        <v>206</v>
      </c>
      <c r="AQ65" s="202">
        <f>IF(AP65&lt;&gt;"nvt",INDEX('Tarieven W&amp;O'!$G:$G,$AP65),0)</f>
        <v>0</v>
      </c>
      <c r="AR65" s="277">
        <f>-INDEX(Parameters!$B:$B,MATCH(AR$3&amp;M65&amp;$N65,Parameters!$A:$A,0))*(AQ65)</f>
        <v>0</v>
      </c>
      <c r="AS65" s="179"/>
      <c r="AT65" s="179"/>
      <c r="AU65" s="202">
        <f t="shared" si="114"/>
        <v>0</v>
      </c>
      <c r="AV65" s="202">
        <f t="shared" si="115"/>
        <v>0</v>
      </c>
      <c r="AW65" s="202"/>
      <c r="AX65" s="202">
        <f>Parameters!$B$6*AV65</f>
        <v>0</v>
      </c>
      <c r="AY65" s="202">
        <v>0</v>
      </c>
      <c r="AZ65" s="202"/>
      <c r="BA65" s="202">
        <f t="shared" si="120"/>
        <v>0</v>
      </c>
      <c r="BB65" s="202"/>
      <c r="BC65" s="278">
        <f t="shared" si="121"/>
        <v>0</v>
      </c>
      <c r="BD65" s="209"/>
      <c r="BE65" s="280">
        <f t="shared" si="116"/>
        <v>1027.7777777777778</v>
      </c>
      <c r="BF65" s="264">
        <f t="shared" si="117"/>
        <v>1</v>
      </c>
      <c r="BG65" s="274" t="b">
        <f t="shared" si="118"/>
        <v>0</v>
      </c>
      <c r="BI65" s="443" t="s">
        <v>538</v>
      </c>
      <c r="BJ65" s="281"/>
      <c r="BK65" s="203">
        <f>VLOOKUP(J65,'Tarieven ZM'!$B$7:$I$146,8,0)</f>
        <v>0</v>
      </c>
      <c r="BL65" s="203" t="str">
        <f t="shared" si="16"/>
        <v>VDSLStandard</v>
      </c>
      <c r="BM65" s="282">
        <v>0</v>
      </c>
      <c r="BN65" s="262">
        <f>BM65/INDEX(Parameters!$B:$B,MATCH("AfschrijftermijnVVE"&amp;12*$C65,Parameters!$A:$A,0))</f>
        <v>0</v>
      </c>
      <c r="BO65" s="262">
        <f>INDEX('inkoop ULL tbv Epacity'!I:I,MATCH($BL65,'inkoop ULL tbv Epacity'!H:H,0))</f>
        <v>0</v>
      </c>
      <c r="BP65" s="263">
        <f t="shared" si="122"/>
        <v>0</v>
      </c>
      <c r="BR65" s="262">
        <f>Parameters!$B$12*AG65</f>
        <v>102.77777777777779</v>
      </c>
      <c r="BS65" s="262">
        <f>SUM(Distributievergoedingen!$F$12,Distributievergoedingen!$I$12,Distributievergoedingen!$L$12,Distributievergoedingen!$O$12)*AF65+SUM(Distributievergoedingen!$O$12*AA65+Distributievergoedingen!$R$12+Distributievergoedingen!$U$12+Distributievergoedingen!$X$12)/(MAX(36,12*L65))</f>
        <v>112.77777777777777</v>
      </c>
      <c r="BT65" s="262"/>
      <c r="BU65" s="202">
        <f t="shared" si="123"/>
        <v>215.55555555555554</v>
      </c>
      <c r="BW65" s="278">
        <f t="shared" si="124"/>
        <v>215.55555555555554</v>
      </c>
      <c r="BY65" s="280">
        <f t="shared" si="125"/>
        <v>812.22222222222229</v>
      </c>
      <c r="BZ65" s="264">
        <f t="shared" si="126"/>
        <v>0.7902702702702703</v>
      </c>
      <c r="CA65" s="274" t="b">
        <f t="shared" si="127"/>
        <v>0</v>
      </c>
    </row>
    <row r="66" spans="1:79" s="203" customFormat="1">
      <c r="A66" s="203" t="str">
        <f t="shared" si="119"/>
        <v>3VDSLPremiumkantooruren</v>
      </c>
      <c r="B66" s="203" t="str">
        <f t="shared" si="106"/>
        <v>3VDSLPremiumkantooruren</v>
      </c>
      <c r="C66" s="438">
        <v>3</v>
      </c>
      <c r="D66" s="438" t="s">
        <v>77</v>
      </c>
      <c r="E66" s="438" t="s">
        <v>70</v>
      </c>
      <c r="F66" s="438" t="s">
        <v>1250</v>
      </c>
      <c r="G66" s="438" t="s">
        <v>115</v>
      </c>
      <c r="H66" s="438" t="s">
        <v>115</v>
      </c>
      <c r="I66" s="438" t="s">
        <v>115</v>
      </c>
      <c r="J66" s="274" t="str">
        <f t="shared" si="107"/>
        <v>VDSLPremiumkantooruren</v>
      </c>
      <c r="L66" s="273">
        <f>INDEX(Mapping!$J:$J,MATCH(C$3&amp;C66,Mapping!$B:$B,0))</f>
        <v>1</v>
      </c>
      <c r="M66" s="179" t="str">
        <f>INDEX(Mapping!$H:$H,MATCH($E66,Mapping!$B:$B,0))</f>
        <v>WBA ZM Ethernet</v>
      </c>
      <c r="N66" s="179" t="str">
        <f>INDEX(Mapping!$J:$J,MATCH($J66,Mapping!$B:$B,0))</f>
        <v>VDSL</v>
      </c>
      <c r="O66" s="179" t="str">
        <f>INDEX(Mapping!$K:$K,MATCH($J66,Mapping!$B:$B,0))</f>
        <v>Standard</v>
      </c>
      <c r="P66"/>
      <c r="Q66" s="179"/>
      <c r="R66" s="179" t="str">
        <f>INDEX(Mapping!$H:$H,MATCH($H66,Mapping!$B:$B,0))</f>
        <v>nvt</v>
      </c>
      <c r="S66" s="179" t="str">
        <f>INDEX(Mapping!$H:$H,MATCH($I66,Mapping!$B:$B,0))</f>
        <v>nvt</v>
      </c>
      <c r="T66" s="179" t="str">
        <f t="shared" si="108"/>
        <v>WBA ZM EthernetVDSLStandard</v>
      </c>
      <c r="U66" s="274" t="str">
        <f t="shared" si="109"/>
        <v>WBA ZM EthernetVDSLStandard</v>
      </c>
      <c r="W66" s="273">
        <f>MATCH($J66,'Tarieven ZM'!$B:$B,0)</f>
        <v>130</v>
      </c>
      <c r="X66" s="179">
        <f>INDEX('Tarieven ZM'!$H:$H,$W66)</f>
        <v>1000</v>
      </c>
      <c r="Y66" s="276">
        <f>-INDEX(Parameters!$B:$B,MATCH(Y$3,Parameters!$A:$A,0))*$X66</f>
        <v>0</v>
      </c>
      <c r="Z66" s="277">
        <f>-INDEX(Parameters!$B:$B,MATCH(Z$3,Parameters!$A:$A,0))*$X66</f>
        <v>0</v>
      </c>
      <c r="AA66" s="179">
        <f t="shared" si="110"/>
        <v>1000</v>
      </c>
      <c r="AB66" s="179">
        <f>AA66/INDEX(Parameters!$B:$B,MATCH("AfschrijftermijnVVE"&amp;12*$C66,Parameters!$A:$A,0))</f>
        <v>27.777777777777779</v>
      </c>
      <c r="AC66" s="179">
        <f>INDEX('Tarieven ZM'!$G:$G,$W66)</f>
        <v>1000</v>
      </c>
      <c r="AD66" s="276">
        <f>-INDEX(Parameters!$B:$B,MATCH(AD$3,Parameters!$A:$A,0))*$AC66</f>
        <v>0</v>
      </c>
      <c r="AE66" s="276">
        <f>-INDEX(Parameters!$B:$B,MATCH(AE$3,Parameters!$A:$A,0))*$AC66</f>
        <v>0</v>
      </c>
      <c r="AF66" s="179">
        <f t="shared" si="111"/>
        <v>1000</v>
      </c>
      <c r="AG66" s="278">
        <f t="shared" si="112"/>
        <v>1027.7777777777778</v>
      </c>
      <c r="AH66" s="209"/>
      <c r="AI66" s="279">
        <f>MATCH($T66,'Tarieven W&amp;O'!$B:$B,0)</f>
        <v>211</v>
      </c>
      <c r="AJ66" s="179">
        <f>IF(AI66&lt;&gt;"nvt",INDEX('Tarieven W&amp;O'!$H:$H,$AI66),0)</f>
        <v>0</v>
      </c>
      <c r="AK66" s="179">
        <f>IF(AI66&lt;&gt;"nvt",INDEX('Tarieven W&amp;O'!$I:$I,$AI66),0)</f>
        <v>0</v>
      </c>
      <c r="AL66" s="277">
        <f>IF(AI66&lt;&gt;"nvt",-INDEX(Parameters!$B:$B,MATCH(AL$3&amp;$M66,Parameters!$A:$A,0))*(AJ66+AK66),0)</f>
        <v>0</v>
      </c>
      <c r="AM66" s="277"/>
      <c r="AN66" s="179">
        <f t="shared" si="113"/>
        <v>0</v>
      </c>
      <c r="AO66" s="262">
        <f>AN66/INDEX(Parameters!$B:$B,MATCH("AfschrijftermijnVVE"&amp;12*$C66,Parameters!$A:$A,0))</f>
        <v>0</v>
      </c>
      <c r="AP66" s="179">
        <f>MATCH($U66,'Tarieven W&amp;O'!$B:$B,0)</f>
        <v>211</v>
      </c>
      <c r="AQ66" s="202">
        <f>IF(AP66&lt;&gt;"nvt",INDEX('Tarieven W&amp;O'!$G:$G,$AP66),0)</f>
        <v>0</v>
      </c>
      <c r="AR66" s="277">
        <f>-INDEX(Parameters!$B:$B,MATCH(AR$3&amp;M66&amp;$N66,Parameters!$A:$A,0))*(AQ66)</f>
        <v>0</v>
      </c>
      <c r="AS66" s="179"/>
      <c r="AT66" s="179"/>
      <c r="AU66" s="202">
        <f t="shared" si="114"/>
        <v>0</v>
      </c>
      <c r="AV66" s="202">
        <f t="shared" si="115"/>
        <v>0</v>
      </c>
      <c r="AW66" s="202"/>
      <c r="AX66" s="202">
        <f>Parameters!$B$6*AV66</f>
        <v>0</v>
      </c>
      <c r="AY66" s="202">
        <v>0</v>
      </c>
      <c r="AZ66" s="202"/>
      <c r="BA66" s="202">
        <f t="shared" si="120"/>
        <v>0</v>
      </c>
      <c r="BB66" s="202"/>
      <c r="BC66" s="278">
        <f t="shared" si="121"/>
        <v>0</v>
      </c>
      <c r="BD66" s="209"/>
      <c r="BE66" s="280">
        <f t="shared" si="116"/>
        <v>1027.7777777777778</v>
      </c>
      <c r="BF66" s="264">
        <f t="shared" si="117"/>
        <v>1</v>
      </c>
      <c r="BG66" s="274" t="b">
        <f t="shared" si="118"/>
        <v>0</v>
      </c>
      <c r="BI66" s="443" t="s">
        <v>538</v>
      </c>
      <c r="BJ66" s="281"/>
      <c r="BK66" s="203">
        <f>VLOOKUP(J66,'Tarieven ZM'!$B$7:$I$146,8,0)</f>
        <v>0</v>
      </c>
      <c r="BL66" s="203" t="str">
        <f t="shared" si="16"/>
        <v>VDSLStandard</v>
      </c>
      <c r="BM66" s="282">
        <v>0</v>
      </c>
      <c r="BN66" s="262">
        <f>BM66/INDEX(Parameters!$B:$B,MATCH("AfschrijftermijnVVE"&amp;12*$C66,Parameters!$A:$A,0))</f>
        <v>0</v>
      </c>
      <c r="BO66" s="262">
        <f>INDEX('inkoop ULL tbv Epacity'!I:I,MATCH($BL66,'inkoop ULL tbv Epacity'!H:H,0))</f>
        <v>0</v>
      </c>
      <c r="BP66" s="263">
        <f t="shared" si="122"/>
        <v>0</v>
      </c>
      <c r="BR66" s="262">
        <f>Parameters!$B$12*AG66</f>
        <v>102.77777777777779</v>
      </c>
      <c r="BS66" s="262">
        <f>SUM(Distributievergoedingen!$F$12,Distributievergoedingen!$I$12,Distributievergoedingen!$L$12,Distributievergoedingen!$O$12)*AF66+SUM(Distributievergoedingen!$O$12*AA66+Distributievergoedingen!$R$12+Distributievergoedingen!$U$12+Distributievergoedingen!$X$12)/(MAX(36,12*L66))</f>
        <v>112.77777777777777</v>
      </c>
      <c r="BT66" s="262"/>
      <c r="BU66" s="202">
        <f t="shared" si="123"/>
        <v>215.55555555555554</v>
      </c>
      <c r="BW66" s="278">
        <f t="shared" si="124"/>
        <v>215.55555555555554</v>
      </c>
      <c r="BY66" s="280">
        <f t="shared" si="125"/>
        <v>812.22222222222229</v>
      </c>
      <c r="BZ66" s="264">
        <f t="shared" si="126"/>
        <v>0.7902702702702703</v>
      </c>
      <c r="CA66" s="274" t="b">
        <f t="shared" si="127"/>
        <v>0</v>
      </c>
    </row>
    <row r="67" spans="1:79" s="203" customFormat="1">
      <c r="A67" s="203" t="str">
        <f t="shared" si="119"/>
        <v>3VDSL BondingEntrykantooruren</v>
      </c>
      <c r="B67" s="203" t="str">
        <f t="shared" si="106"/>
        <v>3VDSL BondingEntrykantooruren</v>
      </c>
      <c r="C67" s="438">
        <v>3</v>
      </c>
      <c r="D67" s="438" t="s">
        <v>170</v>
      </c>
      <c r="E67" s="438" t="s">
        <v>78</v>
      </c>
      <c r="F67" s="438" t="s">
        <v>1250</v>
      </c>
      <c r="G67" s="438" t="s">
        <v>115</v>
      </c>
      <c r="H67" s="438" t="s">
        <v>115</v>
      </c>
      <c r="I67" s="438" t="s">
        <v>115</v>
      </c>
      <c r="J67" s="274" t="str">
        <f t="shared" si="107"/>
        <v>VDSL BondingEntrykantooruren</v>
      </c>
      <c r="L67" s="273">
        <f>INDEX(Mapping!$J:$J,MATCH(C$3&amp;C67,Mapping!$B:$B,0))</f>
        <v>1</v>
      </c>
      <c r="M67" s="179" t="str">
        <f>INDEX(Mapping!$H:$H,MATCH($E67,Mapping!$B:$B,0))</f>
        <v>WBA CM Ethernet</v>
      </c>
      <c r="N67" s="179" t="str">
        <f>INDEX(Mapping!$J:$J,MATCH($J67,Mapping!$B:$B,0))</f>
        <v>VDSL</v>
      </c>
      <c r="O67" s="179" t="str">
        <f>INDEX(Mapping!$K:$K,MATCH($J67,Mapping!$B:$B,0))</f>
        <v>Standard</v>
      </c>
      <c r="P67"/>
      <c r="Q67" s="179"/>
      <c r="R67" s="179" t="str">
        <f>INDEX(Mapping!$H:$H,MATCH($H67,Mapping!$B:$B,0))</f>
        <v>nvt</v>
      </c>
      <c r="S67" s="179" t="str">
        <f>INDEX(Mapping!$H:$H,MATCH($I67,Mapping!$B:$B,0))</f>
        <v>nvt</v>
      </c>
      <c r="T67" s="179" t="str">
        <f t="shared" si="108"/>
        <v>WBA CM EthernetVDSLStandard</v>
      </c>
      <c r="U67" s="274" t="str">
        <f t="shared" si="109"/>
        <v>WBA CM EthernetVDSLStandard</v>
      </c>
      <c r="W67" s="273">
        <f>MATCH($J67,'Tarieven ZM'!$B:$B,0)</f>
        <v>131</v>
      </c>
      <c r="X67" s="179">
        <f>INDEX('Tarieven ZM'!$H:$H,$W67)</f>
        <v>1000</v>
      </c>
      <c r="Y67" s="276">
        <f>-INDEX(Parameters!$B:$B,MATCH(Y$3,Parameters!$A:$A,0))*$X67</f>
        <v>0</v>
      </c>
      <c r="Z67" s="277">
        <f>-INDEX(Parameters!$B:$B,MATCH(Z$3,Parameters!$A:$A,0))*$X67</f>
        <v>0</v>
      </c>
      <c r="AA67" s="179">
        <f t="shared" si="110"/>
        <v>1000</v>
      </c>
      <c r="AB67" s="179">
        <f>AA67/INDEX(Parameters!$B:$B,MATCH("AfschrijftermijnVVE"&amp;12*$C67,Parameters!$A:$A,0))</f>
        <v>27.777777777777779</v>
      </c>
      <c r="AC67" s="179">
        <f>INDEX('Tarieven ZM'!$G:$G,$W67)</f>
        <v>1000</v>
      </c>
      <c r="AD67" s="276">
        <f>-INDEX(Parameters!$B:$B,MATCH(AD$3,Parameters!$A:$A,0))*$AC67</f>
        <v>0</v>
      </c>
      <c r="AE67" s="276">
        <f>-INDEX(Parameters!$B:$B,MATCH(AE$3,Parameters!$A:$A,0))*$AC67</f>
        <v>0</v>
      </c>
      <c r="AF67" s="179">
        <f t="shared" si="111"/>
        <v>1000</v>
      </c>
      <c r="AG67" s="278">
        <f t="shared" si="112"/>
        <v>1027.7777777777778</v>
      </c>
      <c r="AH67" s="209"/>
      <c r="AI67" s="279">
        <f>MATCH($T67,'Tarieven W&amp;O'!$B:$B,0)</f>
        <v>206</v>
      </c>
      <c r="AJ67" s="179">
        <f>IF(AI67&lt;&gt;"nvt",INDEX('Tarieven W&amp;O'!$H:$H,$AI67),0)</f>
        <v>0</v>
      </c>
      <c r="AK67" s="179">
        <f>IF(AI67&lt;&gt;"nvt",INDEX('Tarieven W&amp;O'!$I:$I,$AI67),0)</f>
        <v>0</v>
      </c>
      <c r="AL67" s="277">
        <f>IF(AI67&lt;&gt;"nvt",-INDEX(Parameters!$B:$B,MATCH(AL$3&amp;$M67,Parameters!$A:$A,0))*(AJ67+AK67),0)</f>
        <v>0</v>
      </c>
      <c r="AM67" s="277"/>
      <c r="AN67" s="179">
        <f t="shared" si="113"/>
        <v>0</v>
      </c>
      <c r="AO67" s="262">
        <f>AN67/INDEX(Parameters!$B:$B,MATCH("AfschrijftermijnVVE"&amp;12*$C67,Parameters!$A:$A,0))</f>
        <v>0</v>
      </c>
      <c r="AP67" s="179">
        <f>MATCH($U67,'Tarieven W&amp;O'!$B:$B,0)</f>
        <v>206</v>
      </c>
      <c r="AQ67" s="202">
        <f>IF(AP67&lt;&gt;"nvt",INDEX('Tarieven W&amp;O'!$G:$G,$AP67),0)</f>
        <v>0</v>
      </c>
      <c r="AR67" s="277">
        <f>-INDEX(Parameters!$B:$B,MATCH(AR$3&amp;M67&amp;$N67,Parameters!$A:$A,0))*(AQ67)</f>
        <v>0</v>
      </c>
      <c r="AS67" s="179"/>
      <c r="AT67" s="179"/>
      <c r="AU67" s="202">
        <f t="shared" si="114"/>
        <v>0</v>
      </c>
      <c r="AV67" s="202">
        <f t="shared" si="115"/>
        <v>0</v>
      </c>
      <c r="AW67" s="202"/>
      <c r="AX67" s="202">
        <f>Parameters!$B$6*AV67</f>
        <v>0</v>
      </c>
      <c r="AY67" s="202">
        <v>0</v>
      </c>
      <c r="AZ67" s="202"/>
      <c r="BA67" s="202">
        <f t="shared" si="120"/>
        <v>0</v>
      </c>
      <c r="BB67" s="202"/>
      <c r="BC67" s="278">
        <f t="shared" si="121"/>
        <v>0</v>
      </c>
      <c r="BD67" s="209"/>
      <c r="BE67" s="280">
        <f t="shared" si="116"/>
        <v>1027.7777777777778</v>
      </c>
      <c r="BF67" s="264">
        <f t="shared" si="117"/>
        <v>1</v>
      </c>
      <c r="BG67" s="274" t="b">
        <f t="shared" si="118"/>
        <v>0</v>
      </c>
      <c r="BI67" s="443" t="s">
        <v>538</v>
      </c>
      <c r="BJ67" s="281"/>
      <c r="BK67" s="203">
        <f>VLOOKUP(J67,'Tarieven ZM'!$B$7:$I$146,8,0)</f>
        <v>0</v>
      </c>
      <c r="BL67" s="203" t="str">
        <f t="shared" si="16"/>
        <v>VDSLStandard</v>
      </c>
      <c r="BM67" s="282">
        <v>0</v>
      </c>
      <c r="BN67" s="262">
        <f>BM67/INDEX(Parameters!$B:$B,MATCH("AfschrijftermijnVVE"&amp;12*$C67,Parameters!$A:$A,0))</f>
        <v>0</v>
      </c>
      <c r="BO67" s="262">
        <f>INDEX('inkoop ULL tbv Epacity'!I:I,MATCH($BL67,'inkoop ULL tbv Epacity'!H:H,0))</f>
        <v>0</v>
      </c>
      <c r="BP67" s="263">
        <f t="shared" si="122"/>
        <v>0</v>
      </c>
      <c r="BR67" s="262">
        <f>Parameters!$B$12*AG67</f>
        <v>102.77777777777779</v>
      </c>
      <c r="BS67" s="262">
        <f>SUM(Distributievergoedingen!$F$12,Distributievergoedingen!$I$12,Distributievergoedingen!$L$12,Distributievergoedingen!$O$12)*AF67+SUM(Distributievergoedingen!$O$12*AA67+Distributievergoedingen!$R$12+Distributievergoedingen!$U$12+Distributievergoedingen!$X$12)/(MAX(36,12*L67))</f>
        <v>112.77777777777777</v>
      </c>
      <c r="BT67" s="262"/>
      <c r="BU67" s="202">
        <f t="shared" si="123"/>
        <v>215.55555555555554</v>
      </c>
      <c r="BW67" s="278">
        <f t="shared" si="124"/>
        <v>215.55555555555554</v>
      </c>
      <c r="BY67" s="280">
        <f t="shared" si="125"/>
        <v>812.22222222222229</v>
      </c>
      <c r="BZ67" s="264">
        <f t="shared" si="126"/>
        <v>0.7902702702702703</v>
      </c>
      <c r="CA67" s="274" t="b">
        <f t="shared" si="127"/>
        <v>0</v>
      </c>
    </row>
    <row r="68" spans="1:79" s="203" customFormat="1">
      <c r="A68" s="203" t="str">
        <f t="shared" si="119"/>
        <v>3VDSL BondingPremiumkantooruren</v>
      </c>
      <c r="B68" s="203" t="str">
        <f t="shared" si="106"/>
        <v>3VDSL BondingPremiumkantooruren</v>
      </c>
      <c r="C68" s="438">
        <v>3</v>
      </c>
      <c r="D68" s="438" t="s">
        <v>170</v>
      </c>
      <c r="E68" s="438" t="s">
        <v>70</v>
      </c>
      <c r="F68" s="438" t="s">
        <v>1250</v>
      </c>
      <c r="G68" s="438" t="s">
        <v>115</v>
      </c>
      <c r="H68" s="438" t="s">
        <v>115</v>
      </c>
      <c r="I68" s="438" t="s">
        <v>115</v>
      </c>
      <c r="J68" s="274" t="str">
        <f t="shared" si="107"/>
        <v>VDSL BondingPremiumkantooruren</v>
      </c>
      <c r="L68" s="273">
        <f>INDEX(Mapping!$J:$J,MATCH(C$3&amp;C68,Mapping!$B:$B,0))</f>
        <v>1</v>
      </c>
      <c r="M68" s="179" t="str">
        <f>INDEX(Mapping!$H:$H,MATCH($E68,Mapping!$B:$B,0))</f>
        <v>WBA ZM Ethernet</v>
      </c>
      <c r="N68" s="179" t="str">
        <f>INDEX(Mapping!$J:$J,MATCH($J68,Mapping!$B:$B,0))</f>
        <v>VDSL</v>
      </c>
      <c r="O68" s="179" t="str">
        <f>INDEX(Mapping!$K:$K,MATCH($J68,Mapping!$B:$B,0))</f>
        <v>Standard</v>
      </c>
      <c r="P68"/>
      <c r="Q68" s="179"/>
      <c r="R68" s="179" t="str">
        <f>INDEX(Mapping!$H:$H,MATCH($H68,Mapping!$B:$B,0))</f>
        <v>nvt</v>
      </c>
      <c r="S68" s="179" t="str">
        <f>INDEX(Mapping!$H:$H,MATCH($I68,Mapping!$B:$B,0))</f>
        <v>nvt</v>
      </c>
      <c r="T68" s="179" t="str">
        <f t="shared" si="108"/>
        <v>WBA ZM EthernetVDSLStandard</v>
      </c>
      <c r="U68" s="274" t="str">
        <f t="shared" si="109"/>
        <v>WBA ZM EthernetVDSLStandard</v>
      </c>
      <c r="W68" s="273">
        <f>MATCH($J68,'Tarieven ZM'!$B:$B,0)</f>
        <v>132</v>
      </c>
      <c r="X68" s="179">
        <f>INDEX('Tarieven ZM'!$H:$H,$W68)</f>
        <v>1000</v>
      </c>
      <c r="Y68" s="276">
        <f>-INDEX(Parameters!$B:$B,MATCH(Y$3,Parameters!$A:$A,0))*$X68</f>
        <v>0</v>
      </c>
      <c r="Z68" s="277">
        <f>-INDEX(Parameters!$B:$B,MATCH(Z$3,Parameters!$A:$A,0))*$X68</f>
        <v>0</v>
      </c>
      <c r="AA68" s="179">
        <f t="shared" si="110"/>
        <v>1000</v>
      </c>
      <c r="AB68" s="179">
        <f>AA68/INDEX(Parameters!$B:$B,MATCH("AfschrijftermijnVVE"&amp;12*$C68,Parameters!$A:$A,0))</f>
        <v>27.777777777777779</v>
      </c>
      <c r="AC68" s="179">
        <f>INDEX('Tarieven ZM'!$G:$G,$W68)</f>
        <v>1000</v>
      </c>
      <c r="AD68" s="276">
        <f>-INDEX(Parameters!$B:$B,MATCH(AD$3,Parameters!$A:$A,0))*$AC68</f>
        <v>0</v>
      </c>
      <c r="AE68" s="276">
        <f>-INDEX(Parameters!$B:$B,MATCH(AE$3,Parameters!$A:$A,0))*$AC68</f>
        <v>0</v>
      </c>
      <c r="AF68" s="179">
        <f t="shared" si="111"/>
        <v>1000</v>
      </c>
      <c r="AG68" s="278">
        <f t="shared" si="112"/>
        <v>1027.7777777777778</v>
      </c>
      <c r="AH68" s="209"/>
      <c r="AI68" s="279">
        <f>MATCH($T68,'Tarieven W&amp;O'!$B:$B,0)</f>
        <v>211</v>
      </c>
      <c r="AJ68" s="179">
        <f>IF(AI68&lt;&gt;"nvt",INDEX('Tarieven W&amp;O'!$H:$H,$AI68),0)</f>
        <v>0</v>
      </c>
      <c r="AK68" s="179">
        <f>IF(AI68&lt;&gt;"nvt",INDEX('Tarieven W&amp;O'!$I:$I,$AI68),0)</f>
        <v>0</v>
      </c>
      <c r="AL68" s="277">
        <f>IF(AI68&lt;&gt;"nvt",-INDEX(Parameters!$B:$B,MATCH(AL$3&amp;$M68,Parameters!$A:$A,0))*(AJ68+AK68),0)</f>
        <v>0</v>
      </c>
      <c r="AM68" s="277"/>
      <c r="AN68" s="179">
        <f t="shared" si="113"/>
        <v>0</v>
      </c>
      <c r="AO68" s="262">
        <f>AN68/INDEX(Parameters!$B:$B,MATCH("AfschrijftermijnVVE"&amp;12*$C68,Parameters!$A:$A,0))</f>
        <v>0</v>
      </c>
      <c r="AP68" s="179">
        <f>MATCH($U68,'Tarieven W&amp;O'!$B:$B,0)</f>
        <v>211</v>
      </c>
      <c r="AQ68" s="202">
        <f>IF(AP68&lt;&gt;"nvt",INDEX('Tarieven W&amp;O'!$G:$G,$AP68),0)</f>
        <v>0</v>
      </c>
      <c r="AR68" s="277">
        <f>-INDEX(Parameters!$B:$B,MATCH(AR$3&amp;M68&amp;$N68,Parameters!$A:$A,0))*(AQ68)</f>
        <v>0</v>
      </c>
      <c r="AS68" s="179"/>
      <c r="AT68" s="179"/>
      <c r="AU68" s="202">
        <f t="shared" si="114"/>
        <v>0</v>
      </c>
      <c r="AV68" s="202">
        <f t="shared" si="115"/>
        <v>0</v>
      </c>
      <c r="AW68" s="202"/>
      <c r="AX68" s="202">
        <f>Parameters!$B$6*AV68</f>
        <v>0</v>
      </c>
      <c r="AY68" s="202">
        <v>0</v>
      </c>
      <c r="AZ68" s="202"/>
      <c r="BA68" s="202">
        <f t="shared" si="120"/>
        <v>0</v>
      </c>
      <c r="BB68" s="202"/>
      <c r="BC68" s="278">
        <f t="shared" si="121"/>
        <v>0</v>
      </c>
      <c r="BD68" s="209"/>
      <c r="BE68" s="280">
        <f t="shared" si="116"/>
        <v>1027.7777777777778</v>
      </c>
      <c r="BF68" s="264">
        <f t="shared" si="117"/>
        <v>1</v>
      </c>
      <c r="BG68" s="274" t="b">
        <f t="shared" si="118"/>
        <v>0</v>
      </c>
      <c r="BI68" s="443" t="s">
        <v>538</v>
      </c>
      <c r="BJ68" s="281"/>
      <c r="BK68" s="203">
        <f>VLOOKUP(J68,'Tarieven ZM'!$B$7:$I$146,8,0)</f>
        <v>0</v>
      </c>
      <c r="BL68" s="203" t="str">
        <f t="shared" si="16"/>
        <v>VDSLStandard</v>
      </c>
      <c r="BM68" s="282">
        <v>0</v>
      </c>
      <c r="BN68" s="262">
        <f>BM68/INDEX(Parameters!$B:$B,MATCH("AfschrijftermijnVVE"&amp;12*$C68,Parameters!$A:$A,0))</f>
        <v>0</v>
      </c>
      <c r="BO68" s="262">
        <f>INDEX('inkoop ULL tbv Epacity'!I:I,MATCH($BL68,'inkoop ULL tbv Epacity'!H:H,0))</f>
        <v>0</v>
      </c>
      <c r="BP68" s="263">
        <f t="shared" si="122"/>
        <v>0</v>
      </c>
      <c r="BR68" s="262">
        <f>Parameters!$B$12*AG68</f>
        <v>102.77777777777779</v>
      </c>
      <c r="BS68" s="262">
        <f>SUM(Distributievergoedingen!$F$12,Distributievergoedingen!$I$12,Distributievergoedingen!$L$12,Distributievergoedingen!$O$12)*AF68+SUM(Distributievergoedingen!$O$12*AA68+Distributievergoedingen!$R$12+Distributievergoedingen!$U$12+Distributievergoedingen!$X$12)/(MAX(36,12*L68))</f>
        <v>112.77777777777777</v>
      </c>
      <c r="BT68" s="262"/>
      <c r="BU68" s="202">
        <f t="shared" si="123"/>
        <v>215.55555555555554</v>
      </c>
      <c r="BW68" s="278">
        <f t="shared" si="124"/>
        <v>215.55555555555554</v>
      </c>
      <c r="BY68" s="280">
        <f t="shared" si="125"/>
        <v>812.22222222222229</v>
      </c>
      <c r="BZ68" s="264">
        <f t="shared" si="126"/>
        <v>0.7902702702702703</v>
      </c>
      <c r="CA68" s="274" t="b">
        <f t="shared" si="127"/>
        <v>0</v>
      </c>
    </row>
    <row r="69" spans="1:79" s="203" customFormat="1">
      <c r="A69" s="203" t="str">
        <f t="shared" si="119"/>
        <v>3SA IPVPNEntrykantooruren</v>
      </c>
      <c r="B69" s="203" t="str">
        <f t="shared" si="106"/>
        <v>3SA IPVPNEntrykantooruren</v>
      </c>
      <c r="C69" s="438">
        <v>3</v>
      </c>
      <c r="D69" s="438" t="s">
        <v>93</v>
      </c>
      <c r="E69" s="438" t="s">
        <v>78</v>
      </c>
      <c r="F69" s="438" t="s">
        <v>1250</v>
      </c>
      <c r="G69" s="438" t="s">
        <v>115</v>
      </c>
      <c r="H69" s="438" t="s">
        <v>115</v>
      </c>
      <c r="I69" s="438" t="s">
        <v>115</v>
      </c>
      <c r="J69" s="274" t="str">
        <f t="shared" si="107"/>
        <v>SA IPVPNEntrykantooruren</v>
      </c>
      <c r="L69" s="273">
        <f>INDEX(Mapping!$J:$J,MATCH(C$3&amp;C69,Mapping!$B:$B,0))</f>
        <v>1</v>
      </c>
      <c r="M69" s="179" t="str">
        <f>INDEX(Mapping!$H:$H,MATCH($E69,Mapping!$B:$B,0))</f>
        <v>WBA CM Ethernet</v>
      </c>
      <c r="N69" s="179" t="str">
        <f>INDEX(Mapping!$J:$J,MATCH($J69,Mapping!$B:$B,0))</f>
        <v>FttH</v>
      </c>
      <c r="O69" s="179" t="str">
        <f>INDEX(Mapping!$K:$K,MATCH($J69,Mapping!$B:$B,0))</f>
        <v>Standard</v>
      </c>
      <c r="P69"/>
      <c r="Q69" s="179"/>
      <c r="R69" s="179" t="str">
        <f>INDEX(Mapping!$H:$H,MATCH($H69,Mapping!$B:$B,0))</f>
        <v>nvt</v>
      </c>
      <c r="S69" s="179" t="str">
        <f>INDEX(Mapping!$H:$H,MATCH($I69,Mapping!$B:$B,0))</f>
        <v>nvt</v>
      </c>
      <c r="T69" s="179" t="str">
        <f t="shared" si="108"/>
        <v>WBA CM EthernetFttHStandard</v>
      </c>
      <c r="U69" s="274" t="str">
        <f t="shared" si="109"/>
        <v>WBA CM EthernetFttHStandard</v>
      </c>
      <c r="W69" s="273">
        <f>MATCH($J69,'Tarieven ZM'!$B:$B,0)</f>
        <v>133</v>
      </c>
      <c r="X69" s="179">
        <f>INDEX('Tarieven ZM'!$H:$H,$W69)</f>
        <v>1000</v>
      </c>
      <c r="Y69" s="276">
        <f>-INDEX(Parameters!$B:$B,MATCH(Y$3,Parameters!$A:$A,0))*$X69</f>
        <v>0</v>
      </c>
      <c r="Z69" s="277">
        <f>-INDEX(Parameters!$B:$B,MATCH(Z$3,Parameters!$A:$A,0))*$X69</f>
        <v>0</v>
      </c>
      <c r="AA69" s="179">
        <f t="shared" si="110"/>
        <v>1000</v>
      </c>
      <c r="AB69" s="179">
        <f>AA69/INDEX(Parameters!$B:$B,MATCH("AfschrijftermijnVVE"&amp;12*$C69,Parameters!$A:$A,0))</f>
        <v>27.777777777777779</v>
      </c>
      <c r="AC69" s="179">
        <f>INDEX('Tarieven ZM'!$G:$G,$W69)</f>
        <v>1000</v>
      </c>
      <c r="AD69" s="276">
        <f>-INDEX(Parameters!$B:$B,MATCH(AD$3,Parameters!$A:$A,0))*$AC69</f>
        <v>0</v>
      </c>
      <c r="AE69" s="276">
        <f>-INDEX(Parameters!$B:$B,MATCH(AE$3,Parameters!$A:$A,0))*$AC69</f>
        <v>0</v>
      </c>
      <c r="AF69" s="179">
        <f t="shared" si="111"/>
        <v>1000</v>
      </c>
      <c r="AG69" s="278">
        <f t="shared" si="112"/>
        <v>1027.7777777777778</v>
      </c>
      <c r="AH69" s="209"/>
      <c r="AI69" s="279">
        <f>MATCH($T69,'Tarieven W&amp;O'!$B:$B,0)</f>
        <v>208</v>
      </c>
      <c r="AJ69" s="179">
        <f>IF(AI69&lt;&gt;"nvt",INDEX('Tarieven W&amp;O'!$H:$H,$AI69),0)</f>
        <v>0</v>
      </c>
      <c r="AK69" s="179">
        <f>IF(AI69&lt;&gt;"nvt",INDEX('Tarieven W&amp;O'!$I:$I,$AI69),0)</f>
        <v>0</v>
      </c>
      <c r="AL69" s="277">
        <f>IF(AI69&lt;&gt;"nvt",-INDEX(Parameters!$B:$B,MATCH(AL$3&amp;$M69,Parameters!$A:$A,0))*(AJ69+AK69),0)</f>
        <v>0</v>
      </c>
      <c r="AM69" s="277"/>
      <c r="AN69" s="179">
        <f t="shared" si="113"/>
        <v>0</v>
      </c>
      <c r="AO69" s="262">
        <f>AN69/INDEX(Parameters!$B:$B,MATCH("AfschrijftermijnVVE"&amp;12*$C69,Parameters!$A:$A,0))</f>
        <v>0</v>
      </c>
      <c r="AP69" s="179">
        <f>MATCH($U69,'Tarieven W&amp;O'!$B:$B,0)</f>
        <v>208</v>
      </c>
      <c r="AQ69" s="202">
        <f>IF(AP69&lt;&gt;"nvt",INDEX('Tarieven W&amp;O'!$G:$G,$AP69),0)</f>
        <v>0</v>
      </c>
      <c r="AR69" s="277">
        <f>-INDEX(Parameters!$B:$B,MATCH(AR$3&amp;M69&amp;$N69,Parameters!$A:$A,0))*(AQ69)</f>
        <v>0</v>
      </c>
      <c r="AS69" s="179"/>
      <c r="AT69" s="179"/>
      <c r="AU69" s="202">
        <f t="shared" si="114"/>
        <v>0</v>
      </c>
      <c r="AV69" s="202">
        <f t="shared" si="115"/>
        <v>0</v>
      </c>
      <c r="AW69" s="202"/>
      <c r="AX69" s="202">
        <f>Parameters!$B$6*AV69</f>
        <v>0</v>
      </c>
      <c r="AY69" s="202">
        <v>0</v>
      </c>
      <c r="AZ69" s="202"/>
      <c r="BA69" s="202">
        <f t="shared" si="120"/>
        <v>0</v>
      </c>
      <c r="BB69" s="202"/>
      <c r="BC69" s="278">
        <f t="shared" si="121"/>
        <v>0</v>
      </c>
      <c r="BD69" s="209"/>
      <c r="BE69" s="280">
        <f t="shared" si="116"/>
        <v>1027.7777777777778</v>
      </c>
      <c r="BF69" s="264">
        <f t="shared" si="117"/>
        <v>1</v>
      </c>
      <c r="BG69" s="274" t="b">
        <f t="shared" si="118"/>
        <v>0</v>
      </c>
      <c r="BI69" s="443" t="s">
        <v>538</v>
      </c>
      <c r="BJ69" s="281"/>
      <c r="BK69" s="203">
        <f>VLOOKUP(J69,'Tarieven ZM'!$B$7:$I$146,8,0)</f>
        <v>0</v>
      </c>
      <c r="BL69" s="203" t="str">
        <f t="shared" ref="BL69:BL72" si="128">N69&amp;O69</f>
        <v>FttHStandard</v>
      </c>
      <c r="BM69" s="282">
        <v>0</v>
      </c>
      <c r="BN69" s="262">
        <f>BM69/INDEX(Parameters!$B:$B,MATCH("AfschrijftermijnVVE"&amp;12*$C69,Parameters!$A:$A,0))</f>
        <v>0</v>
      </c>
      <c r="BO69" s="262">
        <f>INDEX('inkoop ULL tbv Epacity'!I:I,MATCH($BL69,'inkoop ULL tbv Epacity'!H:H,0))</f>
        <v>0</v>
      </c>
      <c r="BP69" s="263">
        <f t="shared" si="122"/>
        <v>0</v>
      </c>
      <c r="BR69" s="262">
        <f>Parameters!$B$12*AG69</f>
        <v>102.77777777777779</v>
      </c>
      <c r="BS69" s="262">
        <f>SUM(Distributievergoedingen!$F$12,Distributievergoedingen!$I$12,Distributievergoedingen!$L$12,Distributievergoedingen!$O$12)*AF69+SUM(Distributievergoedingen!$O$12*AA69+Distributievergoedingen!$R$12+Distributievergoedingen!$U$12+Distributievergoedingen!$X$12)/(MAX(36,12*L69))</f>
        <v>112.77777777777777</v>
      </c>
      <c r="BT69" s="262"/>
      <c r="BU69" s="202">
        <f t="shared" si="123"/>
        <v>215.55555555555554</v>
      </c>
      <c r="BW69" s="278">
        <f t="shared" si="124"/>
        <v>215.55555555555554</v>
      </c>
      <c r="BY69" s="280">
        <f t="shared" si="125"/>
        <v>812.22222222222229</v>
      </c>
      <c r="BZ69" s="264">
        <f t="shared" si="126"/>
        <v>0.7902702702702703</v>
      </c>
      <c r="CA69" s="274" t="b">
        <f t="shared" si="127"/>
        <v>0</v>
      </c>
    </row>
    <row r="70" spans="1:79" s="203" customFormat="1">
      <c r="A70" s="203" t="str">
        <f t="shared" si="119"/>
        <v>3SA IPVPNPremiumkantooruren</v>
      </c>
      <c r="B70" s="203" t="str">
        <f t="shared" si="106"/>
        <v>3SA IPVPNPremiumkantooruren</v>
      </c>
      <c r="C70" s="438">
        <v>3</v>
      </c>
      <c r="D70" s="438" t="s">
        <v>93</v>
      </c>
      <c r="E70" s="438" t="s">
        <v>70</v>
      </c>
      <c r="F70" s="438" t="s">
        <v>1250</v>
      </c>
      <c r="G70" s="438" t="s">
        <v>115</v>
      </c>
      <c r="H70" s="438" t="s">
        <v>115</v>
      </c>
      <c r="I70" s="438" t="s">
        <v>115</v>
      </c>
      <c r="J70" s="274" t="str">
        <f t="shared" si="107"/>
        <v>SA IPVPNPremiumkantooruren</v>
      </c>
      <c r="L70" s="273">
        <f>INDEX(Mapping!$J:$J,MATCH(C$3&amp;C70,Mapping!$B:$B,0))</f>
        <v>1</v>
      </c>
      <c r="M70" s="179" t="str">
        <f>INDEX(Mapping!$H:$H,MATCH($E70,Mapping!$B:$B,0))</f>
        <v>WBA ZM Ethernet</v>
      </c>
      <c r="N70" s="179" t="str">
        <f>INDEX(Mapping!$J:$J,MATCH($J70,Mapping!$B:$B,0))</f>
        <v>FttH</v>
      </c>
      <c r="O70" s="179" t="str">
        <f>INDEX(Mapping!$K:$K,MATCH($J70,Mapping!$B:$B,0))</f>
        <v>Standard</v>
      </c>
      <c r="P70"/>
      <c r="Q70" s="179"/>
      <c r="R70" s="179" t="str">
        <f>INDEX(Mapping!$H:$H,MATCH($H70,Mapping!$B:$B,0))</f>
        <v>nvt</v>
      </c>
      <c r="S70" s="179" t="str">
        <f>INDEX(Mapping!$H:$H,MATCH($I70,Mapping!$B:$B,0))</f>
        <v>nvt</v>
      </c>
      <c r="T70" s="179" t="str">
        <f t="shared" si="108"/>
        <v>WBA ZM EthernetFttHStandard</v>
      </c>
      <c r="U70" s="274" t="str">
        <f t="shared" si="109"/>
        <v>WBA ZM EthernetFttHStandard</v>
      </c>
      <c r="W70" s="273">
        <f>MATCH($J70,'Tarieven ZM'!$B:$B,0)</f>
        <v>134</v>
      </c>
      <c r="X70" s="179">
        <f>INDEX('Tarieven ZM'!$H:$H,$W70)</f>
        <v>1000</v>
      </c>
      <c r="Y70" s="276">
        <f>-INDEX(Parameters!$B:$B,MATCH(Y$3,Parameters!$A:$A,0))*$X70</f>
        <v>0</v>
      </c>
      <c r="Z70" s="277">
        <f>-INDEX(Parameters!$B:$B,MATCH(Z$3,Parameters!$A:$A,0))*$X70</f>
        <v>0</v>
      </c>
      <c r="AA70" s="179">
        <f t="shared" si="110"/>
        <v>1000</v>
      </c>
      <c r="AB70" s="179">
        <f>AA70/INDEX(Parameters!$B:$B,MATCH("AfschrijftermijnVVE"&amp;12*$C70,Parameters!$A:$A,0))</f>
        <v>27.777777777777779</v>
      </c>
      <c r="AC70" s="179">
        <f>INDEX('Tarieven ZM'!$G:$G,$W70)</f>
        <v>1000</v>
      </c>
      <c r="AD70" s="276">
        <f>-INDEX(Parameters!$B:$B,MATCH(AD$3,Parameters!$A:$A,0))*$AC70</f>
        <v>0</v>
      </c>
      <c r="AE70" s="276">
        <f>-INDEX(Parameters!$B:$B,MATCH(AE$3,Parameters!$A:$A,0))*$AC70</f>
        <v>0</v>
      </c>
      <c r="AF70" s="179">
        <f t="shared" si="111"/>
        <v>1000</v>
      </c>
      <c r="AG70" s="278">
        <f t="shared" si="112"/>
        <v>1027.7777777777778</v>
      </c>
      <c r="AH70" s="209"/>
      <c r="AI70" s="279">
        <f>MATCH($T70,'Tarieven W&amp;O'!$B:$B,0)</f>
        <v>213</v>
      </c>
      <c r="AJ70" s="179">
        <f>IF(AI70&lt;&gt;"nvt",INDEX('Tarieven W&amp;O'!$H:$H,$AI70),0)</f>
        <v>0</v>
      </c>
      <c r="AK70" s="179">
        <f>IF(AI70&lt;&gt;"nvt",INDEX('Tarieven W&amp;O'!$I:$I,$AI70),0)</f>
        <v>0</v>
      </c>
      <c r="AL70" s="277">
        <f>IF(AI70&lt;&gt;"nvt",-INDEX(Parameters!$B:$B,MATCH(AL$3&amp;$M70,Parameters!$A:$A,0))*(AJ70+AK70),0)</f>
        <v>0</v>
      </c>
      <c r="AM70" s="277"/>
      <c r="AN70" s="179">
        <f t="shared" si="113"/>
        <v>0</v>
      </c>
      <c r="AO70" s="262">
        <f>AN70/INDEX(Parameters!$B:$B,MATCH("AfschrijftermijnVVE"&amp;12*$C70,Parameters!$A:$A,0))</f>
        <v>0</v>
      </c>
      <c r="AP70" s="179">
        <f>MATCH($U70,'Tarieven W&amp;O'!$B:$B,0)</f>
        <v>213</v>
      </c>
      <c r="AQ70" s="202">
        <f>IF(AP70&lt;&gt;"nvt",INDEX('Tarieven W&amp;O'!$G:$G,$AP70),0)</f>
        <v>0</v>
      </c>
      <c r="AR70" s="277">
        <f>-INDEX(Parameters!$B:$B,MATCH(AR$3&amp;M70&amp;$N70,Parameters!$A:$A,0))*(AQ70)</f>
        <v>0</v>
      </c>
      <c r="AS70" s="179"/>
      <c r="AT70" s="179"/>
      <c r="AU70" s="202">
        <f t="shared" si="114"/>
        <v>0</v>
      </c>
      <c r="AV70" s="202">
        <f t="shared" si="115"/>
        <v>0</v>
      </c>
      <c r="AW70" s="202"/>
      <c r="AX70" s="202">
        <f>Parameters!$B$6*AV70</f>
        <v>0</v>
      </c>
      <c r="AY70" s="202">
        <v>0</v>
      </c>
      <c r="AZ70" s="202"/>
      <c r="BA70" s="202">
        <f t="shared" si="120"/>
        <v>0</v>
      </c>
      <c r="BB70" s="202"/>
      <c r="BC70" s="278">
        <f t="shared" si="121"/>
        <v>0</v>
      </c>
      <c r="BD70" s="209"/>
      <c r="BE70" s="280">
        <f t="shared" si="116"/>
        <v>1027.7777777777778</v>
      </c>
      <c r="BF70" s="264">
        <f t="shared" si="117"/>
        <v>1</v>
      </c>
      <c r="BG70" s="274" t="b">
        <f t="shared" si="118"/>
        <v>0</v>
      </c>
      <c r="BI70" s="443" t="s">
        <v>538</v>
      </c>
      <c r="BJ70" s="281"/>
      <c r="BK70" s="203">
        <f>VLOOKUP(J70,'Tarieven ZM'!$B$7:$I$146,8,0)</f>
        <v>0</v>
      </c>
      <c r="BL70" s="203" t="str">
        <f t="shared" si="128"/>
        <v>FttHStandard</v>
      </c>
      <c r="BM70" s="282">
        <v>0</v>
      </c>
      <c r="BN70" s="262">
        <f>BM70/INDEX(Parameters!$B:$B,MATCH("AfschrijftermijnVVE"&amp;12*$C70,Parameters!$A:$A,0))</f>
        <v>0</v>
      </c>
      <c r="BO70" s="262">
        <f>INDEX('inkoop ULL tbv Epacity'!I:I,MATCH($BL70,'inkoop ULL tbv Epacity'!H:H,0))</f>
        <v>0</v>
      </c>
      <c r="BP70" s="263">
        <f t="shared" si="122"/>
        <v>0</v>
      </c>
      <c r="BR70" s="262">
        <f>Parameters!$B$12*AG70</f>
        <v>102.77777777777779</v>
      </c>
      <c r="BS70" s="262">
        <f>SUM(Distributievergoedingen!$F$12,Distributievergoedingen!$I$12,Distributievergoedingen!$L$12,Distributievergoedingen!$O$12)*AF70+SUM(Distributievergoedingen!$O$12*AA70+Distributievergoedingen!$R$12+Distributievergoedingen!$U$12+Distributievergoedingen!$X$12)/(MAX(36,12*L70))</f>
        <v>112.77777777777777</v>
      </c>
      <c r="BT70" s="262"/>
      <c r="BU70" s="202">
        <f t="shared" si="123"/>
        <v>215.55555555555554</v>
      </c>
      <c r="BW70" s="278">
        <f t="shared" si="124"/>
        <v>215.55555555555554</v>
      </c>
      <c r="BY70" s="280">
        <f t="shared" si="125"/>
        <v>812.22222222222229</v>
      </c>
      <c r="BZ70" s="264">
        <f t="shared" si="126"/>
        <v>0.7902702702702703</v>
      </c>
      <c r="CA70" s="274" t="b">
        <f t="shared" si="127"/>
        <v>0</v>
      </c>
    </row>
    <row r="71" spans="1:79" s="203" customFormat="1">
      <c r="A71" s="203" t="str">
        <f t="shared" si="119"/>
        <v>3SA IPVPNEntry7x24</v>
      </c>
      <c r="B71" s="203" t="str">
        <f t="shared" si="106"/>
        <v>3SA IPVPNEntry7x24</v>
      </c>
      <c r="C71" s="438">
        <v>3</v>
      </c>
      <c r="D71" s="438" t="s">
        <v>93</v>
      </c>
      <c r="E71" s="438" t="s">
        <v>78</v>
      </c>
      <c r="F71" s="438" t="s">
        <v>34</v>
      </c>
      <c r="G71" s="438" t="s">
        <v>115</v>
      </c>
      <c r="H71" s="438" t="s">
        <v>115</v>
      </c>
      <c r="I71" s="438" t="s">
        <v>115</v>
      </c>
      <c r="J71" s="274" t="str">
        <f t="shared" si="107"/>
        <v>SA IPVPNEntry7x24</v>
      </c>
      <c r="L71" s="273">
        <f>INDEX(Mapping!$J:$J,MATCH(C$3&amp;C71,Mapping!$B:$B,0))</f>
        <v>1</v>
      </c>
      <c r="M71" s="179" t="str">
        <f>INDEX(Mapping!$H:$H,MATCH($E71,Mapping!$B:$B,0))</f>
        <v>WBA CM Ethernet</v>
      </c>
      <c r="N71" s="179" t="str">
        <f>INDEX(Mapping!$J:$J,MATCH($J71,Mapping!$B:$B,0))</f>
        <v>FttH</v>
      </c>
      <c r="O71" s="179" t="str">
        <f>INDEX(Mapping!$K:$K,MATCH($J71,Mapping!$B:$B,0))</f>
        <v>7x24</v>
      </c>
      <c r="P71"/>
      <c r="Q71" s="179"/>
      <c r="R71" s="179" t="str">
        <f>INDEX(Mapping!$H:$H,MATCH($H71,Mapping!$B:$B,0))</f>
        <v>nvt</v>
      </c>
      <c r="S71" s="179" t="str">
        <f>INDEX(Mapping!$H:$H,MATCH($I71,Mapping!$B:$B,0))</f>
        <v>nvt</v>
      </c>
      <c r="T71" s="179" t="str">
        <f t="shared" si="108"/>
        <v>WBA CM EthernetFttH7x24</v>
      </c>
      <c r="U71" s="274" t="str">
        <f t="shared" si="109"/>
        <v>WBA CM EthernetFttH7x24</v>
      </c>
      <c r="W71" s="273">
        <f>MATCH($J71,'Tarieven ZM'!$B:$B,0)</f>
        <v>122</v>
      </c>
      <c r="X71" s="179">
        <f>INDEX('Tarieven ZM'!$H:$H,$W71)</f>
        <v>1000</v>
      </c>
      <c r="Y71" s="276">
        <f>-INDEX(Parameters!$B:$B,MATCH(Y$3,Parameters!$A:$A,0))*$X71</f>
        <v>0</v>
      </c>
      <c r="Z71" s="277">
        <f>-INDEX(Parameters!$B:$B,MATCH(Z$3,Parameters!$A:$A,0))*$X71</f>
        <v>0</v>
      </c>
      <c r="AA71" s="179">
        <f t="shared" si="110"/>
        <v>1000</v>
      </c>
      <c r="AB71" s="179">
        <f>AA71/INDEX(Parameters!$B:$B,MATCH("AfschrijftermijnVVE"&amp;12*$C71,Parameters!$A:$A,0))</f>
        <v>27.777777777777779</v>
      </c>
      <c r="AC71" s="179">
        <f>INDEX('Tarieven ZM'!$G:$G,$W71)</f>
        <v>1000</v>
      </c>
      <c r="AD71" s="276">
        <f>-INDEX(Parameters!$B:$B,MATCH(AD$3,Parameters!$A:$A,0))*$AC71</f>
        <v>0</v>
      </c>
      <c r="AE71" s="276">
        <f>-INDEX(Parameters!$B:$B,MATCH(AE$3,Parameters!$A:$A,0))*$AC71</f>
        <v>0</v>
      </c>
      <c r="AF71" s="179">
        <f t="shared" si="111"/>
        <v>1000</v>
      </c>
      <c r="AG71" s="278">
        <f t="shared" si="112"/>
        <v>1027.7777777777778</v>
      </c>
      <c r="AH71" s="209"/>
      <c r="AI71" s="279">
        <f>MATCH($T71,'Tarieven W&amp;O'!$B:$B,0)</f>
        <v>192</v>
      </c>
      <c r="AJ71" s="179">
        <f>IF(AI71&lt;&gt;"nvt",INDEX('Tarieven W&amp;O'!$H:$H,$AI71),0)</f>
        <v>0</v>
      </c>
      <c r="AK71" s="179">
        <f>IF(AI71&lt;&gt;"nvt",INDEX('Tarieven W&amp;O'!$I:$I,$AI71),0)</f>
        <v>0</v>
      </c>
      <c r="AL71" s="277">
        <f>IF(AI71&lt;&gt;"nvt",-INDEX(Parameters!$B:$B,MATCH(AL$3&amp;$M71,Parameters!$A:$A,0))*(AJ71+AK71),0)</f>
        <v>0</v>
      </c>
      <c r="AM71" s="277"/>
      <c r="AN71" s="179">
        <f t="shared" si="113"/>
        <v>0</v>
      </c>
      <c r="AO71" s="262">
        <f>AN71/INDEX(Parameters!$B:$B,MATCH("AfschrijftermijnVVE"&amp;12*$C71,Parameters!$A:$A,0))</f>
        <v>0</v>
      </c>
      <c r="AP71" s="179">
        <f>MATCH($U71,'Tarieven W&amp;O'!$B:$B,0)</f>
        <v>192</v>
      </c>
      <c r="AQ71" s="202">
        <f>IF(AP71&lt;&gt;"nvt",INDEX('Tarieven W&amp;O'!$G:$G,$AP71),0)</f>
        <v>15.11</v>
      </c>
      <c r="AR71" s="277">
        <f>-INDEX(Parameters!$B:$B,MATCH(AR$3&amp;M71&amp;$N71,Parameters!$A:$A,0))*(AQ71)</f>
        <v>0</v>
      </c>
      <c r="AS71" s="179"/>
      <c r="AT71" s="179"/>
      <c r="AU71" s="202">
        <f t="shared" si="114"/>
        <v>15.11</v>
      </c>
      <c r="AV71" s="202">
        <f t="shared" si="115"/>
        <v>15.11</v>
      </c>
      <c r="AW71" s="202"/>
      <c r="AX71" s="202">
        <f>Parameters!$B$6*AV71</f>
        <v>0.15109999999999998</v>
      </c>
      <c r="AY71" s="202">
        <v>0</v>
      </c>
      <c r="AZ71" s="202"/>
      <c r="BA71" s="202">
        <f t="shared" si="120"/>
        <v>0.15109999999999998</v>
      </c>
      <c r="BB71" s="202"/>
      <c r="BC71" s="278">
        <f t="shared" si="121"/>
        <v>15.261099999999999</v>
      </c>
      <c r="BD71" s="209"/>
      <c r="BE71" s="280">
        <f t="shared" si="116"/>
        <v>1012.5166777777779</v>
      </c>
      <c r="BF71" s="264">
        <f t="shared" si="117"/>
        <v>0.98515136216216226</v>
      </c>
      <c r="BG71" s="274" t="b">
        <f t="shared" si="118"/>
        <v>0</v>
      </c>
      <c r="BI71" s="443" t="s">
        <v>538</v>
      </c>
      <c r="BJ71" s="281"/>
      <c r="BK71" s="203">
        <f>VLOOKUP(J71,'Tarieven ZM'!$B$7:$I$146,8,0)</f>
        <v>0</v>
      </c>
      <c r="BL71" s="203" t="str">
        <f t="shared" si="128"/>
        <v>FttH7x24</v>
      </c>
      <c r="BM71" s="282">
        <v>0</v>
      </c>
      <c r="BN71" s="262">
        <f>BM71/INDEX(Parameters!$B:$B,MATCH("AfschrijftermijnVVE"&amp;12*$C71,Parameters!$A:$A,0))</f>
        <v>0</v>
      </c>
      <c r="BO71" s="262">
        <f>INDEX('inkoop ULL tbv Epacity'!I:I,MATCH($BL71,'inkoop ULL tbv Epacity'!H:H,0))</f>
        <v>13.05</v>
      </c>
      <c r="BP71" s="263">
        <f t="shared" si="122"/>
        <v>13.05</v>
      </c>
      <c r="BR71" s="262">
        <f>Parameters!$B$12*AG71</f>
        <v>102.77777777777779</v>
      </c>
      <c r="BS71" s="262">
        <f>SUM(Distributievergoedingen!$F$12,Distributievergoedingen!$I$12,Distributievergoedingen!$L$12,Distributievergoedingen!$O$12)*AF71+SUM(Distributievergoedingen!$O$12*AA71+Distributievergoedingen!$R$12+Distributievergoedingen!$U$12+Distributievergoedingen!$X$12)/(MAX(36,12*L71))</f>
        <v>112.77777777777777</v>
      </c>
      <c r="BT71" s="262"/>
      <c r="BU71" s="202">
        <f t="shared" si="123"/>
        <v>215.55555555555554</v>
      </c>
      <c r="BW71" s="278">
        <f t="shared" si="124"/>
        <v>228.60555555555555</v>
      </c>
      <c r="BY71" s="280">
        <f t="shared" si="125"/>
        <v>799.17222222222222</v>
      </c>
      <c r="BZ71" s="264">
        <f t="shared" si="126"/>
        <v>0.7775729729729729</v>
      </c>
      <c r="CA71" s="274" t="b">
        <f t="shared" si="127"/>
        <v>0</v>
      </c>
    </row>
    <row r="72" spans="1:79" s="203" customFormat="1">
      <c r="A72" s="203" t="str">
        <f t="shared" si="119"/>
        <v>3SA IPVPNPremium7x24</v>
      </c>
      <c r="B72" s="203" t="str">
        <f t="shared" si="106"/>
        <v>3SA IPVPNPremium7x24</v>
      </c>
      <c r="C72" s="438">
        <v>3</v>
      </c>
      <c r="D72" s="438" t="s">
        <v>93</v>
      </c>
      <c r="E72" s="438" t="s">
        <v>70</v>
      </c>
      <c r="F72" s="438" t="s">
        <v>34</v>
      </c>
      <c r="G72" s="438" t="s">
        <v>115</v>
      </c>
      <c r="H72" s="438" t="s">
        <v>115</v>
      </c>
      <c r="I72" s="438" t="s">
        <v>115</v>
      </c>
      <c r="J72" s="274" t="str">
        <f t="shared" si="107"/>
        <v>SA IPVPNPremium7x24</v>
      </c>
      <c r="L72" s="273">
        <f>INDEX(Mapping!$J:$J,MATCH(C$3&amp;C72,Mapping!$B:$B,0))</f>
        <v>1</v>
      </c>
      <c r="M72" s="179" t="str">
        <f>INDEX(Mapping!$H:$H,MATCH($E72,Mapping!$B:$B,0))</f>
        <v>WBA ZM Ethernet</v>
      </c>
      <c r="N72" s="179" t="str">
        <f>INDEX(Mapping!$J:$J,MATCH($J72,Mapping!$B:$B,0))</f>
        <v>FttH</v>
      </c>
      <c r="O72" s="179" t="str">
        <f>INDEX(Mapping!$K:$K,MATCH($J72,Mapping!$B:$B,0))</f>
        <v>7x24</v>
      </c>
      <c r="P72"/>
      <c r="Q72" s="179"/>
      <c r="R72" s="179" t="str">
        <f>INDEX(Mapping!$H:$H,MATCH($H72,Mapping!$B:$B,0))</f>
        <v>nvt</v>
      </c>
      <c r="S72" s="179" t="str">
        <f>INDEX(Mapping!$H:$H,MATCH($I72,Mapping!$B:$B,0))</f>
        <v>nvt</v>
      </c>
      <c r="T72" s="179" t="str">
        <f t="shared" si="108"/>
        <v>WBA ZM EthernetFttH7x24</v>
      </c>
      <c r="U72" s="274" t="str">
        <f t="shared" si="109"/>
        <v>WBA ZM EthernetFttH7x24</v>
      </c>
      <c r="W72" s="273">
        <f>MATCH($J72,'Tarieven ZM'!$B:$B,0)</f>
        <v>123</v>
      </c>
      <c r="X72" s="179">
        <f>INDEX('Tarieven ZM'!$H:$H,$W72)</f>
        <v>1000</v>
      </c>
      <c r="Y72" s="276">
        <f>-INDEX(Parameters!$B:$B,MATCH(Y$3,Parameters!$A:$A,0))*$X72</f>
        <v>0</v>
      </c>
      <c r="Z72" s="277">
        <f>-INDEX(Parameters!$B:$B,MATCH(Z$3,Parameters!$A:$A,0))*$X72</f>
        <v>0</v>
      </c>
      <c r="AA72" s="179">
        <f t="shared" si="110"/>
        <v>1000</v>
      </c>
      <c r="AB72" s="179">
        <f>AA72/INDEX(Parameters!$B:$B,MATCH("AfschrijftermijnVVE"&amp;12*$C72,Parameters!$A:$A,0))</f>
        <v>27.777777777777779</v>
      </c>
      <c r="AC72" s="179">
        <f>INDEX('Tarieven ZM'!$G:$G,$W72)</f>
        <v>1000</v>
      </c>
      <c r="AD72" s="276">
        <f>-INDEX(Parameters!$B:$B,MATCH(AD$3,Parameters!$A:$A,0))*$AC72</f>
        <v>0</v>
      </c>
      <c r="AE72" s="276">
        <f>-INDEX(Parameters!$B:$B,MATCH(AE$3,Parameters!$A:$A,0))*$AC72</f>
        <v>0</v>
      </c>
      <c r="AF72" s="179">
        <f t="shared" si="111"/>
        <v>1000</v>
      </c>
      <c r="AG72" s="278">
        <f t="shared" si="112"/>
        <v>1027.7777777777778</v>
      </c>
      <c r="AH72" s="209"/>
      <c r="AI72" s="279">
        <f>MATCH($T72,'Tarieven W&amp;O'!$B:$B,0)</f>
        <v>202</v>
      </c>
      <c r="AJ72" s="179">
        <f>IF(AI72&lt;&gt;"nvt",INDEX('Tarieven W&amp;O'!$H:$H,$AI72),0)</f>
        <v>0</v>
      </c>
      <c r="AK72" s="179">
        <f>IF(AI72&lt;&gt;"nvt",INDEX('Tarieven W&amp;O'!$I:$I,$AI72),0)</f>
        <v>0</v>
      </c>
      <c r="AL72" s="277">
        <f>IF(AI72&lt;&gt;"nvt",-INDEX(Parameters!$B:$B,MATCH(AL$3&amp;$M72,Parameters!$A:$A,0))*(AJ72+AK72),0)</f>
        <v>0</v>
      </c>
      <c r="AM72" s="277"/>
      <c r="AN72" s="179">
        <f t="shared" si="113"/>
        <v>0</v>
      </c>
      <c r="AO72" s="262">
        <f>AN72/INDEX(Parameters!$B:$B,MATCH("AfschrijftermijnVVE"&amp;12*$C72,Parameters!$A:$A,0))</f>
        <v>0</v>
      </c>
      <c r="AP72" s="179">
        <f>MATCH($U72,'Tarieven W&amp;O'!$B:$B,0)</f>
        <v>202</v>
      </c>
      <c r="AQ72" s="202">
        <f>IF(AP72&lt;&gt;"nvt",INDEX('Tarieven W&amp;O'!$G:$G,$AP72),0)</f>
        <v>15</v>
      </c>
      <c r="AR72" s="277">
        <f>-INDEX(Parameters!$B:$B,MATCH(AR$3&amp;M72&amp;$N72,Parameters!$A:$A,0))*(AQ72)</f>
        <v>0</v>
      </c>
      <c r="AS72" s="179"/>
      <c r="AT72" s="179"/>
      <c r="AU72" s="202">
        <f t="shared" si="114"/>
        <v>15</v>
      </c>
      <c r="AV72" s="202">
        <f t="shared" si="115"/>
        <v>15</v>
      </c>
      <c r="AW72" s="202"/>
      <c r="AX72" s="202">
        <f>Parameters!$B$6*AV72</f>
        <v>0.15</v>
      </c>
      <c r="AY72" s="202">
        <v>0</v>
      </c>
      <c r="AZ72" s="202"/>
      <c r="BA72" s="202">
        <f t="shared" si="120"/>
        <v>0.15</v>
      </c>
      <c r="BB72" s="202"/>
      <c r="BC72" s="278">
        <f t="shared" si="121"/>
        <v>15.15</v>
      </c>
      <c r="BD72" s="209"/>
      <c r="BE72" s="280">
        <f t="shared" si="116"/>
        <v>1012.6277777777779</v>
      </c>
      <c r="BF72" s="264">
        <f t="shared" si="117"/>
        <v>0.98525945945945947</v>
      </c>
      <c r="BG72" s="274" t="b">
        <f t="shared" si="118"/>
        <v>0</v>
      </c>
      <c r="BI72" s="443" t="s">
        <v>538</v>
      </c>
      <c r="BJ72" s="281"/>
      <c r="BK72" s="203">
        <f>VLOOKUP(J72,'Tarieven ZM'!$B$7:$I$146,8,0)</f>
        <v>0</v>
      </c>
      <c r="BL72" s="203" t="str">
        <f t="shared" si="128"/>
        <v>FttH7x24</v>
      </c>
      <c r="BM72" s="282">
        <v>0</v>
      </c>
      <c r="BN72" s="262">
        <f>BM72/INDEX(Parameters!$B:$B,MATCH("AfschrijftermijnVVE"&amp;12*$C72,Parameters!$A:$A,0))</f>
        <v>0</v>
      </c>
      <c r="BO72" s="262">
        <f>INDEX('inkoop ULL tbv Epacity'!I:I,MATCH($BL72,'inkoop ULL tbv Epacity'!H:H,0))</f>
        <v>13.05</v>
      </c>
      <c r="BP72" s="263">
        <f t="shared" si="122"/>
        <v>13.05</v>
      </c>
      <c r="BR72" s="262">
        <f>Parameters!$B$12*AG72</f>
        <v>102.77777777777779</v>
      </c>
      <c r="BS72" s="262">
        <f>SUM(Distributievergoedingen!$F$12,Distributievergoedingen!$I$12,Distributievergoedingen!$L$12,Distributievergoedingen!$O$12)*AF72+SUM(Distributievergoedingen!$O$12*AA72+Distributievergoedingen!$R$12+Distributievergoedingen!$U$12+Distributievergoedingen!$X$12)/(MAX(36,12*L72))</f>
        <v>112.77777777777777</v>
      </c>
      <c r="BT72" s="262"/>
      <c r="BU72" s="202">
        <f t="shared" si="123"/>
        <v>215.55555555555554</v>
      </c>
      <c r="BW72" s="278">
        <f t="shared" si="124"/>
        <v>228.60555555555555</v>
      </c>
      <c r="BY72" s="280">
        <f t="shared" si="125"/>
        <v>799.17222222222222</v>
      </c>
      <c r="BZ72" s="264">
        <f t="shared" si="126"/>
        <v>0.7775729729729729</v>
      </c>
      <c r="CA72" s="274" t="b">
        <f t="shared" si="127"/>
        <v>0</v>
      </c>
    </row>
    <row r="73" spans="1:79">
      <c r="A73" s="142"/>
      <c r="B73" s="148"/>
      <c r="C73" s="198"/>
      <c r="D73" s="198"/>
      <c r="E73" s="198"/>
      <c r="F73" s="191"/>
      <c r="G73" s="191"/>
      <c r="H73" s="187"/>
      <c r="I73" s="187"/>
      <c r="J73" s="142"/>
      <c r="L73" s="160"/>
      <c r="M73" s="148"/>
      <c r="N73" s="148"/>
      <c r="O73" s="148"/>
      <c r="R73" s="148"/>
      <c r="T73" s="148"/>
      <c r="U73" s="142"/>
      <c r="W73" s="160"/>
      <c r="X73" s="148"/>
      <c r="Y73" s="161"/>
      <c r="Z73" s="149"/>
      <c r="AA73" s="148"/>
      <c r="AB73" s="148"/>
      <c r="AC73" s="148"/>
      <c r="AD73" s="161"/>
      <c r="AE73" s="161"/>
      <c r="AF73" s="148"/>
      <c r="AG73" s="151"/>
      <c r="AH73" s="123"/>
      <c r="AI73" s="147"/>
      <c r="AJ73" s="148"/>
      <c r="AK73" s="148"/>
      <c r="AL73" s="149"/>
      <c r="AM73" s="149"/>
      <c r="AN73" s="148"/>
      <c r="AO73" s="171"/>
      <c r="AP73" s="148"/>
      <c r="AQ73" s="150"/>
      <c r="AR73" s="149"/>
      <c r="AS73" s="149"/>
      <c r="AT73" s="171"/>
      <c r="AU73" s="150"/>
      <c r="AV73" s="150"/>
      <c r="AW73" s="150"/>
      <c r="AX73" s="150"/>
      <c r="AY73" s="150"/>
      <c r="AZ73" s="150"/>
      <c r="BA73" s="150"/>
      <c r="BB73" s="150"/>
      <c r="BC73" s="151"/>
      <c r="BD73" s="123"/>
      <c r="BE73" s="140"/>
      <c r="BF73" s="141"/>
      <c r="BG73" s="142"/>
      <c r="BI73" s="188"/>
      <c r="BJ73" s="189"/>
      <c r="BM73" s="268"/>
      <c r="BN73" s="171"/>
      <c r="BO73" s="192"/>
      <c r="BP73" s="192"/>
    </row>
    <row r="74" spans="1:79">
      <c r="A74" s="142"/>
      <c r="B74" s="148"/>
      <c r="C74" s="198"/>
      <c r="D74" s="198"/>
      <c r="E74" s="198"/>
      <c r="F74" s="191"/>
      <c r="G74" s="191"/>
      <c r="H74" s="187"/>
      <c r="I74" s="187"/>
      <c r="J74" s="142"/>
      <c r="L74" s="160"/>
      <c r="M74" s="148"/>
      <c r="N74" s="148"/>
      <c r="O74" s="148"/>
      <c r="R74" s="148"/>
      <c r="T74" s="148"/>
      <c r="U74" s="142"/>
      <c r="W74" s="160"/>
      <c r="X74" s="148"/>
      <c r="Y74" s="161"/>
      <c r="Z74" s="149"/>
      <c r="AA74" s="148"/>
      <c r="AB74" s="148"/>
      <c r="AC74" s="148"/>
      <c r="AD74" s="161"/>
      <c r="AE74" s="161"/>
      <c r="AF74" s="148"/>
      <c r="AG74" s="151"/>
      <c r="AH74" s="123"/>
      <c r="AI74" s="147"/>
      <c r="AJ74" s="148"/>
      <c r="AK74" s="148"/>
      <c r="AL74" s="149"/>
      <c r="AM74" s="149"/>
      <c r="AN74" s="148"/>
      <c r="AO74" s="171"/>
      <c r="AP74" s="148"/>
      <c r="AQ74" s="150"/>
      <c r="AR74" s="149"/>
      <c r="AS74" s="149"/>
      <c r="AT74" s="171"/>
      <c r="AU74" s="150"/>
      <c r="AV74" s="150"/>
      <c r="AW74" s="150"/>
      <c r="AX74" s="150"/>
      <c r="AY74" s="150"/>
      <c r="AZ74" s="150"/>
      <c r="BA74" s="150"/>
      <c r="BB74" s="150"/>
      <c r="BC74" s="151"/>
      <c r="BD74" s="123"/>
      <c r="BE74" s="140"/>
      <c r="BF74" s="141"/>
      <c r="BG74" s="142"/>
      <c r="BI74" s="188"/>
      <c r="BJ74" s="189"/>
      <c r="BM74" s="268"/>
      <c r="BN74" s="171"/>
      <c r="BO74" s="192"/>
      <c r="BP74" s="192"/>
    </row>
    <row r="75" spans="1:79">
      <c r="A75" s="142"/>
      <c r="B75" s="148"/>
      <c r="C75" s="198"/>
      <c r="D75" s="198"/>
      <c r="E75" s="198"/>
      <c r="F75" s="191"/>
      <c r="G75" s="191"/>
      <c r="H75" s="187"/>
      <c r="I75" s="187"/>
      <c r="J75" s="142"/>
      <c r="L75" s="160"/>
      <c r="M75" s="148"/>
      <c r="N75" s="148"/>
      <c r="O75" s="148"/>
      <c r="R75" s="148"/>
      <c r="T75" s="148"/>
      <c r="U75" s="142"/>
      <c r="W75" s="160"/>
      <c r="X75" s="148"/>
      <c r="Y75" s="161"/>
      <c r="Z75" s="149"/>
      <c r="AA75" s="148"/>
      <c r="AB75" s="148"/>
      <c r="AC75" s="148"/>
      <c r="AD75" s="161"/>
      <c r="AE75" s="161"/>
      <c r="AF75" s="148"/>
      <c r="AG75" s="151"/>
      <c r="AH75" s="123"/>
      <c r="AI75" s="147"/>
      <c r="AJ75" s="148"/>
      <c r="AK75" s="148"/>
      <c r="AL75" s="149"/>
      <c r="AM75" s="149"/>
      <c r="AN75" s="148"/>
      <c r="AO75" s="171"/>
      <c r="AP75" s="148"/>
      <c r="AQ75" s="150"/>
      <c r="AR75" s="149"/>
      <c r="AS75" s="149"/>
      <c r="AT75" s="171"/>
      <c r="AU75" s="150"/>
      <c r="AV75" s="150"/>
      <c r="AW75" s="150"/>
      <c r="AX75" s="150"/>
      <c r="AY75" s="150"/>
      <c r="AZ75" s="150"/>
      <c r="BA75" s="150"/>
      <c r="BB75" s="150"/>
      <c r="BC75" s="151"/>
      <c r="BD75" s="123"/>
      <c r="BE75" s="140"/>
      <c r="BF75" s="141"/>
      <c r="BG75" s="142"/>
      <c r="BI75" s="188"/>
      <c r="BJ75" s="189"/>
      <c r="BM75" s="268"/>
      <c r="BN75" s="171"/>
      <c r="BO75" s="192"/>
      <c r="BP75" s="192"/>
    </row>
    <row r="76" spans="1:79">
      <c r="A76" s="142"/>
      <c r="B76" s="148"/>
      <c r="C76" s="198"/>
      <c r="D76" s="198"/>
      <c r="E76" s="198"/>
      <c r="F76" s="191"/>
      <c r="G76" s="191"/>
      <c r="H76" s="187"/>
      <c r="I76" s="187"/>
      <c r="J76" s="142"/>
      <c r="L76" s="160"/>
      <c r="M76" s="148"/>
      <c r="N76" s="148"/>
      <c r="O76" s="148"/>
      <c r="R76" s="148"/>
      <c r="T76" s="148"/>
      <c r="U76" s="142"/>
      <c r="W76" s="160"/>
      <c r="X76" s="148"/>
      <c r="Y76" s="161"/>
      <c r="Z76" s="149"/>
      <c r="AA76" s="148"/>
      <c r="AB76" s="148"/>
      <c r="AC76" s="148"/>
      <c r="AD76" s="161"/>
      <c r="AE76" s="161"/>
      <c r="AF76" s="148"/>
      <c r="AG76" s="151"/>
      <c r="AH76" s="123"/>
      <c r="AI76" s="147"/>
      <c r="AJ76" s="148"/>
      <c r="AK76" s="148"/>
      <c r="AL76" s="149"/>
      <c r="AM76" s="149"/>
      <c r="AN76" s="148"/>
      <c r="AO76" s="171"/>
      <c r="AP76" s="148"/>
      <c r="AQ76" s="150"/>
      <c r="AR76" s="149"/>
      <c r="AS76" s="149"/>
      <c r="AT76" s="171"/>
      <c r="AU76" s="150"/>
      <c r="AV76" s="150"/>
      <c r="AW76" s="150"/>
      <c r="AX76" s="150"/>
      <c r="AY76" s="150"/>
      <c r="AZ76" s="150"/>
      <c r="BA76" s="150"/>
      <c r="BB76" s="150"/>
      <c r="BC76" s="151"/>
      <c r="BD76" s="123"/>
      <c r="BE76" s="140"/>
      <c r="BF76" s="141"/>
      <c r="BG76" s="142"/>
      <c r="BI76" s="188"/>
      <c r="BJ76" s="189"/>
      <c r="BM76" s="268"/>
      <c r="BN76" s="171"/>
      <c r="BO76" s="192"/>
      <c r="BP76" s="192"/>
    </row>
    <row r="77" spans="1:79">
      <c r="BM77" s="268"/>
      <c r="BN77" s="171"/>
      <c r="BO77" s="192"/>
      <c r="BP77" s="192"/>
    </row>
    <row r="78" spans="1:79">
      <c r="BM78" s="268"/>
      <c r="BN78" s="171"/>
      <c r="BO78" s="192"/>
      <c r="BP78" s="192"/>
    </row>
    <row r="79" spans="1:79">
      <c r="BM79" s="268"/>
      <c r="BN79" s="171"/>
      <c r="BO79" s="192"/>
      <c r="BP79" s="192"/>
    </row>
    <row r="80" spans="1:79">
      <c r="BM80" s="268"/>
      <c r="BN80" s="171"/>
      <c r="BO80" s="192"/>
      <c r="BP80" s="192"/>
    </row>
    <row r="81" spans="65:68">
      <c r="BM81" s="268"/>
      <c r="BN81" s="171"/>
      <c r="BO81" s="192"/>
      <c r="BP81" s="192"/>
    </row>
    <row r="82" spans="65:68">
      <c r="BM82" s="268"/>
      <c r="BN82" s="171"/>
      <c r="BO82" s="192"/>
      <c r="BP82" s="192"/>
    </row>
    <row r="83" spans="65:68">
      <c r="BM83" s="268"/>
      <c r="BN83" s="171"/>
      <c r="BO83" s="192"/>
      <c r="BP83" s="192"/>
    </row>
    <row r="84" spans="65:68">
      <c r="BM84" s="268"/>
      <c r="BN84" s="171"/>
      <c r="BO84" s="192"/>
      <c r="BP84" s="192"/>
    </row>
    <row r="85" spans="65:68">
      <c r="BM85" s="268"/>
      <c r="BN85" s="171"/>
      <c r="BO85" s="192"/>
      <c r="BP85" s="192"/>
    </row>
  </sheetData>
  <autoFilter ref="A3:BL70"/>
  <mergeCells count="13">
    <mergeCell ref="C2:J2"/>
    <mergeCell ref="L2:U2"/>
    <mergeCell ref="AP2:AU2"/>
    <mergeCell ref="W2:AB2"/>
    <mergeCell ref="AC2:AF2"/>
    <mergeCell ref="AI2:AO2"/>
    <mergeCell ref="BY1:CA1"/>
    <mergeCell ref="BM1:BP1"/>
    <mergeCell ref="W1:AG1"/>
    <mergeCell ref="BE1:BG1"/>
    <mergeCell ref="AI1:AV1"/>
    <mergeCell ref="AX1:BA1"/>
    <mergeCell ref="BR1:BU1"/>
  </mergeCells>
  <conditionalFormatting sqref="BI4:BI12 BI27:BI35 BI50:BI58">
    <cfRule type="containsText" dxfId="21" priority="21" operator="containsText" text="ja">
      <formula>NOT(ISERROR(SEARCH("ja",BI4)))</formula>
    </cfRule>
    <cfRule type="containsText" dxfId="20" priority="22" operator="containsText" text="NEE">
      <formula>NOT(ISERROR(SEARCH("NEE",BI4)))</formula>
    </cfRule>
  </conditionalFormatting>
  <conditionalFormatting sqref="BI13:BI14">
    <cfRule type="containsText" dxfId="19" priority="19" operator="containsText" text="ja">
      <formula>NOT(ISERROR(SEARCH("ja",BI13)))</formula>
    </cfRule>
    <cfRule type="containsText" dxfId="18" priority="20" operator="containsText" text="NEE">
      <formula>NOT(ISERROR(SEARCH("NEE",BI13)))</formula>
    </cfRule>
  </conditionalFormatting>
  <conditionalFormatting sqref="BI36:BI37">
    <cfRule type="containsText" dxfId="17" priority="17" operator="containsText" text="ja">
      <formula>NOT(ISERROR(SEARCH("ja",BI36)))</formula>
    </cfRule>
    <cfRule type="containsText" dxfId="16" priority="18" operator="containsText" text="NEE">
      <formula>NOT(ISERROR(SEARCH("NEE",BI36)))</formula>
    </cfRule>
  </conditionalFormatting>
  <conditionalFormatting sqref="BI59:BI60">
    <cfRule type="containsText" dxfId="15" priority="15" operator="containsText" text="ja">
      <formula>NOT(ISERROR(SEARCH("ja",BI59)))</formula>
    </cfRule>
    <cfRule type="containsText" dxfId="14" priority="16" operator="containsText" text="NEE">
      <formula>NOT(ISERROR(SEARCH("NEE",BI59)))</formula>
    </cfRule>
  </conditionalFormatting>
  <conditionalFormatting sqref="BI15:BI72">
    <cfRule type="containsText" dxfId="13" priority="13" operator="containsText" text="ja">
      <formula>NOT(ISERROR(SEARCH("ja",BI15)))</formula>
    </cfRule>
    <cfRule type="containsText" dxfId="12" priority="14" operator="containsText" text="NEE">
      <formula>NOT(ISERROR(SEARCH("NEE",BI15)))</formula>
    </cfRule>
  </conditionalFormatting>
  <conditionalFormatting sqref="BI38:BI47">
    <cfRule type="containsText" dxfId="11" priority="9" operator="containsText" text="ja">
      <formula>NOT(ISERROR(SEARCH("ja",BI38)))</formula>
    </cfRule>
    <cfRule type="containsText" dxfId="10" priority="10" operator="containsText" text="NEE">
      <formula>NOT(ISERROR(SEARCH("NEE",BI38)))</formula>
    </cfRule>
  </conditionalFormatting>
  <conditionalFormatting sqref="BI61:BI70">
    <cfRule type="containsText" dxfId="9" priority="7" operator="containsText" text="ja">
      <formula>NOT(ISERROR(SEARCH("ja",BI61)))</formula>
    </cfRule>
    <cfRule type="containsText" dxfId="8" priority="8" operator="containsText" text="NEE">
      <formula>NOT(ISERROR(SEARCH("NEE",BI61)))</formula>
    </cfRule>
  </conditionalFormatting>
  <conditionalFormatting sqref="BI25:BI26">
    <cfRule type="containsText" dxfId="7" priority="5" operator="containsText" text="ja">
      <formula>NOT(ISERROR(SEARCH("ja",BI25)))</formula>
    </cfRule>
    <cfRule type="containsText" dxfId="6" priority="6" operator="containsText" text="NEE">
      <formula>NOT(ISERROR(SEARCH("NEE",BI25)))</formula>
    </cfRule>
  </conditionalFormatting>
  <conditionalFormatting sqref="BI48:BI49">
    <cfRule type="containsText" dxfId="5" priority="3" operator="containsText" text="ja">
      <formula>NOT(ISERROR(SEARCH("ja",BI48)))</formula>
    </cfRule>
    <cfRule type="containsText" dxfId="4" priority="4" operator="containsText" text="NEE">
      <formula>NOT(ISERROR(SEARCH("NEE",BI48)))</formula>
    </cfRule>
  </conditionalFormatting>
  <conditionalFormatting sqref="BI71:BI72">
    <cfRule type="containsText" dxfId="3" priority="1" operator="containsText" text="ja">
      <formula>NOT(ISERROR(SEARCH("ja",BI71)))</formula>
    </cfRule>
    <cfRule type="containsText" dxfId="2" priority="2" operator="containsText" text="NEE">
      <formula>NOT(ISERROR(SEARCH("NEE",BI71)))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>
    <tabColor theme="3" tint="0.59999389629810485"/>
  </sheetPr>
  <dimension ref="A1:CA94"/>
  <sheetViews>
    <sheetView workbookViewId="0"/>
  </sheetViews>
  <sheetFormatPr defaultRowHeight="15"/>
  <cols>
    <col min="1" max="1" width="32.42578125" bestFit="1" customWidth="1"/>
    <col min="2" max="2" width="24" customWidth="1"/>
    <col min="4" max="4" width="10.5703125" customWidth="1"/>
    <col min="7" max="7" width="11.85546875" customWidth="1"/>
    <col min="8" max="8" width="12" customWidth="1"/>
    <col min="9" max="9" width="2.42578125" customWidth="1"/>
    <col min="10" max="10" width="21.5703125" customWidth="1"/>
    <col min="11" max="11" width="2.42578125" customWidth="1"/>
    <col min="13" max="13" width="19.7109375" customWidth="1"/>
    <col min="15" max="15" width="11.7109375" style="203" customWidth="1"/>
    <col min="17" max="17" width="11.28515625" customWidth="1"/>
    <col min="18" max="18" width="22.28515625" bestFit="1" customWidth="1"/>
    <col min="19" max="19" width="8.7109375" customWidth="1"/>
    <col min="20" max="20" width="16.42578125" bestFit="1" customWidth="1"/>
    <col min="21" max="21" width="52.5703125" bestFit="1" customWidth="1"/>
    <col min="22" max="22" width="3.28515625" customWidth="1"/>
    <col min="33" max="33" width="10.5703125" bestFit="1" customWidth="1"/>
    <col min="34" max="34" width="3.5703125" customWidth="1"/>
    <col min="39" max="39" width="2.7109375" customWidth="1"/>
    <col min="45" max="45" width="8.5703125" customWidth="1"/>
    <col min="46" max="46" width="10.42578125" customWidth="1"/>
    <col min="49" max="49" width="3.5703125" customWidth="1"/>
    <col min="52" max="52" width="2.42578125" customWidth="1"/>
    <col min="54" max="54" width="3.42578125" customWidth="1"/>
    <col min="55" max="55" width="9.85546875" customWidth="1"/>
    <col min="56" max="56" width="3.42578125" customWidth="1"/>
    <col min="60" max="60" width="4.5703125" customWidth="1"/>
    <col min="61" max="61" width="17" customWidth="1"/>
    <col min="62" max="62" width="31.140625" customWidth="1"/>
    <col min="63" max="63" width="8" customWidth="1"/>
    <col min="64" max="64" width="17.5703125" customWidth="1"/>
    <col min="65" max="68" width="9.85546875" customWidth="1"/>
    <col min="69" max="69" width="4" customWidth="1"/>
    <col min="72" max="72" width="1.7109375" customWidth="1"/>
    <col min="74" max="74" width="3.5703125" customWidth="1"/>
    <col min="75" max="75" width="12.5703125" customWidth="1"/>
    <col min="76" max="76" width="3.7109375" customWidth="1"/>
  </cols>
  <sheetData>
    <row r="1" spans="1:79" s="106" customFormat="1">
      <c r="A1" s="125"/>
      <c r="B1" s="164"/>
      <c r="C1" s="126"/>
      <c r="D1" s="126"/>
      <c r="E1" s="126"/>
      <c r="F1" s="126"/>
      <c r="G1" s="126"/>
      <c r="H1" s="126"/>
      <c r="I1" s="126"/>
      <c r="J1" s="164"/>
      <c r="K1" s="126"/>
      <c r="L1" s="125"/>
      <c r="M1" s="126"/>
      <c r="N1" s="126"/>
      <c r="O1" s="441"/>
      <c r="P1" s="126"/>
      <c r="Q1" s="126"/>
      <c r="R1" s="126"/>
      <c r="S1" s="126"/>
      <c r="T1" s="126"/>
      <c r="U1" s="164"/>
      <c r="V1" s="126"/>
      <c r="W1" s="974" t="s">
        <v>362</v>
      </c>
      <c r="X1" s="975"/>
      <c r="Y1" s="975"/>
      <c r="Z1" s="975"/>
      <c r="AA1" s="975"/>
      <c r="AB1" s="975"/>
      <c r="AC1" s="975"/>
      <c r="AD1" s="975"/>
      <c r="AE1" s="975"/>
      <c r="AF1" s="975"/>
      <c r="AG1" s="976"/>
      <c r="AH1" s="218"/>
      <c r="AI1" s="969" t="s">
        <v>363</v>
      </c>
      <c r="AJ1" s="970"/>
      <c r="AK1" s="970"/>
      <c r="AL1" s="970"/>
      <c r="AM1" s="970"/>
      <c r="AN1" s="970"/>
      <c r="AO1" s="970"/>
      <c r="AP1" s="970"/>
      <c r="AQ1" s="970"/>
      <c r="AR1" s="970"/>
      <c r="AS1" s="970"/>
      <c r="AT1" s="970"/>
      <c r="AU1" s="970"/>
      <c r="AV1" s="970"/>
      <c r="AW1" s="210"/>
      <c r="AX1" s="964" t="s">
        <v>364</v>
      </c>
      <c r="AY1" s="964"/>
      <c r="AZ1" s="964"/>
      <c r="BA1" s="964"/>
      <c r="BB1" s="210"/>
      <c r="BC1" s="212"/>
      <c r="BD1" s="219"/>
      <c r="BE1" s="965" t="s">
        <v>365</v>
      </c>
      <c r="BF1" s="966"/>
      <c r="BG1" s="967"/>
      <c r="BH1" s="176"/>
      <c r="BI1" s="180" t="s">
        <v>366</v>
      </c>
      <c r="BJ1" s="181"/>
      <c r="BK1" s="172"/>
      <c r="BL1" s="172"/>
      <c r="BM1" s="968" t="s">
        <v>505</v>
      </c>
      <c r="BN1" s="968"/>
      <c r="BO1" s="968"/>
      <c r="BP1" s="968"/>
      <c r="BR1" s="964" t="s">
        <v>504</v>
      </c>
      <c r="BS1" s="964"/>
      <c r="BT1" s="964"/>
      <c r="BU1" s="964"/>
      <c r="BW1" s="204" t="s">
        <v>506</v>
      </c>
      <c r="BY1" s="965" t="s">
        <v>503</v>
      </c>
      <c r="BZ1" s="966"/>
      <c r="CA1" s="967"/>
    </row>
    <row r="2" spans="1:79" s="106" customFormat="1">
      <c r="A2" s="127"/>
      <c r="B2" s="200"/>
      <c r="C2" s="972" t="s">
        <v>367</v>
      </c>
      <c r="D2" s="972"/>
      <c r="E2" s="972"/>
      <c r="F2" s="972"/>
      <c r="G2" s="972"/>
      <c r="H2" s="972"/>
      <c r="I2" s="972"/>
      <c r="J2" s="973"/>
      <c r="K2" s="217"/>
      <c r="L2" s="971" t="s">
        <v>368</v>
      </c>
      <c r="M2" s="972"/>
      <c r="N2" s="972"/>
      <c r="O2" s="972"/>
      <c r="P2" s="972"/>
      <c r="Q2" s="972"/>
      <c r="R2" s="972"/>
      <c r="S2" s="972"/>
      <c r="T2" s="972"/>
      <c r="U2" s="973"/>
      <c r="V2" s="217"/>
      <c r="W2" s="978" t="s">
        <v>146</v>
      </c>
      <c r="X2" s="977"/>
      <c r="Y2" s="977"/>
      <c r="Z2" s="977"/>
      <c r="AA2" s="977"/>
      <c r="AB2" s="977"/>
      <c r="AC2" s="977" t="s">
        <v>145</v>
      </c>
      <c r="AD2" s="977"/>
      <c r="AE2" s="977"/>
      <c r="AF2" s="977"/>
      <c r="AG2" s="157" t="s">
        <v>369</v>
      </c>
      <c r="AH2" s="128"/>
      <c r="AI2" s="979" t="s">
        <v>146</v>
      </c>
      <c r="AJ2" s="968"/>
      <c r="AK2" s="968"/>
      <c r="AL2" s="968"/>
      <c r="AM2" s="968"/>
      <c r="AN2" s="968"/>
      <c r="AO2" s="968"/>
      <c r="AP2" s="968" t="s">
        <v>145</v>
      </c>
      <c r="AQ2" s="968"/>
      <c r="AR2" s="968"/>
      <c r="AS2" s="968"/>
      <c r="AT2" s="968"/>
      <c r="AU2" s="968"/>
      <c r="AV2" s="204" t="s">
        <v>369</v>
      </c>
      <c r="AW2" s="205"/>
      <c r="AX2" s="917"/>
      <c r="AY2" s="917"/>
      <c r="AZ2" s="917"/>
      <c r="BA2" s="917"/>
      <c r="BB2" s="205"/>
      <c r="BC2" s="213" t="s">
        <v>371</v>
      </c>
      <c r="BD2" s="129"/>
      <c r="BE2" s="138"/>
      <c r="BF2" s="130"/>
      <c r="BG2" s="131"/>
      <c r="BH2" s="177"/>
      <c r="BI2" s="174"/>
      <c r="BJ2" s="175"/>
      <c r="BK2" s="172"/>
      <c r="BL2" s="172"/>
      <c r="BM2" s="204"/>
      <c r="BN2" s="204"/>
      <c r="BO2" s="204"/>
      <c r="BP2" s="204"/>
      <c r="BQ2" s="205"/>
      <c r="BR2" s="917"/>
      <c r="BS2" s="917"/>
      <c r="BT2" s="917"/>
      <c r="BU2" s="917"/>
      <c r="BV2" s="205"/>
      <c r="BW2" s="213" t="s">
        <v>371</v>
      </c>
      <c r="BX2" s="177"/>
      <c r="BY2" s="138"/>
      <c r="BZ2" s="130"/>
      <c r="CA2" s="131"/>
    </row>
    <row r="3" spans="1:79" s="124" customFormat="1" ht="75">
      <c r="A3" s="132" t="s">
        <v>372</v>
      </c>
      <c r="B3" s="165" t="s">
        <v>373</v>
      </c>
      <c r="C3" s="133" t="s">
        <v>136</v>
      </c>
      <c r="D3" s="133" t="s">
        <v>374</v>
      </c>
      <c r="E3" s="133" t="s">
        <v>39</v>
      </c>
      <c r="F3" s="133" t="s">
        <v>402</v>
      </c>
      <c r="G3" s="133" t="s">
        <v>403</v>
      </c>
      <c r="H3" s="133" t="s">
        <v>404</v>
      </c>
      <c r="I3" s="133"/>
      <c r="J3" s="165" t="s">
        <v>36</v>
      </c>
      <c r="K3" s="133"/>
      <c r="L3" s="132" t="s">
        <v>137</v>
      </c>
      <c r="M3" s="133" t="s">
        <v>120</v>
      </c>
      <c r="N3" s="133" t="s">
        <v>405</v>
      </c>
      <c r="O3" s="206" t="s">
        <v>376</v>
      </c>
      <c r="P3" s="133" t="s">
        <v>406</v>
      </c>
      <c r="Q3" s="133" t="s">
        <v>407</v>
      </c>
      <c r="R3" s="133" t="s">
        <v>408</v>
      </c>
      <c r="S3" s="133" t="s">
        <v>409</v>
      </c>
      <c r="T3" s="133" t="s">
        <v>410</v>
      </c>
      <c r="U3" s="165" t="s">
        <v>379</v>
      </c>
      <c r="V3" s="133"/>
      <c r="W3" s="158" t="s">
        <v>380</v>
      </c>
      <c r="X3" s="134" t="s">
        <v>146</v>
      </c>
      <c r="Y3" s="134" t="s">
        <v>411</v>
      </c>
      <c r="Z3" s="134" t="s">
        <v>20</v>
      </c>
      <c r="AA3" s="134" t="s">
        <v>382</v>
      </c>
      <c r="AB3" s="134" t="s">
        <v>383</v>
      </c>
      <c r="AC3" s="134" t="s">
        <v>145</v>
      </c>
      <c r="AD3" s="134" t="s">
        <v>412</v>
      </c>
      <c r="AE3" s="134" t="s">
        <v>21</v>
      </c>
      <c r="AF3" s="134" t="s">
        <v>385</v>
      </c>
      <c r="AG3" s="159" t="s">
        <v>386</v>
      </c>
      <c r="AH3" s="134"/>
      <c r="AI3" s="146" t="s">
        <v>387</v>
      </c>
      <c r="AJ3" s="135" t="s">
        <v>163</v>
      </c>
      <c r="AK3" s="135" t="s">
        <v>164</v>
      </c>
      <c r="AL3" s="206" t="s">
        <v>388</v>
      </c>
      <c r="AM3" s="206"/>
      <c r="AN3" s="206" t="s">
        <v>382</v>
      </c>
      <c r="AO3" s="206" t="s">
        <v>383</v>
      </c>
      <c r="AP3" s="206" t="s">
        <v>390</v>
      </c>
      <c r="AQ3" s="206" t="s">
        <v>145</v>
      </c>
      <c r="AR3" s="206" t="s">
        <v>391</v>
      </c>
      <c r="AS3" s="206" t="s">
        <v>413</v>
      </c>
      <c r="AT3" s="206" t="s">
        <v>414</v>
      </c>
      <c r="AU3" s="206" t="s">
        <v>385</v>
      </c>
      <c r="AV3" s="135" t="s">
        <v>386</v>
      </c>
      <c r="AW3" s="206"/>
      <c r="AX3" s="211" t="s">
        <v>393</v>
      </c>
      <c r="AY3" s="211" t="s">
        <v>394</v>
      </c>
      <c r="AZ3" s="211"/>
      <c r="BA3" s="211" t="s">
        <v>395</v>
      </c>
      <c r="BB3" s="206"/>
      <c r="BC3" s="214" t="s">
        <v>396</v>
      </c>
      <c r="BD3" s="135"/>
      <c r="BE3" s="139" t="s">
        <v>397</v>
      </c>
      <c r="BF3" s="136" t="s">
        <v>398</v>
      </c>
      <c r="BG3" s="137" t="s">
        <v>399</v>
      </c>
      <c r="BH3" s="178"/>
      <c r="BI3" s="182" t="s">
        <v>400</v>
      </c>
      <c r="BJ3" s="183" t="s">
        <v>401</v>
      </c>
      <c r="BK3" s="173"/>
      <c r="BL3" s="124" t="s">
        <v>1341</v>
      </c>
      <c r="BM3" s="267" t="s">
        <v>382</v>
      </c>
      <c r="BN3" s="267" t="s">
        <v>383</v>
      </c>
      <c r="BO3" s="267" t="s">
        <v>385</v>
      </c>
      <c r="BP3" s="267" t="s">
        <v>507</v>
      </c>
      <c r="BQ3" s="206"/>
      <c r="BR3" s="211" t="s">
        <v>1647</v>
      </c>
      <c r="BS3" s="211" t="s">
        <v>394</v>
      </c>
      <c r="BT3" s="211"/>
      <c r="BU3" s="211" t="s">
        <v>395</v>
      </c>
      <c r="BV3" s="206"/>
      <c r="BW3" s="214" t="s">
        <v>500</v>
      </c>
      <c r="BX3" s="206"/>
      <c r="BY3" s="139" t="s">
        <v>397</v>
      </c>
      <c r="BZ3" s="136" t="s">
        <v>398</v>
      </c>
      <c r="CA3" s="137" t="s">
        <v>399</v>
      </c>
    </row>
    <row r="4" spans="1:79">
      <c r="A4" s="160" t="str">
        <f t="shared" ref="A4" si="0">C4&amp;D4&amp;E4&amp;G4&amp;H4</f>
        <v>1ADSLAddnationaal128/128</v>
      </c>
      <c r="B4" s="142" t="str">
        <f t="shared" ref="B4" si="1">C4&amp;D4&amp;H4&amp;E4</f>
        <v>1ADSL128/128Add</v>
      </c>
      <c r="C4" s="198">
        <v>1</v>
      </c>
      <c r="D4" s="198" t="s">
        <v>42</v>
      </c>
      <c r="E4" s="198" t="s">
        <v>103</v>
      </c>
      <c r="F4" s="198" t="s">
        <v>115</v>
      </c>
      <c r="G4" s="199" t="s">
        <v>113</v>
      </c>
      <c r="H4" s="198" t="s">
        <v>43</v>
      </c>
      <c r="J4" s="142" t="str">
        <f t="shared" ref="J4:J33" si="2">D4&amp;H4&amp;E4</f>
        <v>ADSL128/128Add</v>
      </c>
      <c r="L4" s="160">
        <f>INDEX(Mapping!$J:$J,MATCH(C$3&amp;C4,Mapping!$B:$B,0))</f>
        <v>1</v>
      </c>
      <c r="M4" s="179" t="str">
        <f>INDEX(Mapping!$H:$H,MATCH(D4&amp;H4&amp;$E4,Mapping!$B:$B,0))</f>
        <v>WBA CM Ethernet</v>
      </c>
      <c r="N4" s="179" t="str">
        <f>INDEX(Mapping!$J:$J,MATCH(D4&amp;H4&amp;$E4,Mapping!$B:$B,0))</f>
        <v>add</v>
      </c>
      <c r="O4" s="179" t="str">
        <f>INDEX(Mapping!$I:$I,MATCH($D4,Mapping!$B:$B,0))</f>
        <v>ADSL</v>
      </c>
      <c r="P4" s="179" t="str">
        <f>INDEX(Mapping!$H:$H,MATCH($F4,Mapping!$B:$B,0))</f>
        <v>nvt</v>
      </c>
      <c r="Q4" s="283" t="str">
        <f>INDEX(Mapping!$K:$K,MATCH($D4&amp;$H4&amp;E4,Mapping!$B:$B,0))</f>
        <v>national</v>
      </c>
      <c r="R4" s="179" t="str">
        <f>INDEX(Mapping!$I:$I,MATCH(D4&amp;H4&amp;$E4,Mapping!$B:$B,0))</f>
        <v>&lt;=256 kbps/&lt;=256 kbps</v>
      </c>
      <c r="S4" s="203"/>
      <c r="T4" s="283" t="str">
        <f>INDEX(Mapping!$L:$L,MATCH($D4&amp;$H4&amp;E4,Mapping!$B:$B,0))</f>
        <v>nvt</v>
      </c>
      <c r="U4" s="142" t="str">
        <f t="shared" ref="U4:U33" si="3">M4&amp;R4&amp;N4&amp;Q4</f>
        <v>WBA CM Ethernet&lt;=256 kbps/&lt;=256 kbpsaddnational</v>
      </c>
      <c r="W4" s="160">
        <f>MATCH($J4,'Tarieven ZM'!$B:$B,0)</f>
        <v>61</v>
      </c>
      <c r="X4" s="148">
        <f>INDEX('Tarieven ZM'!$H:$H,$W4)</f>
        <v>1000</v>
      </c>
      <c r="Y4" s="161">
        <f>-INDEX(Parameters!$B:$B,MATCH(Y$3,Parameters!$A:$A,0))*$X4</f>
        <v>0</v>
      </c>
      <c r="Z4" s="149">
        <f>-INDEX(Parameters!$B:$B,MATCH(Z$3,Parameters!$A:$A,0))*$X4</f>
        <v>0</v>
      </c>
      <c r="AA4" s="148">
        <f t="shared" ref="AA4:AA33" si="4">SUM(X4:Z4)</f>
        <v>1000</v>
      </c>
      <c r="AB4" s="148">
        <f>AA4/INDEX(Parameters!$B:$B,MATCH("AfschrijftermijnVVE"&amp;12*$C4,Parameters!$A:$A,0))</f>
        <v>27.777777777777779</v>
      </c>
      <c r="AC4" s="148">
        <f>INDEX('Tarieven ZM'!$G:$G,$W4)</f>
        <v>1000</v>
      </c>
      <c r="AD4" s="161">
        <f>-INDEX(Parameters!$B:$B,MATCH(AD$3,Parameters!$A:$A,0))*$AC4</f>
        <v>0</v>
      </c>
      <c r="AE4" s="161">
        <f>-INDEX(Parameters!$B:$B,MATCH(AE$3,Parameters!$A:$A,0))*$AC4</f>
        <v>0</v>
      </c>
      <c r="AF4" s="148">
        <f t="shared" ref="AF4:AF33" si="5">SUM(AC4:AE4)</f>
        <v>1000</v>
      </c>
      <c r="AG4" s="151">
        <f t="shared" ref="AG4:AG33" si="6">SUM(AB4,AF4)</f>
        <v>1027.7777777777778</v>
      </c>
      <c r="AH4" s="123"/>
      <c r="AI4" s="147">
        <f>IF(R4&lt;&gt;"n.a.",MATCH($U4,'Tarieven W&amp;O'!$B:$B,0),"nvt")</f>
        <v>134</v>
      </c>
      <c r="AJ4" s="148">
        <f>IF(AI4&lt;&gt;"nvt",INDEX('Tarieven W&amp;O'!$H:$H,$AI4),0)</f>
        <v>0</v>
      </c>
      <c r="AK4" s="148">
        <f>IF(AI4&lt;&gt;"nvt",INDEX('Tarieven W&amp;O'!$I:$I,$AI4),0)</f>
        <v>5</v>
      </c>
      <c r="AL4" s="277">
        <f>IF(AI4&lt;&gt;"nvt",-INDEX(Parameters!$B:$B,MATCH(AL$3&amp;$M4,Parameters!$A:$A,0))*(AJ4+AK4),0)</f>
        <v>0</v>
      </c>
      <c r="AM4" s="442"/>
      <c r="AN4" s="179">
        <f t="shared" ref="AN4:AN33" si="7">SUM(AJ4:AM4)</f>
        <v>5</v>
      </c>
      <c r="AO4" s="262">
        <f>AN4/INDEX(Parameters!$B:$B,MATCH("AfschrijftermijnVVE"&amp;12*$C4,Parameters!$A:$A,0))</f>
        <v>0.1388888888888889</v>
      </c>
      <c r="AP4" s="179">
        <f t="shared" ref="AP4:AP33" si="8">AI4</f>
        <v>134</v>
      </c>
      <c r="AQ4" s="202">
        <f>IF(AP4&lt;&gt;"nvt",INDEX('Tarieven W&amp;O'!$G:$G,$AP4),0)</f>
        <v>1E-4</v>
      </c>
      <c r="AR4" s="463">
        <f>-INDEX(Parameters!$B:$B,MATCH(AR$3&amp;$M4&amp;O4,Parameters!$A:$A,0))*(AQ4)</f>
        <v>-1.0000000000000001E-5</v>
      </c>
      <c r="AS4" s="262">
        <v>0</v>
      </c>
      <c r="AT4" s="442">
        <f>IF(M4="WBA CM Ethernet",0,'EDC Minus'!$H$27)</f>
        <v>0</v>
      </c>
      <c r="AU4" s="202">
        <f t="shared" ref="AU4:AU33" si="9">SUM(AQ4:AT4)</f>
        <v>9.0000000000000006E-5</v>
      </c>
      <c r="AV4" s="202">
        <f t="shared" ref="AV4:AV33" si="10">SUM(AO4,AU4)</f>
        <v>0.1389788888888889</v>
      </c>
      <c r="AW4" s="202"/>
      <c r="AX4" s="202">
        <f>Parameters!$B$6*AV4</f>
        <v>1.389788888888889E-3</v>
      </c>
      <c r="AY4" s="202">
        <v>0</v>
      </c>
      <c r="AZ4" s="202"/>
      <c r="BA4" s="150">
        <f>SUM(AX4:AZ4)</f>
        <v>1.389788888888889E-3</v>
      </c>
      <c r="BB4" s="150"/>
      <c r="BC4" s="151">
        <f>SUM(AV4,BA4)</f>
        <v>0.14036867777777778</v>
      </c>
      <c r="BD4" s="123"/>
      <c r="BE4" s="140">
        <f t="shared" ref="BE4:BE35" si="11">AG4-BC4</f>
        <v>1027.6374091</v>
      </c>
      <c r="BF4" s="141">
        <f t="shared" ref="BF4:BF35" si="12">IF(AG4=0,-999%,BE4/AG4)</f>
        <v>0.99986342507027026</v>
      </c>
      <c r="BG4" s="142" t="b">
        <f t="shared" ref="BG4:BG33" si="13">BF4&lt;0</f>
        <v>0</v>
      </c>
      <c r="BH4" s="148"/>
      <c r="BI4" s="188" t="s">
        <v>539</v>
      </c>
      <c r="BJ4" s="189"/>
      <c r="BK4">
        <f>VLOOKUP(J4,'Tarieven ZM'!$B$7:$I$146,8,0)</f>
        <v>0</v>
      </c>
      <c r="BL4" s="179" t="str">
        <f>INDEX(Mapping!$M:$M,MATCH($J4,Mapping!$B:$B,0))</f>
        <v>nvt</v>
      </c>
      <c r="BM4" s="282">
        <v>0</v>
      </c>
      <c r="BN4" s="262">
        <f>BM4/INDEX(Parameters!$B:$B,MATCH("AfschrijftermijnVVE"&amp;12*$C4,Parameters!$A:$A,0))</f>
        <v>0</v>
      </c>
      <c r="BO4" s="262">
        <f>AS4+INDEX('inkoop ULL tbv Epacity'!I:I,MATCH($BL4,'inkoop ULL tbv Epacity'!H:H,0))</f>
        <v>0</v>
      </c>
      <c r="BP4" s="263">
        <f>BN4+BO4</f>
        <v>0</v>
      </c>
      <c r="BQ4" s="203"/>
      <c r="BR4" s="262">
        <f>Parameters!$B$12*AG4</f>
        <v>102.77777777777779</v>
      </c>
      <c r="BS4" s="262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SUM(Distributievergoedingen!$F$12,Distributievergoedingen!$I$12,Distributievergoedingen!$L$12,Distributievergoedingen!$O$12)*AF4+SUM(Distributievergoedingen!$O$12*AA4+Distributievergoedingen!$R$12+Distributievergoedingen!$U$12+Distributievergoedingen!$X$12)/(MAX(36,12*L4))</f>
        <v>112.77777777777777</v>
      </c>
      <c r="BT4" s="262"/>
      <c r="BU4" s="150">
        <f>SUM(BR4:BT4)</f>
        <v>215.55555555555554</v>
      </c>
      <c r="BW4" s="151">
        <f>SUM(BP4,BU4)</f>
        <v>215.55555555555554</v>
      </c>
      <c r="BY4" s="140">
        <f>AG4-BW4</f>
        <v>812.22222222222229</v>
      </c>
      <c r="BZ4" s="141">
        <f>IF(AG4=0,-999%,BY4/AG4)</f>
        <v>0.7902702702702703</v>
      </c>
      <c r="CA4" s="142" t="b">
        <f>BZ4&lt;0</f>
        <v>0</v>
      </c>
    </row>
    <row r="5" spans="1:79">
      <c r="A5" s="160" t="str">
        <f t="shared" ref="A5:A33" si="14">C5&amp;D5&amp;E5&amp;G5&amp;H5</f>
        <v>1ADSLAddnationaal200/200</v>
      </c>
      <c r="B5" s="142" t="str">
        <f t="shared" ref="B5:B33" si="15">C5&amp;D5&amp;H5&amp;E5</f>
        <v>1ADSL200/200Add</v>
      </c>
      <c r="C5" s="198">
        <v>1</v>
      </c>
      <c r="D5" s="198" t="s">
        <v>42</v>
      </c>
      <c r="E5" s="198" t="s">
        <v>103</v>
      </c>
      <c r="F5" s="198" t="s">
        <v>115</v>
      </c>
      <c r="G5" s="199" t="s">
        <v>113</v>
      </c>
      <c r="H5" s="198" t="s">
        <v>106</v>
      </c>
      <c r="J5" s="142" t="str">
        <f t="shared" si="2"/>
        <v>ADSL200/200Add</v>
      </c>
      <c r="L5" s="160">
        <f>INDEX(Mapping!$J:$J,MATCH(C$3&amp;C5,Mapping!$B:$B,0))</f>
        <v>1</v>
      </c>
      <c r="M5" s="179" t="str">
        <f>INDEX(Mapping!$H:$H,MATCH(D5&amp;H5&amp;$E5,Mapping!$B:$B,0))</f>
        <v>WBA CM Ethernet</v>
      </c>
      <c r="N5" s="179" t="str">
        <f>INDEX(Mapping!$J:$J,MATCH(D5&amp;H5&amp;$E5,Mapping!$B:$B,0))</f>
        <v>add</v>
      </c>
      <c r="O5" s="179" t="str">
        <f>INDEX(Mapping!$I:$I,MATCH($D5,Mapping!$B:$B,0))</f>
        <v>ADSL</v>
      </c>
      <c r="P5" s="179" t="str">
        <f>INDEX(Mapping!$H:$H,MATCH($F5,Mapping!$B:$B,0))</f>
        <v>nvt</v>
      </c>
      <c r="Q5" s="283" t="str">
        <f>INDEX(Mapping!$K:$K,MATCH($D5&amp;$H5&amp;E5,Mapping!$B:$B,0))</f>
        <v>national</v>
      </c>
      <c r="R5" s="179" t="str">
        <f>INDEX(Mapping!$I:$I,MATCH(D5&amp;H5&amp;$E5,Mapping!$B:$B,0))</f>
        <v>&lt;=256 kbps/&lt;=256 kbps</v>
      </c>
      <c r="S5" s="203"/>
      <c r="T5" s="283" t="str">
        <f>INDEX(Mapping!$L:$L,MATCH($D5&amp;$H5&amp;E5,Mapping!$B:$B,0))</f>
        <v>nvt</v>
      </c>
      <c r="U5" s="142" t="str">
        <f t="shared" si="3"/>
        <v>WBA CM Ethernet&lt;=256 kbps/&lt;=256 kbpsaddnational</v>
      </c>
      <c r="W5" s="160">
        <f>MATCH($J5,'Tarieven ZM'!$B:$B,0)</f>
        <v>62</v>
      </c>
      <c r="X5" s="148">
        <f>INDEX('Tarieven ZM'!$H:$H,$W5)</f>
        <v>1000</v>
      </c>
      <c r="Y5" s="161">
        <f>-INDEX(Parameters!$B:$B,MATCH(Y$3,Parameters!$A:$A,0))*$X5</f>
        <v>0</v>
      </c>
      <c r="Z5" s="149">
        <f>-INDEX(Parameters!$B:$B,MATCH(Z$3,Parameters!$A:$A,0))*$X5</f>
        <v>0</v>
      </c>
      <c r="AA5" s="148">
        <f t="shared" si="4"/>
        <v>1000</v>
      </c>
      <c r="AB5" s="148">
        <f>AA5/INDEX(Parameters!$B:$B,MATCH("AfschrijftermijnVVE"&amp;12*$C5,Parameters!$A:$A,0))</f>
        <v>27.777777777777779</v>
      </c>
      <c r="AC5" s="148">
        <f>INDEX('Tarieven ZM'!$G:$G,$W5)</f>
        <v>1000</v>
      </c>
      <c r="AD5" s="161">
        <f>-INDEX(Parameters!$B:$B,MATCH(AD$3,Parameters!$A:$A,0))*$AC5</f>
        <v>0</v>
      </c>
      <c r="AE5" s="161">
        <f>-INDEX(Parameters!$B:$B,MATCH(AE$3,Parameters!$A:$A,0))*$AC5</f>
        <v>0</v>
      </c>
      <c r="AF5" s="148">
        <f t="shared" si="5"/>
        <v>1000</v>
      </c>
      <c r="AG5" s="151">
        <f t="shared" si="6"/>
        <v>1027.7777777777778</v>
      </c>
      <c r="AH5" s="123"/>
      <c r="AI5" s="147">
        <f>IF(R5&lt;&gt;"n.a.",MATCH($U5,'Tarieven W&amp;O'!$B:$B,0),"nvt")</f>
        <v>134</v>
      </c>
      <c r="AJ5" s="148">
        <f>IF(AI5&lt;&gt;"nvt",INDEX('Tarieven W&amp;O'!$H:$H,$AI5),0)</f>
        <v>0</v>
      </c>
      <c r="AK5" s="148">
        <f>IF(AI5&lt;&gt;"nvt",INDEX('Tarieven W&amp;O'!$I:$I,$AI5),0)</f>
        <v>5</v>
      </c>
      <c r="AL5" s="277">
        <f>IF(AI5&lt;&gt;"nvt",-INDEX(Parameters!$B:$B,MATCH(AL$3&amp;$M5,Parameters!$A:$A,0))*(AJ5+AK5),0)</f>
        <v>0</v>
      </c>
      <c r="AM5" s="442"/>
      <c r="AN5" s="179">
        <f t="shared" si="7"/>
        <v>5</v>
      </c>
      <c r="AO5" s="262">
        <f>AN5/INDEX(Parameters!$B:$B,MATCH("AfschrijftermijnVVE"&amp;12*$C5,Parameters!$A:$A,0))</f>
        <v>0.1388888888888889</v>
      </c>
      <c r="AP5" s="179">
        <f t="shared" si="8"/>
        <v>134</v>
      </c>
      <c r="AQ5" s="202">
        <f>IF(AP5&lt;&gt;"nvt",INDEX('Tarieven W&amp;O'!$G:$G,$AP5),0)</f>
        <v>1E-4</v>
      </c>
      <c r="AR5" s="463">
        <f>-INDEX(Parameters!$B:$B,MATCH(AR$3&amp;$M5&amp;O5,Parameters!$A:$A,0))*(AQ5)</f>
        <v>-1.0000000000000001E-5</v>
      </c>
      <c r="AS5" s="262">
        <v>0</v>
      </c>
      <c r="AT5" s="442">
        <f>IF(M5="WBA CM Ethernet",0,'EDC Minus'!$H$27)</f>
        <v>0</v>
      </c>
      <c r="AU5" s="202">
        <f t="shared" si="9"/>
        <v>9.0000000000000006E-5</v>
      </c>
      <c r="AV5" s="202">
        <f t="shared" si="10"/>
        <v>0.1389788888888889</v>
      </c>
      <c r="AW5" s="202"/>
      <c r="AX5" s="202">
        <f>Parameters!$B$6*AV5</f>
        <v>1.389788888888889E-3</v>
      </c>
      <c r="AY5" s="202">
        <v>0</v>
      </c>
      <c r="AZ5" s="202"/>
      <c r="BA5" s="150">
        <f t="shared" ref="BA5:BA68" si="16">SUM(AX5:AZ5)</f>
        <v>1.389788888888889E-3</v>
      </c>
      <c r="BB5" s="150"/>
      <c r="BC5" s="151">
        <f t="shared" ref="BC5:BC68" si="17">SUM(AV5,BA5)</f>
        <v>0.14036867777777778</v>
      </c>
      <c r="BD5" s="123"/>
      <c r="BE5" s="140">
        <f t="shared" si="11"/>
        <v>1027.6374091</v>
      </c>
      <c r="BF5" s="141">
        <f t="shared" si="12"/>
        <v>0.99986342507027026</v>
      </c>
      <c r="BG5" s="142" t="b">
        <f t="shared" si="13"/>
        <v>0</v>
      </c>
      <c r="BH5" s="148"/>
      <c r="BI5" s="188" t="s">
        <v>539</v>
      </c>
      <c r="BJ5" s="189"/>
      <c r="BK5">
        <f>VLOOKUP(J5,'Tarieven ZM'!$B$7:$I$146,8,0)</f>
        <v>0</v>
      </c>
      <c r="BL5" s="179" t="str">
        <f>INDEX(Mapping!$M:$M,MATCH($J5,Mapping!$B:$B,0))</f>
        <v>nvt</v>
      </c>
      <c r="BM5" s="282">
        <v>0</v>
      </c>
      <c r="BN5" s="262">
        <f>BM5/INDEX(Parameters!$B:$B,MATCH("AfschrijftermijnVVE"&amp;12*$C5,Parameters!$A:$A,0))</f>
        <v>0</v>
      </c>
      <c r="BO5" s="262">
        <f>AS5+INDEX('inkoop ULL tbv Epacity'!I:I,MATCH($BL5,'inkoop ULL tbv Epacity'!H:H,0))</f>
        <v>0</v>
      </c>
      <c r="BP5" s="263">
        <f t="shared" ref="BP5:BP68" si="18">BN5+BO5</f>
        <v>0</v>
      </c>
      <c r="BQ5" s="203"/>
      <c r="BR5" s="262">
        <f>Parameters!$B$12*AG5</f>
        <v>102.77777777777779</v>
      </c>
      <c r="BS5" s="262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SUM(Distributievergoedingen!$F$12,Distributievergoedingen!$I$12,Distributievergoedingen!$L$12,Distributievergoedingen!$O$12)*AF5+SUM(Distributievergoedingen!$O$12*AA5+Distributievergoedingen!$R$12+Distributievergoedingen!$U$12+Distributievergoedingen!$X$12)/(MAX(36,12*L5))</f>
        <v>112.77777777777777</v>
      </c>
      <c r="BT5" s="262"/>
      <c r="BU5" s="150">
        <f t="shared" ref="BU5:BU68" si="19">SUM(BR5:BT5)</f>
        <v>215.55555555555554</v>
      </c>
      <c r="BW5" s="151">
        <f t="shared" ref="BW5:BW68" si="20">SUM(BP5,BU5)</f>
        <v>215.55555555555554</v>
      </c>
      <c r="BY5" s="140">
        <f t="shared" ref="BY5:BY68" si="21">AG5-BW5</f>
        <v>812.22222222222229</v>
      </c>
      <c r="BZ5" s="141">
        <f t="shared" ref="BZ5:BZ68" si="22">IF(AG5=0,-999%,BY5/AG5)</f>
        <v>0.7902702702702703</v>
      </c>
      <c r="CA5" s="142" t="b">
        <f t="shared" ref="CA5:CA68" si="23">BZ5&lt;0</f>
        <v>0</v>
      </c>
    </row>
    <row r="6" spans="1:79">
      <c r="A6" s="160" t="str">
        <f t="shared" si="14"/>
        <v>1ADSLAddnationaal224/224</v>
      </c>
      <c r="B6" s="142" t="str">
        <f t="shared" si="15"/>
        <v>1ADSL224/224Add</v>
      </c>
      <c r="C6" s="198">
        <v>1</v>
      </c>
      <c r="D6" s="198" t="s">
        <v>42</v>
      </c>
      <c r="E6" s="198" t="s">
        <v>103</v>
      </c>
      <c r="F6" s="198" t="s">
        <v>115</v>
      </c>
      <c r="G6" s="199" t="s">
        <v>113</v>
      </c>
      <c r="H6" s="198" t="s">
        <v>107</v>
      </c>
      <c r="J6" s="142" t="str">
        <f t="shared" si="2"/>
        <v>ADSL224/224Add</v>
      </c>
      <c r="L6" s="160">
        <f>INDEX(Mapping!$J:$J,MATCH(C$3&amp;C6,Mapping!$B:$B,0))</f>
        <v>1</v>
      </c>
      <c r="M6" s="179" t="str">
        <f>INDEX(Mapping!$H:$H,MATCH(D6&amp;H6&amp;$E6,Mapping!$B:$B,0))</f>
        <v>WBA CM Ethernet</v>
      </c>
      <c r="N6" s="179" t="str">
        <f>INDEX(Mapping!$J:$J,MATCH(D6&amp;H6&amp;$E6,Mapping!$B:$B,0))</f>
        <v>add</v>
      </c>
      <c r="O6" s="179" t="str">
        <f>INDEX(Mapping!$I:$I,MATCH($D6,Mapping!$B:$B,0))</f>
        <v>ADSL</v>
      </c>
      <c r="P6" s="179" t="str">
        <f>INDEX(Mapping!$H:$H,MATCH($F6,Mapping!$B:$B,0))</f>
        <v>nvt</v>
      </c>
      <c r="Q6" s="283" t="str">
        <f>INDEX(Mapping!$K:$K,MATCH($D6&amp;$H6&amp;E6,Mapping!$B:$B,0))</f>
        <v>national</v>
      </c>
      <c r="R6" s="179" t="str">
        <f>INDEX(Mapping!$I:$I,MATCH(D6&amp;H6&amp;$E6,Mapping!$B:$B,0))</f>
        <v>&lt;=256 kbps/&lt;=256 kbps</v>
      </c>
      <c r="S6" s="203"/>
      <c r="T6" s="283" t="str">
        <f>INDEX(Mapping!$L:$L,MATCH($D6&amp;$H6&amp;E6,Mapping!$B:$B,0))</f>
        <v>nvt</v>
      </c>
      <c r="U6" s="142" t="str">
        <f t="shared" si="3"/>
        <v>WBA CM Ethernet&lt;=256 kbps/&lt;=256 kbpsaddnational</v>
      </c>
      <c r="W6" s="160">
        <f>MATCH($J6,'Tarieven ZM'!$B:$B,0)</f>
        <v>63</v>
      </c>
      <c r="X6" s="148">
        <f>INDEX('Tarieven ZM'!$H:$H,$W6)</f>
        <v>1000</v>
      </c>
      <c r="Y6" s="161">
        <f>-INDEX(Parameters!$B:$B,MATCH(Y$3,Parameters!$A:$A,0))*$X6</f>
        <v>0</v>
      </c>
      <c r="Z6" s="149">
        <f>-INDEX(Parameters!$B:$B,MATCH(Z$3,Parameters!$A:$A,0))*$X6</f>
        <v>0</v>
      </c>
      <c r="AA6" s="148">
        <f t="shared" si="4"/>
        <v>1000</v>
      </c>
      <c r="AB6" s="148">
        <f>AA6/INDEX(Parameters!$B:$B,MATCH("AfschrijftermijnVVE"&amp;12*$C6,Parameters!$A:$A,0))</f>
        <v>27.777777777777779</v>
      </c>
      <c r="AC6" s="148">
        <f>INDEX('Tarieven ZM'!$G:$G,$W6)</f>
        <v>1000</v>
      </c>
      <c r="AD6" s="161">
        <f>-INDEX(Parameters!$B:$B,MATCH(AD$3,Parameters!$A:$A,0))*$AC6</f>
        <v>0</v>
      </c>
      <c r="AE6" s="161">
        <f>-INDEX(Parameters!$B:$B,MATCH(AE$3,Parameters!$A:$A,0))*$AC6</f>
        <v>0</v>
      </c>
      <c r="AF6" s="148">
        <f t="shared" si="5"/>
        <v>1000</v>
      </c>
      <c r="AG6" s="151">
        <f t="shared" si="6"/>
        <v>1027.7777777777778</v>
      </c>
      <c r="AH6" s="123"/>
      <c r="AI6" s="147">
        <f>IF(R6&lt;&gt;"n.a.",MATCH($U6,'Tarieven W&amp;O'!$B:$B,0),"nvt")</f>
        <v>134</v>
      </c>
      <c r="AJ6" s="148">
        <f>IF(AI6&lt;&gt;"nvt",INDEX('Tarieven W&amp;O'!$H:$H,$AI6),0)</f>
        <v>0</v>
      </c>
      <c r="AK6" s="148">
        <f>IF(AI6&lt;&gt;"nvt",INDEX('Tarieven W&amp;O'!$I:$I,$AI6),0)</f>
        <v>5</v>
      </c>
      <c r="AL6" s="277">
        <f>IF(AI6&lt;&gt;"nvt",-INDEX(Parameters!$B:$B,MATCH(AL$3&amp;$M6,Parameters!$A:$A,0))*(AJ6+AK6),0)</f>
        <v>0</v>
      </c>
      <c r="AM6" s="442"/>
      <c r="AN6" s="179">
        <f t="shared" si="7"/>
        <v>5</v>
      </c>
      <c r="AO6" s="262">
        <f>AN6/INDEX(Parameters!$B:$B,MATCH("AfschrijftermijnVVE"&amp;12*$C6,Parameters!$A:$A,0))</f>
        <v>0.1388888888888889</v>
      </c>
      <c r="AP6" s="179">
        <f t="shared" si="8"/>
        <v>134</v>
      </c>
      <c r="AQ6" s="202">
        <f>IF(AP6&lt;&gt;"nvt",INDEX('Tarieven W&amp;O'!$G:$G,$AP6),0)</f>
        <v>1E-4</v>
      </c>
      <c r="AR6" s="463">
        <f>-INDEX(Parameters!$B:$B,MATCH(AR$3&amp;$M6&amp;O6,Parameters!$A:$A,0))*(AQ6)</f>
        <v>-1.0000000000000001E-5</v>
      </c>
      <c r="AS6" s="262">
        <v>0</v>
      </c>
      <c r="AT6" s="442">
        <f>IF(M6="WBA CM Ethernet",0,'EDC Minus'!$H$27)</f>
        <v>0</v>
      </c>
      <c r="AU6" s="202">
        <f t="shared" si="9"/>
        <v>9.0000000000000006E-5</v>
      </c>
      <c r="AV6" s="202">
        <f t="shared" si="10"/>
        <v>0.1389788888888889</v>
      </c>
      <c r="AW6" s="202"/>
      <c r="AX6" s="202">
        <f>Parameters!$B$6*AV6</f>
        <v>1.389788888888889E-3</v>
      </c>
      <c r="AY6" s="202">
        <v>0</v>
      </c>
      <c r="AZ6" s="202"/>
      <c r="BA6" s="150">
        <f t="shared" si="16"/>
        <v>1.389788888888889E-3</v>
      </c>
      <c r="BB6" s="150"/>
      <c r="BC6" s="151">
        <f t="shared" si="17"/>
        <v>0.14036867777777778</v>
      </c>
      <c r="BD6" s="123"/>
      <c r="BE6" s="140">
        <f t="shared" si="11"/>
        <v>1027.6374091</v>
      </c>
      <c r="BF6" s="141">
        <f t="shared" si="12"/>
        <v>0.99986342507027026</v>
      </c>
      <c r="BG6" s="142" t="b">
        <f t="shared" si="13"/>
        <v>0</v>
      </c>
      <c r="BH6" s="148"/>
      <c r="BI6" s="188" t="s">
        <v>539</v>
      </c>
      <c r="BJ6" s="189"/>
      <c r="BK6">
        <f>VLOOKUP(J6,'Tarieven ZM'!$B$7:$I$146,8,0)</f>
        <v>0</v>
      </c>
      <c r="BL6" s="179" t="str">
        <f>INDEX(Mapping!$M:$M,MATCH($J6,Mapping!$B:$B,0))</f>
        <v>nvt</v>
      </c>
      <c r="BM6" s="282">
        <v>0</v>
      </c>
      <c r="BN6" s="262">
        <f>BM6/INDEX(Parameters!$B:$B,MATCH("AfschrijftermijnVVE"&amp;12*$C6,Parameters!$A:$A,0))</f>
        <v>0</v>
      </c>
      <c r="BO6" s="262">
        <f>AS6+INDEX('inkoop ULL tbv Epacity'!I:I,MATCH($BL6,'inkoop ULL tbv Epacity'!H:H,0))</f>
        <v>0</v>
      </c>
      <c r="BP6" s="263">
        <f t="shared" si="18"/>
        <v>0</v>
      </c>
      <c r="BQ6" s="203"/>
      <c r="BR6" s="262">
        <f>Parameters!$B$12*AG6</f>
        <v>102.77777777777779</v>
      </c>
      <c r="BS6" s="262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SUM(Distributievergoedingen!$F$12,Distributievergoedingen!$I$12,Distributievergoedingen!$L$12,Distributievergoedingen!$O$12)*AF6+SUM(Distributievergoedingen!$O$12*AA6+Distributievergoedingen!$R$12+Distributievergoedingen!$U$12+Distributievergoedingen!$X$12)/(MAX(36,12*L6))</f>
        <v>112.77777777777777</v>
      </c>
      <c r="BT6" s="262"/>
      <c r="BU6" s="150">
        <f t="shared" si="19"/>
        <v>215.55555555555554</v>
      </c>
      <c r="BW6" s="151">
        <f t="shared" si="20"/>
        <v>215.55555555555554</v>
      </c>
      <c r="BY6" s="140">
        <f t="shared" si="21"/>
        <v>812.22222222222229</v>
      </c>
      <c r="BZ6" s="141">
        <f t="shared" si="22"/>
        <v>0.7902702702702703</v>
      </c>
      <c r="CA6" s="142" t="b">
        <f t="shared" si="23"/>
        <v>0</v>
      </c>
    </row>
    <row r="7" spans="1:79">
      <c r="A7" s="160" t="str">
        <f t="shared" si="14"/>
        <v>1ADSLAddnationaal256/256</v>
      </c>
      <c r="B7" s="142" t="str">
        <f t="shared" si="15"/>
        <v>1ADSL256/256Add</v>
      </c>
      <c r="C7" s="198">
        <v>1</v>
      </c>
      <c r="D7" s="198" t="s">
        <v>42</v>
      </c>
      <c r="E7" s="198" t="s">
        <v>103</v>
      </c>
      <c r="F7" s="198" t="s">
        <v>115</v>
      </c>
      <c r="G7" s="199" t="s">
        <v>113</v>
      </c>
      <c r="H7" s="198" t="s">
        <v>48</v>
      </c>
      <c r="J7" s="142" t="str">
        <f t="shared" si="2"/>
        <v>ADSL256/256Add</v>
      </c>
      <c r="L7" s="160">
        <f>INDEX(Mapping!$J:$J,MATCH(C$3&amp;C7,Mapping!$B:$B,0))</f>
        <v>1</v>
      </c>
      <c r="M7" s="179" t="str">
        <f>INDEX(Mapping!$H:$H,MATCH(D7&amp;H7&amp;$E7,Mapping!$B:$B,0))</f>
        <v>WBA CM Ethernet</v>
      </c>
      <c r="N7" s="179" t="str">
        <f>INDEX(Mapping!$J:$J,MATCH(D7&amp;H7&amp;$E7,Mapping!$B:$B,0))</f>
        <v>add</v>
      </c>
      <c r="O7" s="179" t="str">
        <f>INDEX(Mapping!$I:$I,MATCH($D7,Mapping!$B:$B,0))</f>
        <v>ADSL</v>
      </c>
      <c r="P7" s="179" t="str">
        <f>INDEX(Mapping!$H:$H,MATCH($F7,Mapping!$B:$B,0))</f>
        <v>nvt</v>
      </c>
      <c r="Q7" s="283" t="str">
        <f>INDEX(Mapping!$K:$K,MATCH($D7&amp;$H7&amp;E7,Mapping!$B:$B,0))</f>
        <v>national</v>
      </c>
      <c r="R7" s="179" t="str">
        <f>INDEX(Mapping!$I:$I,MATCH(D7&amp;H7&amp;$E7,Mapping!$B:$B,0))</f>
        <v>&lt;=256 kbps/&lt;=256 kbps</v>
      </c>
      <c r="S7" s="203"/>
      <c r="T7" s="283" t="str">
        <f>INDEX(Mapping!$L:$L,MATCH($D7&amp;$H7&amp;E7,Mapping!$B:$B,0))</f>
        <v>nvt</v>
      </c>
      <c r="U7" s="142" t="str">
        <f t="shared" si="3"/>
        <v>WBA CM Ethernet&lt;=256 kbps/&lt;=256 kbpsaddnational</v>
      </c>
      <c r="W7" s="160">
        <f>MATCH($J7,'Tarieven ZM'!$B:$B,0)</f>
        <v>64</v>
      </c>
      <c r="X7" s="148">
        <f>INDEX('Tarieven ZM'!$H:$H,$W7)</f>
        <v>1000</v>
      </c>
      <c r="Y7" s="161">
        <f>-INDEX(Parameters!$B:$B,MATCH(Y$3,Parameters!$A:$A,0))*$X7</f>
        <v>0</v>
      </c>
      <c r="Z7" s="149">
        <f>-INDEX(Parameters!$B:$B,MATCH(Z$3,Parameters!$A:$A,0))*$X7</f>
        <v>0</v>
      </c>
      <c r="AA7" s="148">
        <f t="shared" si="4"/>
        <v>1000</v>
      </c>
      <c r="AB7" s="148">
        <f>AA7/INDEX(Parameters!$B:$B,MATCH("AfschrijftermijnVVE"&amp;12*$C7,Parameters!$A:$A,0))</f>
        <v>27.777777777777779</v>
      </c>
      <c r="AC7" s="148">
        <f>INDEX('Tarieven ZM'!$G:$G,$W7)</f>
        <v>1000</v>
      </c>
      <c r="AD7" s="161">
        <f>-INDEX(Parameters!$B:$B,MATCH(AD$3,Parameters!$A:$A,0))*$AC7</f>
        <v>0</v>
      </c>
      <c r="AE7" s="161">
        <f>-INDEX(Parameters!$B:$B,MATCH(AE$3,Parameters!$A:$A,0))*$AC7</f>
        <v>0</v>
      </c>
      <c r="AF7" s="148">
        <f t="shared" si="5"/>
        <v>1000</v>
      </c>
      <c r="AG7" s="151">
        <f t="shared" si="6"/>
        <v>1027.7777777777778</v>
      </c>
      <c r="AH7" s="123"/>
      <c r="AI7" s="147">
        <f>IF(R7&lt;&gt;"n.a.",MATCH($U7,'Tarieven W&amp;O'!$B:$B,0),"nvt")</f>
        <v>134</v>
      </c>
      <c r="AJ7" s="148">
        <f>IF(AI7&lt;&gt;"nvt",INDEX('Tarieven W&amp;O'!$H:$H,$AI7),0)</f>
        <v>0</v>
      </c>
      <c r="AK7" s="148">
        <f>IF(AI7&lt;&gt;"nvt",INDEX('Tarieven W&amp;O'!$I:$I,$AI7),0)</f>
        <v>5</v>
      </c>
      <c r="AL7" s="277">
        <f>IF(AI7&lt;&gt;"nvt",-INDEX(Parameters!$B:$B,MATCH(AL$3&amp;$M7,Parameters!$A:$A,0))*(AJ7+AK7),0)</f>
        <v>0</v>
      </c>
      <c r="AM7" s="442"/>
      <c r="AN7" s="179">
        <f t="shared" si="7"/>
        <v>5</v>
      </c>
      <c r="AO7" s="262">
        <f>AN7/INDEX(Parameters!$B:$B,MATCH("AfschrijftermijnVVE"&amp;12*$C7,Parameters!$A:$A,0))</f>
        <v>0.1388888888888889</v>
      </c>
      <c r="AP7" s="179">
        <f t="shared" si="8"/>
        <v>134</v>
      </c>
      <c r="AQ7" s="202">
        <f>IF(AP7&lt;&gt;"nvt",INDEX('Tarieven W&amp;O'!$G:$G,$AP7),0)</f>
        <v>1E-4</v>
      </c>
      <c r="AR7" s="463">
        <f>-INDEX(Parameters!$B:$B,MATCH(AR$3&amp;$M7&amp;O7,Parameters!$A:$A,0))*(AQ7)</f>
        <v>-1.0000000000000001E-5</v>
      </c>
      <c r="AS7" s="262">
        <v>0</v>
      </c>
      <c r="AT7" s="442">
        <f>IF(M7="WBA CM Ethernet",0,'EDC Minus'!$H$27)</f>
        <v>0</v>
      </c>
      <c r="AU7" s="202">
        <f t="shared" si="9"/>
        <v>9.0000000000000006E-5</v>
      </c>
      <c r="AV7" s="202">
        <f t="shared" si="10"/>
        <v>0.1389788888888889</v>
      </c>
      <c r="AW7" s="202"/>
      <c r="AX7" s="202">
        <f>Parameters!$B$6*AV7</f>
        <v>1.389788888888889E-3</v>
      </c>
      <c r="AY7" s="202">
        <v>0</v>
      </c>
      <c r="AZ7" s="202"/>
      <c r="BA7" s="150">
        <f t="shared" si="16"/>
        <v>1.389788888888889E-3</v>
      </c>
      <c r="BB7" s="150"/>
      <c r="BC7" s="151">
        <f t="shared" si="17"/>
        <v>0.14036867777777778</v>
      </c>
      <c r="BD7" s="123"/>
      <c r="BE7" s="140">
        <f t="shared" si="11"/>
        <v>1027.6374091</v>
      </c>
      <c r="BF7" s="141">
        <f t="shared" si="12"/>
        <v>0.99986342507027026</v>
      </c>
      <c r="BG7" s="142" t="b">
        <f t="shared" si="13"/>
        <v>0</v>
      </c>
      <c r="BH7" s="148"/>
      <c r="BI7" s="188" t="s">
        <v>539</v>
      </c>
      <c r="BJ7" s="189"/>
      <c r="BK7">
        <f>VLOOKUP(J7,'Tarieven ZM'!$B$7:$I$146,8,0)</f>
        <v>0</v>
      </c>
      <c r="BL7" s="179" t="str">
        <f>INDEX(Mapping!$M:$M,MATCH($J7,Mapping!$B:$B,0))</f>
        <v>nvt</v>
      </c>
      <c r="BM7" s="282">
        <v>0</v>
      </c>
      <c r="BN7" s="262">
        <f>BM7/INDEX(Parameters!$B:$B,MATCH("AfschrijftermijnVVE"&amp;12*$C7,Parameters!$A:$A,0))</f>
        <v>0</v>
      </c>
      <c r="BO7" s="262">
        <f>AS7+INDEX('inkoop ULL tbv Epacity'!I:I,MATCH($BL7,'inkoop ULL tbv Epacity'!H:H,0))</f>
        <v>0</v>
      </c>
      <c r="BP7" s="263">
        <f t="shared" si="18"/>
        <v>0</v>
      </c>
      <c r="BQ7" s="203"/>
      <c r="BR7" s="262">
        <f>Parameters!$B$12*AG7</f>
        <v>102.77777777777779</v>
      </c>
      <c r="BS7" s="262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SUM(Distributievergoedingen!$F$12,Distributievergoedingen!$I$12,Distributievergoedingen!$L$12,Distributievergoedingen!$O$12)*AF7+SUM(Distributievergoedingen!$O$12*AA7+Distributievergoedingen!$R$12+Distributievergoedingen!$U$12+Distributievergoedingen!$X$12)/(MAX(36,12*L7))</f>
        <v>112.77777777777777</v>
      </c>
      <c r="BT7" s="262"/>
      <c r="BU7" s="150">
        <f t="shared" si="19"/>
        <v>215.55555555555554</v>
      </c>
      <c r="BW7" s="151">
        <f t="shared" si="20"/>
        <v>215.55555555555554</v>
      </c>
      <c r="BY7" s="140">
        <f t="shared" si="21"/>
        <v>812.22222222222229</v>
      </c>
      <c r="BZ7" s="141">
        <f t="shared" si="22"/>
        <v>0.7902702702702703</v>
      </c>
      <c r="CA7" s="142" t="b">
        <f t="shared" si="23"/>
        <v>0</v>
      </c>
    </row>
    <row r="8" spans="1:79">
      <c r="A8" s="160" t="str">
        <f t="shared" si="14"/>
        <v>1ADSLAddnationaal352/352</v>
      </c>
      <c r="B8" s="142" t="str">
        <f t="shared" si="15"/>
        <v>1ADSL352/352Add</v>
      </c>
      <c r="C8" s="198">
        <v>1</v>
      </c>
      <c r="D8" s="198" t="s">
        <v>42</v>
      </c>
      <c r="E8" s="198" t="s">
        <v>103</v>
      </c>
      <c r="F8" s="198" t="s">
        <v>115</v>
      </c>
      <c r="G8" s="199" t="s">
        <v>113</v>
      </c>
      <c r="H8" s="198" t="s">
        <v>108</v>
      </c>
      <c r="J8" s="142" t="str">
        <f t="shared" si="2"/>
        <v>ADSL352/352Add</v>
      </c>
      <c r="L8" s="160">
        <f>INDEX(Mapping!$J:$J,MATCH(C$3&amp;C8,Mapping!$B:$B,0))</f>
        <v>1</v>
      </c>
      <c r="M8" s="179" t="str">
        <f>INDEX(Mapping!$H:$H,MATCH(D8&amp;H8&amp;$E8,Mapping!$B:$B,0))</f>
        <v>WBA ZM Ethernet</v>
      </c>
      <c r="N8" s="179" t="str">
        <f>INDEX(Mapping!$J:$J,MATCH(D8&amp;H8&amp;$E8,Mapping!$B:$B,0))</f>
        <v>premium</v>
      </c>
      <c r="O8" s="179" t="str">
        <f>INDEX(Mapping!$I:$I,MATCH($D8,Mapping!$B:$B,0))</f>
        <v>ADSL</v>
      </c>
      <c r="P8" s="179" t="str">
        <f>INDEX(Mapping!$H:$H,MATCH($F8,Mapping!$B:$B,0))</f>
        <v>nvt</v>
      </c>
      <c r="Q8" s="283" t="str">
        <f>INDEX(Mapping!$K:$K,MATCH($D8&amp;$H8&amp;E8,Mapping!$B:$B,0))</f>
        <v>metro</v>
      </c>
      <c r="R8" s="179" t="str">
        <f>INDEX(Mapping!$I:$I,MATCH(D8&amp;H8&amp;$E8,Mapping!$B:$B,0))</f>
        <v>1 Mbps/1 Mbps</v>
      </c>
      <c r="S8" s="203"/>
      <c r="T8" s="283" t="str">
        <f>INDEX(Mapping!$L:$L,MATCH($D8&amp;$H8&amp;E8,Mapping!$B:$B,0))</f>
        <v>metro-nationaal</v>
      </c>
      <c r="U8" s="142" t="str">
        <f t="shared" si="3"/>
        <v>WBA ZM Ethernet1 Mbps/1 Mbpspremiummetro</v>
      </c>
      <c r="W8" s="160">
        <f>MATCH($J8,'Tarieven ZM'!$B:$B,0)</f>
        <v>65</v>
      </c>
      <c r="X8" s="148">
        <f>INDEX('Tarieven ZM'!$H:$H,$W8)</f>
        <v>1000</v>
      </c>
      <c r="Y8" s="161">
        <f>-INDEX(Parameters!$B:$B,MATCH(Y$3,Parameters!$A:$A,0))*$X8</f>
        <v>0</v>
      </c>
      <c r="Z8" s="149">
        <f>-INDEX(Parameters!$B:$B,MATCH(Z$3,Parameters!$A:$A,0))*$X8</f>
        <v>0</v>
      </c>
      <c r="AA8" s="148">
        <f t="shared" si="4"/>
        <v>1000</v>
      </c>
      <c r="AB8" s="148">
        <f>AA8/INDEX(Parameters!$B:$B,MATCH("AfschrijftermijnVVE"&amp;12*$C8,Parameters!$A:$A,0))</f>
        <v>27.777777777777779</v>
      </c>
      <c r="AC8" s="148">
        <f>INDEX('Tarieven ZM'!$G:$G,$W8)</f>
        <v>1000</v>
      </c>
      <c r="AD8" s="161">
        <f>-INDEX(Parameters!$B:$B,MATCH(AD$3,Parameters!$A:$A,0))*$AC8</f>
        <v>0</v>
      </c>
      <c r="AE8" s="161">
        <f>-INDEX(Parameters!$B:$B,MATCH(AE$3,Parameters!$A:$A,0))*$AC8</f>
        <v>0</v>
      </c>
      <c r="AF8" s="148">
        <f t="shared" si="5"/>
        <v>1000</v>
      </c>
      <c r="AG8" s="151">
        <f t="shared" si="6"/>
        <v>1027.7777777777778</v>
      </c>
      <c r="AH8" s="123"/>
      <c r="AI8" s="147">
        <f>IF(R8&lt;&gt;"n.a.",MATCH($U8,'Tarieven W&amp;O'!$B:$B,0),"nvt")</f>
        <v>138</v>
      </c>
      <c r="AJ8" s="148">
        <f>IF(AI8&lt;&gt;"nvt",INDEX('Tarieven W&amp;O'!$H:$H,$AI8),0)</f>
        <v>0</v>
      </c>
      <c r="AK8" s="148">
        <f>IF(AI8&lt;&gt;"nvt",INDEX('Tarieven W&amp;O'!$I:$I,$AI8),0)</f>
        <v>5</v>
      </c>
      <c r="AL8" s="277">
        <f>IF(AI8&lt;&gt;"nvt",-INDEX(Parameters!$B:$B,MATCH(AL$3&amp;$M8,Parameters!$A:$A,0))*(AJ8+AK8),0)</f>
        <v>0</v>
      </c>
      <c r="AM8" s="442"/>
      <c r="AN8" s="179">
        <f t="shared" si="7"/>
        <v>5</v>
      </c>
      <c r="AO8" s="262">
        <f>AN8/INDEX(Parameters!$B:$B,MATCH("AfschrijftermijnVVE"&amp;12*$C8,Parameters!$A:$A,0))</f>
        <v>0.1388888888888889</v>
      </c>
      <c r="AP8" s="179">
        <f t="shared" si="8"/>
        <v>138</v>
      </c>
      <c r="AQ8" s="202">
        <f>IF(AP8&lt;&gt;"nvt",INDEX('Tarieven W&amp;O'!$G:$G,$AP8),0)</f>
        <v>7.41</v>
      </c>
      <c r="AR8" s="463">
        <f>-INDEX(Parameters!$B:$B,MATCH(AR$3&amp;$M8&amp;O8,Parameters!$A:$A,0))*(AQ8)</f>
        <v>0</v>
      </c>
      <c r="AS8" s="262">
        <v>0</v>
      </c>
      <c r="AT8" s="442">
        <f>IF(M8="WBA CM Ethernet",0,'EDC Minus'!$H$27)</f>
        <v>1</v>
      </c>
      <c r="AU8" s="202">
        <f t="shared" si="9"/>
        <v>8.41</v>
      </c>
      <c r="AV8" s="202">
        <f t="shared" si="10"/>
        <v>8.5488888888888894</v>
      </c>
      <c r="AW8" s="202"/>
      <c r="AX8" s="202">
        <f>Parameters!$B$6*AV8</f>
        <v>8.5488888888888892E-2</v>
      </c>
      <c r="AY8" s="202">
        <v>0</v>
      </c>
      <c r="AZ8" s="202"/>
      <c r="BA8" s="150">
        <f t="shared" si="16"/>
        <v>8.5488888888888892E-2</v>
      </c>
      <c r="BB8" s="150"/>
      <c r="BC8" s="151">
        <f t="shared" si="17"/>
        <v>8.6343777777777788</v>
      </c>
      <c r="BD8" s="123"/>
      <c r="BE8" s="140">
        <f t="shared" si="11"/>
        <v>1019.1434</v>
      </c>
      <c r="BF8" s="141">
        <f t="shared" si="12"/>
        <v>0.99159898378378375</v>
      </c>
      <c r="BG8" s="142" t="b">
        <f t="shared" si="13"/>
        <v>0</v>
      </c>
      <c r="BH8" s="148"/>
      <c r="BI8" s="188" t="s">
        <v>539</v>
      </c>
      <c r="BJ8" s="189"/>
      <c r="BK8">
        <f>VLOOKUP(J8,'Tarieven ZM'!$B$7:$I$146,8,0)</f>
        <v>0</v>
      </c>
      <c r="BL8" s="179" t="str">
        <f>INDEX(Mapping!$M:$M,MATCH($J8,Mapping!$B:$B,0))</f>
        <v>nvt</v>
      </c>
      <c r="BM8" s="282">
        <v>0</v>
      </c>
      <c r="BN8" s="262">
        <f>BM8/INDEX(Parameters!$B:$B,MATCH("AfschrijftermijnVVE"&amp;12*$C8,Parameters!$A:$A,0))</f>
        <v>0</v>
      </c>
      <c r="BO8" s="262">
        <f>AS8+INDEX('inkoop ULL tbv Epacity'!I:I,MATCH($BL8,'inkoop ULL tbv Epacity'!H:H,0))</f>
        <v>0</v>
      </c>
      <c r="BP8" s="263">
        <f t="shared" si="18"/>
        <v>0</v>
      </c>
      <c r="BQ8" s="203"/>
      <c r="BR8" s="262">
        <f>Parameters!$B$12*AG8</f>
        <v>102.77777777777779</v>
      </c>
      <c r="BS8" s="262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SUM(Distributievergoedingen!$F$12,Distributievergoedingen!$I$12,Distributievergoedingen!$L$12,Distributievergoedingen!$O$12)*AF8+SUM(Distributievergoedingen!$O$12*AA8+Distributievergoedingen!$R$12+Distributievergoedingen!$U$12+Distributievergoedingen!$X$12)/(MAX(36,12*L8))</f>
        <v>112.77777777777777</v>
      </c>
      <c r="BT8" s="262"/>
      <c r="BU8" s="150">
        <f t="shared" si="19"/>
        <v>215.55555555555554</v>
      </c>
      <c r="BW8" s="151">
        <f t="shared" si="20"/>
        <v>215.55555555555554</v>
      </c>
      <c r="BY8" s="140">
        <f t="shared" si="21"/>
        <v>812.22222222222229</v>
      </c>
      <c r="BZ8" s="141">
        <f t="shared" si="22"/>
        <v>0.7902702702702703</v>
      </c>
      <c r="CA8" s="142" t="b">
        <f t="shared" si="23"/>
        <v>0</v>
      </c>
    </row>
    <row r="9" spans="1:79">
      <c r="A9" s="160" t="str">
        <f t="shared" si="14"/>
        <v>1ADSLAddnationaal448/448</v>
      </c>
      <c r="B9" s="142" t="str">
        <f t="shared" si="15"/>
        <v>1ADSL448/448Add</v>
      </c>
      <c r="C9" s="198">
        <v>1</v>
      </c>
      <c r="D9" s="198" t="s">
        <v>42</v>
      </c>
      <c r="E9" s="198" t="s">
        <v>103</v>
      </c>
      <c r="F9" s="198" t="s">
        <v>115</v>
      </c>
      <c r="G9" s="199" t="s">
        <v>113</v>
      </c>
      <c r="H9" s="198" t="s">
        <v>79</v>
      </c>
      <c r="J9" s="142" t="str">
        <f t="shared" si="2"/>
        <v>ADSL448/448Add</v>
      </c>
      <c r="L9" s="160">
        <f>INDEX(Mapping!$J:$J,MATCH(C$3&amp;C9,Mapping!$B:$B,0))</f>
        <v>1</v>
      </c>
      <c r="M9" s="179" t="str">
        <f>INDEX(Mapping!$H:$H,MATCH(D9&amp;H9&amp;$E9,Mapping!$B:$B,0))</f>
        <v>WBA ZM Ethernet</v>
      </c>
      <c r="N9" s="179" t="str">
        <f>INDEX(Mapping!$J:$J,MATCH(D9&amp;H9&amp;$E9,Mapping!$B:$B,0))</f>
        <v>premium</v>
      </c>
      <c r="O9" s="179" t="str">
        <f>INDEX(Mapping!$I:$I,MATCH($D9,Mapping!$B:$B,0))</f>
        <v>ADSL</v>
      </c>
      <c r="P9" s="179" t="str">
        <f>INDEX(Mapping!$H:$H,MATCH($F9,Mapping!$B:$B,0))</f>
        <v>nvt</v>
      </c>
      <c r="Q9" s="283" t="str">
        <f>INDEX(Mapping!$K:$K,MATCH($D9&amp;$H9&amp;E9,Mapping!$B:$B,0))</f>
        <v>metro</v>
      </c>
      <c r="R9" s="179" t="str">
        <f>INDEX(Mapping!$I:$I,MATCH(D9&amp;H9&amp;$E9,Mapping!$B:$B,0))</f>
        <v>1 Mbps/1 Mbps</v>
      </c>
      <c r="S9" s="203"/>
      <c r="T9" s="283" t="str">
        <f>INDEX(Mapping!$L:$L,MATCH($D9&amp;$H9&amp;E9,Mapping!$B:$B,0))</f>
        <v>metro-nationaal</v>
      </c>
      <c r="U9" s="142" t="str">
        <f t="shared" si="3"/>
        <v>WBA ZM Ethernet1 Mbps/1 Mbpspremiummetro</v>
      </c>
      <c r="W9" s="160">
        <f>MATCH($J9,'Tarieven ZM'!$B:$B,0)</f>
        <v>66</v>
      </c>
      <c r="X9" s="148">
        <f>INDEX('Tarieven ZM'!$H:$H,$W9)</f>
        <v>1000</v>
      </c>
      <c r="Y9" s="161">
        <f>-INDEX(Parameters!$B:$B,MATCH(Y$3,Parameters!$A:$A,0))*$X9</f>
        <v>0</v>
      </c>
      <c r="Z9" s="149">
        <f>-INDEX(Parameters!$B:$B,MATCH(Z$3,Parameters!$A:$A,0))*$X9</f>
        <v>0</v>
      </c>
      <c r="AA9" s="148">
        <f t="shared" si="4"/>
        <v>1000</v>
      </c>
      <c r="AB9" s="148">
        <f>AA9/INDEX(Parameters!$B:$B,MATCH("AfschrijftermijnVVE"&amp;12*$C9,Parameters!$A:$A,0))</f>
        <v>27.777777777777779</v>
      </c>
      <c r="AC9" s="148">
        <f>INDEX('Tarieven ZM'!$G:$G,$W9)</f>
        <v>1000</v>
      </c>
      <c r="AD9" s="161">
        <f>-INDEX(Parameters!$B:$B,MATCH(AD$3,Parameters!$A:$A,0))*$AC9</f>
        <v>0</v>
      </c>
      <c r="AE9" s="161">
        <f>-INDEX(Parameters!$B:$B,MATCH(AE$3,Parameters!$A:$A,0))*$AC9</f>
        <v>0</v>
      </c>
      <c r="AF9" s="148">
        <f t="shared" si="5"/>
        <v>1000</v>
      </c>
      <c r="AG9" s="151">
        <f t="shared" si="6"/>
        <v>1027.7777777777778</v>
      </c>
      <c r="AH9" s="123"/>
      <c r="AI9" s="147">
        <f>IF(R9&lt;&gt;"n.a.",MATCH($U9,'Tarieven W&amp;O'!$B:$B,0),"nvt")</f>
        <v>138</v>
      </c>
      <c r="AJ9" s="148">
        <f>IF(AI9&lt;&gt;"nvt",INDEX('Tarieven W&amp;O'!$H:$H,$AI9),0)</f>
        <v>0</v>
      </c>
      <c r="AK9" s="148">
        <f>IF(AI9&lt;&gt;"nvt",INDEX('Tarieven W&amp;O'!$I:$I,$AI9),0)</f>
        <v>5</v>
      </c>
      <c r="AL9" s="277">
        <f>IF(AI9&lt;&gt;"nvt",-INDEX(Parameters!$B:$B,MATCH(AL$3&amp;$M9,Parameters!$A:$A,0))*(AJ9+AK9),0)</f>
        <v>0</v>
      </c>
      <c r="AM9" s="442"/>
      <c r="AN9" s="179">
        <f t="shared" si="7"/>
        <v>5</v>
      </c>
      <c r="AO9" s="262">
        <f>AN9/INDEX(Parameters!$B:$B,MATCH("AfschrijftermijnVVE"&amp;12*$C9,Parameters!$A:$A,0))</f>
        <v>0.1388888888888889</v>
      </c>
      <c r="AP9" s="179">
        <f t="shared" si="8"/>
        <v>138</v>
      </c>
      <c r="AQ9" s="202">
        <f>IF(AP9&lt;&gt;"nvt",INDEX('Tarieven W&amp;O'!$G:$G,$AP9),0)</f>
        <v>7.41</v>
      </c>
      <c r="AR9" s="463">
        <f>-INDEX(Parameters!$B:$B,MATCH(AR$3&amp;$M9&amp;O9,Parameters!$A:$A,0))*(AQ9)</f>
        <v>0</v>
      </c>
      <c r="AS9" s="262">
        <v>0</v>
      </c>
      <c r="AT9" s="442">
        <f>IF(M9="WBA CM Ethernet",0,'EDC Minus'!$H$27)</f>
        <v>1</v>
      </c>
      <c r="AU9" s="202">
        <f t="shared" si="9"/>
        <v>8.41</v>
      </c>
      <c r="AV9" s="202">
        <f t="shared" si="10"/>
        <v>8.5488888888888894</v>
      </c>
      <c r="AW9" s="202"/>
      <c r="AX9" s="202">
        <f>Parameters!$B$6*AV9</f>
        <v>8.5488888888888892E-2</v>
      </c>
      <c r="AY9" s="202">
        <v>0</v>
      </c>
      <c r="AZ9" s="202"/>
      <c r="BA9" s="150">
        <f t="shared" si="16"/>
        <v>8.5488888888888892E-2</v>
      </c>
      <c r="BB9" s="150"/>
      <c r="BC9" s="151">
        <f t="shared" si="17"/>
        <v>8.6343777777777788</v>
      </c>
      <c r="BD9" s="123"/>
      <c r="BE9" s="140">
        <f t="shared" si="11"/>
        <v>1019.1434</v>
      </c>
      <c r="BF9" s="141">
        <f t="shared" si="12"/>
        <v>0.99159898378378375</v>
      </c>
      <c r="BG9" s="142" t="b">
        <f t="shared" si="13"/>
        <v>0</v>
      </c>
      <c r="BH9" s="148"/>
      <c r="BI9" s="188" t="s">
        <v>539</v>
      </c>
      <c r="BJ9" s="189"/>
      <c r="BK9">
        <f>VLOOKUP(J9,'Tarieven ZM'!$B$7:$I$146,8,0)</f>
        <v>0</v>
      </c>
      <c r="BL9" s="179" t="str">
        <f>INDEX(Mapping!$M:$M,MATCH($J9,Mapping!$B:$B,0))</f>
        <v>nvt</v>
      </c>
      <c r="BM9" s="282">
        <v>0</v>
      </c>
      <c r="BN9" s="262">
        <f>BM9/INDEX(Parameters!$B:$B,MATCH("AfschrijftermijnVVE"&amp;12*$C9,Parameters!$A:$A,0))</f>
        <v>0</v>
      </c>
      <c r="BO9" s="262">
        <f>AS9+INDEX('inkoop ULL tbv Epacity'!I:I,MATCH($BL9,'inkoop ULL tbv Epacity'!H:H,0))</f>
        <v>0</v>
      </c>
      <c r="BP9" s="263">
        <f t="shared" si="18"/>
        <v>0</v>
      </c>
      <c r="BQ9" s="203"/>
      <c r="BR9" s="262">
        <f>Parameters!$B$12*AG9</f>
        <v>102.77777777777779</v>
      </c>
      <c r="BS9" s="262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SUM(Distributievergoedingen!$F$12,Distributievergoedingen!$I$12,Distributievergoedingen!$L$12,Distributievergoedingen!$O$12)*AF9+SUM(Distributievergoedingen!$O$12*AA9+Distributievergoedingen!$R$12+Distributievergoedingen!$U$12+Distributievergoedingen!$X$12)/(MAX(36,12*L9))</f>
        <v>112.77777777777777</v>
      </c>
      <c r="BT9" s="262"/>
      <c r="BU9" s="150">
        <f t="shared" si="19"/>
        <v>215.55555555555554</v>
      </c>
      <c r="BW9" s="151">
        <f t="shared" si="20"/>
        <v>215.55555555555554</v>
      </c>
      <c r="BY9" s="140">
        <f t="shared" si="21"/>
        <v>812.22222222222229</v>
      </c>
      <c r="BZ9" s="141">
        <f t="shared" si="22"/>
        <v>0.7902702702702703</v>
      </c>
      <c r="CA9" s="142" t="b">
        <f t="shared" si="23"/>
        <v>0</v>
      </c>
    </row>
    <row r="10" spans="1:79">
      <c r="A10" s="160" t="str">
        <f t="shared" si="14"/>
        <v>1ADSLAddnationaal512/512</v>
      </c>
      <c r="B10" s="142" t="str">
        <f t="shared" si="15"/>
        <v>1ADSL512/512Add</v>
      </c>
      <c r="C10" s="198">
        <v>1</v>
      </c>
      <c r="D10" s="198" t="s">
        <v>42</v>
      </c>
      <c r="E10" s="198" t="s">
        <v>103</v>
      </c>
      <c r="F10" s="198" t="s">
        <v>115</v>
      </c>
      <c r="G10" s="199" t="s">
        <v>113</v>
      </c>
      <c r="H10" s="198" t="s">
        <v>50</v>
      </c>
      <c r="J10" s="142" t="str">
        <f t="shared" si="2"/>
        <v>ADSL512/512Add</v>
      </c>
      <c r="L10" s="160">
        <f>INDEX(Mapping!$J:$J,MATCH(C$3&amp;C10,Mapping!$B:$B,0))</f>
        <v>1</v>
      </c>
      <c r="M10" s="179" t="str">
        <f>INDEX(Mapping!$H:$H,MATCH(D10&amp;H10&amp;$E10,Mapping!$B:$B,0))</f>
        <v>WBA ZM Ethernet</v>
      </c>
      <c r="N10" s="179" t="str">
        <f>INDEX(Mapping!$J:$J,MATCH(D10&amp;H10&amp;$E10,Mapping!$B:$B,0))</f>
        <v>premium</v>
      </c>
      <c r="O10" s="179" t="str">
        <f>INDEX(Mapping!$I:$I,MATCH($D10,Mapping!$B:$B,0))</f>
        <v>ADSL</v>
      </c>
      <c r="P10" s="179" t="str">
        <f>INDEX(Mapping!$H:$H,MATCH($F10,Mapping!$B:$B,0))</f>
        <v>nvt</v>
      </c>
      <c r="Q10" s="283" t="str">
        <f>INDEX(Mapping!$K:$K,MATCH($D10&amp;$H10&amp;E10,Mapping!$B:$B,0))</f>
        <v>metro</v>
      </c>
      <c r="R10" s="179" t="str">
        <f>INDEX(Mapping!$I:$I,MATCH(D10&amp;H10&amp;$E10,Mapping!$B:$B,0))</f>
        <v>1 Mbps/1 Mbps</v>
      </c>
      <c r="S10" s="203"/>
      <c r="T10" s="283" t="str">
        <f>INDEX(Mapping!$L:$L,MATCH($D10&amp;$H10&amp;E10,Mapping!$B:$B,0))</f>
        <v>metro-nationaal</v>
      </c>
      <c r="U10" s="142" t="str">
        <f t="shared" si="3"/>
        <v>WBA ZM Ethernet1 Mbps/1 Mbpspremiummetro</v>
      </c>
      <c r="W10" s="160">
        <f>MATCH($J10,'Tarieven ZM'!$B:$B,0)</f>
        <v>67</v>
      </c>
      <c r="X10" s="148">
        <f>INDEX('Tarieven ZM'!$H:$H,$W10)</f>
        <v>1000</v>
      </c>
      <c r="Y10" s="161">
        <f>-INDEX(Parameters!$B:$B,MATCH(Y$3,Parameters!$A:$A,0))*$X10</f>
        <v>0</v>
      </c>
      <c r="Z10" s="149">
        <f>-INDEX(Parameters!$B:$B,MATCH(Z$3,Parameters!$A:$A,0))*$X10</f>
        <v>0</v>
      </c>
      <c r="AA10" s="148">
        <f t="shared" si="4"/>
        <v>1000</v>
      </c>
      <c r="AB10" s="148">
        <f>AA10/INDEX(Parameters!$B:$B,MATCH("AfschrijftermijnVVE"&amp;12*$C10,Parameters!$A:$A,0))</f>
        <v>27.777777777777779</v>
      </c>
      <c r="AC10" s="148">
        <f>INDEX('Tarieven ZM'!$G:$G,$W10)</f>
        <v>1000</v>
      </c>
      <c r="AD10" s="161">
        <f>-INDEX(Parameters!$B:$B,MATCH(AD$3,Parameters!$A:$A,0))*$AC10</f>
        <v>0</v>
      </c>
      <c r="AE10" s="161">
        <f>-INDEX(Parameters!$B:$B,MATCH(AE$3,Parameters!$A:$A,0))*$AC10</f>
        <v>0</v>
      </c>
      <c r="AF10" s="148">
        <f t="shared" si="5"/>
        <v>1000</v>
      </c>
      <c r="AG10" s="151">
        <f t="shared" si="6"/>
        <v>1027.7777777777778</v>
      </c>
      <c r="AH10" s="123"/>
      <c r="AI10" s="147">
        <f>IF(R10&lt;&gt;"n.a.",MATCH($U10,'Tarieven W&amp;O'!$B:$B,0),"nvt")</f>
        <v>138</v>
      </c>
      <c r="AJ10" s="148">
        <f>IF(AI10&lt;&gt;"nvt",INDEX('Tarieven W&amp;O'!$H:$H,$AI10),0)</f>
        <v>0</v>
      </c>
      <c r="AK10" s="148">
        <f>IF(AI10&lt;&gt;"nvt",INDEX('Tarieven W&amp;O'!$I:$I,$AI10),0)</f>
        <v>5</v>
      </c>
      <c r="AL10" s="277">
        <f>IF(AI10&lt;&gt;"nvt",-INDEX(Parameters!$B:$B,MATCH(AL$3&amp;$M10,Parameters!$A:$A,0))*(AJ10+AK10),0)</f>
        <v>0</v>
      </c>
      <c r="AM10" s="442"/>
      <c r="AN10" s="179">
        <f t="shared" si="7"/>
        <v>5</v>
      </c>
      <c r="AO10" s="262">
        <f>AN10/INDEX(Parameters!$B:$B,MATCH("AfschrijftermijnVVE"&amp;12*$C10,Parameters!$A:$A,0))</f>
        <v>0.1388888888888889</v>
      </c>
      <c r="AP10" s="179">
        <f t="shared" si="8"/>
        <v>138</v>
      </c>
      <c r="AQ10" s="202">
        <f>IF(AP10&lt;&gt;"nvt",INDEX('Tarieven W&amp;O'!$G:$G,$AP10),0)</f>
        <v>7.41</v>
      </c>
      <c r="AR10" s="463">
        <f>-INDEX(Parameters!$B:$B,MATCH(AR$3&amp;$M10&amp;O10,Parameters!$A:$A,0))*(AQ10)</f>
        <v>0</v>
      </c>
      <c r="AS10" s="262">
        <v>0</v>
      </c>
      <c r="AT10" s="442">
        <f>IF(M10="WBA CM Ethernet",0,'EDC Minus'!$H$27)</f>
        <v>1</v>
      </c>
      <c r="AU10" s="202">
        <f t="shared" si="9"/>
        <v>8.41</v>
      </c>
      <c r="AV10" s="202">
        <f t="shared" si="10"/>
        <v>8.5488888888888894</v>
      </c>
      <c r="AW10" s="202"/>
      <c r="AX10" s="202">
        <f>Parameters!$B$6*AV10</f>
        <v>8.5488888888888892E-2</v>
      </c>
      <c r="AY10" s="202">
        <v>0</v>
      </c>
      <c r="AZ10" s="202"/>
      <c r="BA10" s="150">
        <f t="shared" si="16"/>
        <v>8.5488888888888892E-2</v>
      </c>
      <c r="BB10" s="150"/>
      <c r="BC10" s="151">
        <f t="shared" si="17"/>
        <v>8.6343777777777788</v>
      </c>
      <c r="BD10" s="123"/>
      <c r="BE10" s="140">
        <f t="shared" si="11"/>
        <v>1019.1434</v>
      </c>
      <c r="BF10" s="141">
        <f t="shared" si="12"/>
        <v>0.99159898378378375</v>
      </c>
      <c r="BG10" s="142" t="b">
        <f t="shared" si="13"/>
        <v>0</v>
      </c>
      <c r="BH10" s="148"/>
      <c r="BI10" s="188" t="s">
        <v>539</v>
      </c>
      <c r="BJ10" s="189"/>
      <c r="BK10">
        <f>VLOOKUP(J10,'Tarieven ZM'!$B$7:$I$146,8,0)</f>
        <v>0</v>
      </c>
      <c r="BL10" s="179" t="str">
        <f>INDEX(Mapping!$M:$M,MATCH($J10,Mapping!$B:$B,0))</f>
        <v>nvt</v>
      </c>
      <c r="BM10" s="282">
        <v>0</v>
      </c>
      <c r="BN10" s="262">
        <f>BM10/INDEX(Parameters!$B:$B,MATCH("AfschrijftermijnVVE"&amp;12*$C10,Parameters!$A:$A,0))</f>
        <v>0</v>
      </c>
      <c r="BO10" s="262">
        <f>AS10+INDEX('inkoop ULL tbv Epacity'!I:I,MATCH($BL10,'inkoop ULL tbv Epacity'!H:H,0))</f>
        <v>0</v>
      </c>
      <c r="BP10" s="263">
        <f t="shared" si="18"/>
        <v>0</v>
      </c>
      <c r="BQ10" s="203"/>
      <c r="BR10" s="262">
        <f>Parameters!$B$12*AG10</f>
        <v>102.77777777777779</v>
      </c>
      <c r="BS10" s="262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SUM(Distributievergoedingen!$F$12,Distributievergoedingen!$I$12,Distributievergoedingen!$L$12,Distributievergoedingen!$O$12)*AF10+SUM(Distributievergoedingen!$O$12*AA10+Distributievergoedingen!$R$12+Distributievergoedingen!$U$12+Distributievergoedingen!$X$12)/(MAX(36,12*L10))</f>
        <v>112.77777777777777</v>
      </c>
      <c r="BT10" s="262"/>
      <c r="BU10" s="150">
        <f t="shared" si="19"/>
        <v>215.55555555555554</v>
      </c>
      <c r="BW10" s="151">
        <f t="shared" si="20"/>
        <v>215.55555555555554</v>
      </c>
      <c r="BY10" s="140">
        <f t="shared" si="21"/>
        <v>812.22222222222229</v>
      </c>
      <c r="BZ10" s="141">
        <f t="shared" si="22"/>
        <v>0.7902702702702703</v>
      </c>
      <c r="CA10" s="142" t="b">
        <f t="shared" si="23"/>
        <v>0</v>
      </c>
    </row>
    <row r="11" spans="1:79">
      <c r="A11" s="160" t="str">
        <f t="shared" si="14"/>
        <v>1SDSLAddnationaal224/224</v>
      </c>
      <c r="B11" s="142" t="str">
        <f t="shared" si="15"/>
        <v>1SDSL224/224Add</v>
      </c>
      <c r="C11" s="198">
        <v>1</v>
      </c>
      <c r="D11" s="198" t="s">
        <v>64</v>
      </c>
      <c r="E11" s="198" t="s">
        <v>103</v>
      </c>
      <c r="F11" s="198" t="s">
        <v>115</v>
      </c>
      <c r="G11" s="199" t="s">
        <v>113</v>
      </c>
      <c r="H11" s="198" t="s">
        <v>107</v>
      </c>
      <c r="J11" s="142" t="str">
        <f t="shared" si="2"/>
        <v>SDSL224/224Add</v>
      </c>
      <c r="L11" s="160">
        <f>INDEX(Mapping!$J:$J,MATCH(C$3&amp;C11,Mapping!$B:$B,0))</f>
        <v>1</v>
      </c>
      <c r="M11" s="179" t="str">
        <f>INDEX(Mapping!$H:$H,MATCH(D11&amp;H11&amp;$E11,Mapping!$B:$B,0))</f>
        <v>WBA CM Ethernet</v>
      </c>
      <c r="N11" s="179" t="str">
        <f>INDEX(Mapping!$J:$J,MATCH(D11&amp;H11&amp;$E11,Mapping!$B:$B,0))</f>
        <v>add</v>
      </c>
      <c r="O11" s="179" t="str">
        <f>INDEX(Mapping!$I:$I,MATCH($D11,Mapping!$B:$B,0))</f>
        <v>SDSL</v>
      </c>
      <c r="P11" s="179" t="str">
        <f>INDEX(Mapping!$H:$H,MATCH($F11,Mapping!$B:$B,0))</f>
        <v>nvt</v>
      </c>
      <c r="Q11" s="283" t="str">
        <f>INDEX(Mapping!$K:$K,MATCH($D11&amp;$H11&amp;E11,Mapping!$B:$B,0))</f>
        <v>national</v>
      </c>
      <c r="R11" s="179" t="str">
        <f>INDEX(Mapping!$I:$I,MATCH(D11&amp;H11&amp;$E11,Mapping!$B:$B,0))</f>
        <v>&lt;=256 kbps/&lt;=256 kbps</v>
      </c>
      <c r="S11" s="203"/>
      <c r="T11" s="283" t="str">
        <f>INDEX(Mapping!$L:$L,MATCH($D11&amp;$H11&amp;E11,Mapping!$B:$B,0))</f>
        <v>nvt</v>
      </c>
      <c r="U11" s="142" t="str">
        <f t="shared" si="3"/>
        <v>WBA CM Ethernet&lt;=256 kbps/&lt;=256 kbpsaddnational</v>
      </c>
      <c r="W11" s="160">
        <f>MATCH($J11,'Tarieven ZM'!$B:$B,0)</f>
        <v>68</v>
      </c>
      <c r="X11" s="148">
        <f>INDEX('Tarieven ZM'!$H:$H,$W11)</f>
        <v>1000</v>
      </c>
      <c r="Y11" s="161">
        <f>-INDEX(Parameters!$B:$B,MATCH(Y$3,Parameters!$A:$A,0))*$X11</f>
        <v>0</v>
      </c>
      <c r="Z11" s="149">
        <f>-INDEX(Parameters!$B:$B,MATCH(Z$3,Parameters!$A:$A,0))*$X11</f>
        <v>0</v>
      </c>
      <c r="AA11" s="148">
        <f t="shared" si="4"/>
        <v>1000</v>
      </c>
      <c r="AB11" s="148">
        <f>AA11/INDEX(Parameters!$B:$B,MATCH("AfschrijftermijnVVE"&amp;12*$C11,Parameters!$A:$A,0))</f>
        <v>27.777777777777779</v>
      </c>
      <c r="AC11" s="148">
        <f>INDEX('Tarieven ZM'!$G:$G,$W11)</f>
        <v>1000</v>
      </c>
      <c r="AD11" s="161">
        <f>-INDEX(Parameters!$B:$B,MATCH(AD$3,Parameters!$A:$A,0))*$AC11</f>
        <v>0</v>
      </c>
      <c r="AE11" s="161">
        <f>-INDEX(Parameters!$B:$B,MATCH(AE$3,Parameters!$A:$A,0))*$AC11</f>
        <v>0</v>
      </c>
      <c r="AF11" s="148">
        <f t="shared" si="5"/>
        <v>1000</v>
      </c>
      <c r="AG11" s="151">
        <f t="shared" si="6"/>
        <v>1027.7777777777778</v>
      </c>
      <c r="AH11" s="123"/>
      <c r="AI11" s="147">
        <f>IF(R11&lt;&gt;"n.a.",MATCH($U11,'Tarieven W&amp;O'!$B:$B,0),"nvt")</f>
        <v>134</v>
      </c>
      <c r="AJ11" s="148">
        <f>IF(AI11&lt;&gt;"nvt",INDEX('Tarieven W&amp;O'!$H:$H,$AI11),0)</f>
        <v>0</v>
      </c>
      <c r="AK11" s="148">
        <f>IF(AI11&lt;&gt;"nvt",INDEX('Tarieven W&amp;O'!$I:$I,$AI11),0)</f>
        <v>5</v>
      </c>
      <c r="AL11" s="277">
        <f>IF(AI11&lt;&gt;"nvt",-INDEX(Parameters!$B:$B,MATCH(AL$3&amp;$M11,Parameters!$A:$A,0))*(AJ11+AK11),0)</f>
        <v>0</v>
      </c>
      <c r="AM11" s="442"/>
      <c r="AN11" s="179">
        <f t="shared" si="7"/>
        <v>5</v>
      </c>
      <c r="AO11" s="262">
        <f>AN11/INDEX(Parameters!$B:$B,MATCH("AfschrijftermijnVVE"&amp;12*$C11,Parameters!$A:$A,0))</f>
        <v>0.1388888888888889</v>
      </c>
      <c r="AP11" s="179">
        <f t="shared" si="8"/>
        <v>134</v>
      </c>
      <c r="AQ11" s="202">
        <f>IF(AP11&lt;&gt;"nvt",INDEX('Tarieven W&amp;O'!$G:$G,$AP11),0)</f>
        <v>1E-4</v>
      </c>
      <c r="AR11" s="463">
        <f>-INDEX(Parameters!$B:$B,MATCH(AR$3&amp;$M11&amp;O11,Parameters!$A:$A,0))*(AQ11)</f>
        <v>-1.0000000000000001E-5</v>
      </c>
      <c r="AS11" s="262">
        <v>0</v>
      </c>
      <c r="AT11" s="442">
        <f>IF(M11="WBA CM Ethernet",0,'EDC Minus'!$H$27)</f>
        <v>0</v>
      </c>
      <c r="AU11" s="202">
        <f t="shared" si="9"/>
        <v>9.0000000000000006E-5</v>
      </c>
      <c r="AV11" s="202">
        <f t="shared" si="10"/>
        <v>0.1389788888888889</v>
      </c>
      <c r="AW11" s="202"/>
      <c r="AX11" s="202">
        <f>Parameters!$B$6*AV11</f>
        <v>1.389788888888889E-3</v>
      </c>
      <c r="AY11" s="202">
        <v>0</v>
      </c>
      <c r="AZ11" s="202"/>
      <c r="BA11" s="150">
        <f t="shared" si="16"/>
        <v>1.389788888888889E-3</v>
      </c>
      <c r="BB11" s="150"/>
      <c r="BC11" s="151">
        <f t="shared" si="17"/>
        <v>0.14036867777777778</v>
      </c>
      <c r="BD11" s="123"/>
      <c r="BE11" s="140">
        <f t="shared" si="11"/>
        <v>1027.6374091</v>
      </c>
      <c r="BF11" s="141">
        <f t="shared" si="12"/>
        <v>0.99986342507027026</v>
      </c>
      <c r="BG11" s="142" t="b">
        <f t="shared" si="13"/>
        <v>0</v>
      </c>
      <c r="BH11" s="148"/>
      <c r="BI11" s="188" t="s">
        <v>539</v>
      </c>
      <c r="BJ11" s="189"/>
      <c r="BK11">
        <f>VLOOKUP(J11,'Tarieven ZM'!$B$7:$I$146,8,0)</f>
        <v>0</v>
      </c>
      <c r="BL11" s="179" t="str">
        <f>INDEX(Mapping!$M:$M,MATCH($J11,Mapping!$B:$B,0))</f>
        <v>nvt</v>
      </c>
      <c r="BM11" s="282">
        <v>0</v>
      </c>
      <c r="BN11" s="262">
        <f>BM11/INDEX(Parameters!$B:$B,MATCH("AfschrijftermijnVVE"&amp;12*$C11,Parameters!$A:$A,0))</f>
        <v>0</v>
      </c>
      <c r="BO11" s="262">
        <f>AS11+INDEX('inkoop ULL tbv Epacity'!I:I,MATCH($BL11,'inkoop ULL tbv Epacity'!H:H,0))</f>
        <v>0</v>
      </c>
      <c r="BP11" s="263">
        <f t="shared" si="18"/>
        <v>0</v>
      </c>
      <c r="BQ11" s="203"/>
      <c r="BR11" s="262">
        <f>Parameters!$B$12*AG11</f>
        <v>102.77777777777779</v>
      </c>
      <c r="BS11" s="262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SUM(Distributievergoedingen!$F$12,Distributievergoedingen!$I$12,Distributievergoedingen!$L$12,Distributievergoedingen!$O$12)*AF11+SUM(Distributievergoedingen!$O$12*AA11+Distributievergoedingen!$R$12+Distributievergoedingen!$U$12+Distributievergoedingen!$X$12)/(MAX(36,12*L11))</f>
        <v>112.77777777777777</v>
      </c>
      <c r="BT11" s="262"/>
      <c r="BU11" s="150">
        <f t="shared" si="19"/>
        <v>215.55555555555554</v>
      </c>
      <c r="BW11" s="151">
        <f t="shared" si="20"/>
        <v>215.55555555555554</v>
      </c>
      <c r="BY11" s="140">
        <f t="shared" si="21"/>
        <v>812.22222222222229</v>
      </c>
      <c r="BZ11" s="141">
        <f t="shared" si="22"/>
        <v>0.7902702702702703</v>
      </c>
      <c r="CA11" s="142" t="b">
        <f t="shared" si="23"/>
        <v>0</v>
      </c>
    </row>
    <row r="12" spans="1:79">
      <c r="A12" s="160" t="str">
        <f t="shared" si="14"/>
        <v>1SDSLAddnationaal256/256</v>
      </c>
      <c r="B12" s="142" t="str">
        <f t="shared" si="15"/>
        <v>1SDSL256/256Add</v>
      </c>
      <c r="C12" s="198">
        <v>1</v>
      </c>
      <c r="D12" s="198" t="s">
        <v>64</v>
      </c>
      <c r="E12" s="198" t="s">
        <v>103</v>
      </c>
      <c r="F12" s="198" t="s">
        <v>115</v>
      </c>
      <c r="G12" s="199" t="s">
        <v>113</v>
      </c>
      <c r="H12" s="198" t="s">
        <v>48</v>
      </c>
      <c r="J12" s="142" t="str">
        <f t="shared" si="2"/>
        <v>SDSL256/256Add</v>
      </c>
      <c r="L12" s="160">
        <f>INDEX(Mapping!$J:$J,MATCH(C$3&amp;C12,Mapping!$B:$B,0))</f>
        <v>1</v>
      </c>
      <c r="M12" s="179" t="str">
        <f>INDEX(Mapping!$H:$H,MATCH(D12&amp;H12&amp;$E12,Mapping!$B:$B,0))</f>
        <v>WBA CM Ethernet</v>
      </c>
      <c r="N12" s="179" t="str">
        <f>INDEX(Mapping!$J:$J,MATCH(D12&amp;H12&amp;$E12,Mapping!$B:$B,0))</f>
        <v>add</v>
      </c>
      <c r="O12" s="179" t="str">
        <f>INDEX(Mapping!$I:$I,MATCH($D12,Mapping!$B:$B,0))</f>
        <v>SDSL</v>
      </c>
      <c r="P12" s="179" t="str">
        <f>INDEX(Mapping!$H:$H,MATCH($F12,Mapping!$B:$B,0))</f>
        <v>nvt</v>
      </c>
      <c r="Q12" s="283" t="str">
        <f>INDEX(Mapping!$K:$K,MATCH($D12&amp;$H12&amp;E12,Mapping!$B:$B,0))</f>
        <v>national</v>
      </c>
      <c r="R12" s="179" t="str">
        <f>INDEX(Mapping!$I:$I,MATCH(D12&amp;H12&amp;$E12,Mapping!$B:$B,0))</f>
        <v>&lt;=256 kbps/&lt;=256 kbps</v>
      </c>
      <c r="S12" s="203"/>
      <c r="T12" s="283" t="str">
        <f>INDEX(Mapping!$L:$L,MATCH($D12&amp;$H12&amp;E12,Mapping!$B:$B,0))</f>
        <v>nvt</v>
      </c>
      <c r="U12" s="142" t="str">
        <f t="shared" si="3"/>
        <v>WBA CM Ethernet&lt;=256 kbps/&lt;=256 kbpsaddnational</v>
      </c>
      <c r="W12" s="160">
        <f>MATCH($J12,'Tarieven ZM'!$B:$B,0)</f>
        <v>69</v>
      </c>
      <c r="X12" s="148">
        <f>INDEX('Tarieven ZM'!$H:$H,$W12)</f>
        <v>1000</v>
      </c>
      <c r="Y12" s="161">
        <f>-INDEX(Parameters!$B:$B,MATCH(Y$3,Parameters!$A:$A,0))*$X12</f>
        <v>0</v>
      </c>
      <c r="Z12" s="149">
        <f>-INDEX(Parameters!$B:$B,MATCH(Z$3,Parameters!$A:$A,0))*$X12</f>
        <v>0</v>
      </c>
      <c r="AA12" s="148">
        <f t="shared" si="4"/>
        <v>1000</v>
      </c>
      <c r="AB12" s="148">
        <f>AA12/INDEX(Parameters!$B:$B,MATCH("AfschrijftermijnVVE"&amp;12*$C12,Parameters!$A:$A,0))</f>
        <v>27.777777777777779</v>
      </c>
      <c r="AC12" s="148">
        <f>INDEX('Tarieven ZM'!$G:$G,$W12)</f>
        <v>1000</v>
      </c>
      <c r="AD12" s="161">
        <f>-INDEX(Parameters!$B:$B,MATCH(AD$3,Parameters!$A:$A,0))*$AC12</f>
        <v>0</v>
      </c>
      <c r="AE12" s="161">
        <f>-INDEX(Parameters!$B:$B,MATCH(AE$3,Parameters!$A:$A,0))*$AC12</f>
        <v>0</v>
      </c>
      <c r="AF12" s="148">
        <f t="shared" si="5"/>
        <v>1000</v>
      </c>
      <c r="AG12" s="151">
        <f t="shared" si="6"/>
        <v>1027.7777777777778</v>
      </c>
      <c r="AH12" s="123"/>
      <c r="AI12" s="147">
        <f>IF(R12&lt;&gt;"n.a.",MATCH($U12,'Tarieven W&amp;O'!$B:$B,0),"nvt")</f>
        <v>134</v>
      </c>
      <c r="AJ12" s="148">
        <f>IF(AI12&lt;&gt;"nvt",INDEX('Tarieven W&amp;O'!$H:$H,$AI12),0)</f>
        <v>0</v>
      </c>
      <c r="AK12" s="148">
        <f>IF(AI12&lt;&gt;"nvt",INDEX('Tarieven W&amp;O'!$I:$I,$AI12),0)</f>
        <v>5</v>
      </c>
      <c r="AL12" s="277">
        <f>IF(AI12&lt;&gt;"nvt",-INDEX(Parameters!$B:$B,MATCH(AL$3&amp;$M12,Parameters!$A:$A,0))*(AJ12+AK12),0)</f>
        <v>0</v>
      </c>
      <c r="AM12" s="442"/>
      <c r="AN12" s="179">
        <f t="shared" si="7"/>
        <v>5</v>
      </c>
      <c r="AO12" s="262">
        <f>AN12/INDEX(Parameters!$B:$B,MATCH("AfschrijftermijnVVE"&amp;12*$C12,Parameters!$A:$A,0))</f>
        <v>0.1388888888888889</v>
      </c>
      <c r="AP12" s="179">
        <f t="shared" si="8"/>
        <v>134</v>
      </c>
      <c r="AQ12" s="202">
        <f>IF(AP12&lt;&gt;"nvt",INDEX('Tarieven W&amp;O'!$G:$G,$AP12),0)</f>
        <v>1E-4</v>
      </c>
      <c r="AR12" s="463">
        <f>-INDEX(Parameters!$B:$B,MATCH(AR$3&amp;$M12&amp;O12,Parameters!$A:$A,0))*(AQ12)</f>
        <v>-1.0000000000000001E-5</v>
      </c>
      <c r="AS12" s="262">
        <v>0</v>
      </c>
      <c r="AT12" s="442">
        <f>IF(M12="WBA CM Ethernet",0,'EDC Minus'!$H$27)</f>
        <v>0</v>
      </c>
      <c r="AU12" s="202">
        <f t="shared" si="9"/>
        <v>9.0000000000000006E-5</v>
      </c>
      <c r="AV12" s="202">
        <f t="shared" si="10"/>
        <v>0.1389788888888889</v>
      </c>
      <c r="AW12" s="202"/>
      <c r="AX12" s="202">
        <f>Parameters!$B$6*AV12</f>
        <v>1.389788888888889E-3</v>
      </c>
      <c r="AY12" s="202">
        <v>0</v>
      </c>
      <c r="AZ12" s="202"/>
      <c r="BA12" s="150">
        <f t="shared" si="16"/>
        <v>1.389788888888889E-3</v>
      </c>
      <c r="BB12" s="150"/>
      <c r="BC12" s="151">
        <f t="shared" si="17"/>
        <v>0.14036867777777778</v>
      </c>
      <c r="BD12" s="123"/>
      <c r="BE12" s="140">
        <f t="shared" si="11"/>
        <v>1027.6374091</v>
      </c>
      <c r="BF12" s="141">
        <f t="shared" si="12"/>
        <v>0.99986342507027026</v>
      </c>
      <c r="BG12" s="142" t="b">
        <f t="shared" si="13"/>
        <v>0</v>
      </c>
      <c r="BH12" s="148"/>
      <c r="BI12" s="188" t="s">
        <v>539</v>
      </c>
      <c r="BJ12" s="189"/>
      <c r="BK12">
        <f>VLOOKUP(J12,'Tarieven ZM'!$B$7:$I$146,8,0)</f>
        <v>0</v>
      </c>
      <c r="BL12" s="179" t="str">
        <f>INDEX(Mapping!$M:$M,MATCH($J12,Mapping!$B:$B,0))</f>
        <v>nvt</v>
      </c>
      <c r="BM12" s="282">
        <v>0</v>
      </c>
      <c r="BN12" s="262">
        <f>BM12/INDEX(Parameters!$B:$B,MATCH("AfschrijftermijnVVE"&amp;12*$C12,Parameters!$A:$A,0))</f>
        <v>0</v>
      </c>
      <c r="BO12" s="262">
        <f>AS12+INDEX('inkoop ULL tbv Epacity'!I:I,MATCH($BL12,'inkoop ULL tbv Epacity'!H:H,0))</f>
        <v>0</v>
      </c>
      <c r="BP12" s="263">
        <f t="shared" si="18"/>
        <v>0</v>
      </c>
      <c r="BQ12" s="203"/>
      <c r="BR12" s="262">
        <f>Parameters!$B$12*AG12</f>
        <v>102.77777777777779</v>
      </c>
      <c r="BS12" s="262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SUM(Distributievergoedingen!$F$12,Distributievergoedingen!$I$12,Distributievergoedingen!$L$12,Distributievergoedingen!$O$12)*AF12+SUM(Distributievergoedingen!$O$12*AA12+Distributievergoedingen!$R$12+Distributievergoedingen!$U$12+Distributievergoedingen!$X$12)/(MAX(36,12*L12))</f>
        <v>112.77777777777777</v>
      </c>
      <c r="BT12" s="262"/>
      <c r="BU12" s="150">
        <f t="shared" si="19"/>
        <v>215.55555555555554</v>
      </c>
      <c r="BW12" s="151">
        <f t="shared" si="20"/>
        <v>215.55555555555554</v>
      </c>
      <c r="BY12" s="140">
        <f t="shared" si="21"/>
        <v>812.22222222222229</v>
      </c>
      <c r="BZ12" s="141">
        <f t="shared" si="22"/>
        <v>0.7902702702702703</v>
      </c>
      <c r="CA12" s="142" t="b">
        <f t="shared" si="23"/>
        <v>0</v>
      </c>
    </row>
    <row r="13" spans="1:79">
      <c r="A13" s="160" t="str">
        <f t="shared" si="14"/>
        <v>1SDSLAddnationaal448/448</v>
      </c>
      <c r="B13" s="142" t="str">
        <f t="shared" si="15"/>
        <v>1SDSL448/448Add</v>
      </c>
      <c r="C13" s="198">
        <v>1</v>
      </c>
      <c r="D13" s="198" t="s">
        <v>64</v>
      </c>
      <c r="E13" s="198" t="s">
        <v>103</v>
      </c>
      <c r="F13" s="198" t="s">
        <v>115</v>
      </c>
      <c r="G13" s="199" t="s">
        <v>113</v>
      </c>
      <c r="H13" s="198" t="s">
        <v>79</v>
      </c>
      <c r="J13" s="142" t="str">
        <f t="shared" si="2"/>
        <v>SDSL448/448Add</v>
      </c>
      <c r="L13" s="160">
        <f>INDEX(Mapping!$J:$J,MATCH(C$3&amp;C13,Mapping!$B:$B,0))</f>
        <v>1</v>
      </c>
      <c r="M13" s="179" t="str">
        <f>INDEX(Mapping!$H:$H,MATCH(D13&amp;H13&amp;$E13,Mapping!$B:$B,0))</f>
        <v>WBA ZM Ethernet</v>
      </c>
      <c r="N13" s="179" t="str">
        <f>INDEX(Mapping!$J:$J,MATCH(D13&amp;H13&amp;$E13,Mapping!$B:$B,0))</f>
        <v>premium</v>
      </c>
      <c r="O13" s="179" t="str">
        <f>INDEX(Mapping!$I:$I,MATCH($D13,Mapping!$B:$B,0))</f>
        <v>SDSL</v>
      </c>
      <c r="P13" s="179" t="str">
        <f>INDEX(Mapping!$H:$H,MATCH($F13,Mapping!$B:$B,0))</f>
        <v>nvt</v>
      </c>
      <c r="Q13" s="283" t="str">
        <f>INDEX(Mapping!$K:$K,MATCH($D13&amp;$H13&amp;E13,Mapping!$B:$B,0))</f>
        <v>metro</v>
      </c>
      <c r="R13" s="179" t="str">
        <f>INDEX(Mapping!$I:$I,MATCH(D13&amp;H13&amp;$E13,Mapping!$B:$B,0))</f>
        <v>1 Mbps/1 Mbps</v>
      </c>
      <c r="S13" s="203"/>
      <c r="T13" s="283" t="str">
        <f>INDEX(Mapping!$L:$L,MATCH($D13&amp;$H13&amp;E13,Mapping!$B:$B,0))</f>
        <v>metro-nationaal</v>
      </c>
      <c r="U13" s="142" t="str">
        <f t="shared" si="3"/>
        <v>WBA ZM Ethernet1 Mbps/1 Mbpspremiummetro</v>
      </c>
      <c r="W13" s="160">
        <f>MATCH($J13,'Tarieven ZM'!$B:$B,0)</f>
        <v>70</v>
      </c>
      <c r="X13" s="148">
        <f>INDEX('Tarieven ZM'!$H:$H,$W13)</f>
        <v>1000</v>
      </c>
      <c r="Y13" s="161">
        <f>-INDEX(Parameters!$B:$B,MATCH(Y$3,Parameters!$A:$A,0))*$X13</f>
        <v>0</v>
      </c>
      <c r="Z13" s="149">
        <f>-INDEX(Parameters!$B:$B,MATCH(Z$3,Parameters!$A:$A,0))*$X13</f>
        <v>0</v>
      </c>
      <c r="AA13" s="148">
        <f t="shared" si="4"/>
        <v>1000</v>
      </c>
      <c r="AB13" s="148">
        <f>AA13/INDEX(Parameters!$B:$B,MATCH("AfschrijftermijnVVE"&amp;12*$C13,Parameters!$A:$A,0))</f>
        <v>27.777777777777779</v>
      </c>
      <c r="AC13" s="148">
        <f>INDEX('Tarieven ZM'!$G:$G,$W13)</f>
        <v>1000</v>
      </c>
      <c r="AD13" s="161">
        <f>-INDEX(Parameters!$B:$B,MATCH(AD$3,Parameters!$A:$A,0))*$AC13</f>
        <v>0</v>
      </c>
      <c r="AE13" s="161">
        <f>-INDEX(Parameters!$B:$B,MATCH(AE$3,Parameters!$A:$A,0))*$AC13</f>
        <v>0</v>
      </c>
      <c r="AF13" s="148">
        <f t="shared" si="5"/>
        <v>1000</v>
      </c>
      <c r="AG13" s="151">
        <f t="shared" si="6"/>
        <v>1027.7777777777778</v>
      </c>
      <c r="AH13" s="123"/>
      <c r="AI13" s="147">
        <f>IF(R13&lt;&gt;"n.a.",MATCH($U13,'Tarieven W&amp;O'!$B:$B,0),"nvt")</f>
        <v>138</v>
      </c>
      <c r="AJ13" s="148">
        <f>IF(AI13&lt;&gt;"nvt",INDEX('Tarieven W&amp;O'!$H:$H,$AI13),0)</f>
        <v>0</v>
      </c>
      <c r="AK13" s="148">
        <f>IF(AI13&lt;&gt;"nvt",INDEX('Tarieven W&amp;O'!$I:$I,$AI13),0)</f>
        <v>5</v>
      </c>
      <c r="AL13" s="277">
        <f>IF(AI13&lt;&gt;"nvt",-INDEX(Parameters!$B:$B,MATCH(AL$3&amp;$M13,Parameters!$A:$A,0))*(AJ13+AK13),0)</f>
        <v>0</v>
      </c>
      <c r="AM13" s="442"/>
      <c r="AN13" s="179">
        <f t="shared" si="7"/>
        <v>5</v>
      </c>
      <c r="AO13" s="262">
        <f>AN13/INDEX(Parameters!$B:$B,MATCH("AfschrijftermijnVVE"&amp;12*$C13,Parameters!$A:$A,0))</f>
        <v>0.1388888888888889</v>
      </c>
      <c r="AP13" s="179">
        <f t="shared" si="8"/>
        <v>138</v>
      </c>
      <c r="AQ13" s="202">
        <f>IF(AP13&lt;&gt;"nvt",INDEX('Tarieven W&amp;O'!$G:$G,$AP13),0)</f>
        <v>7.41</v>
      </c>
      <c r="AR13" s="463">
        <f>-INDEX(Parameters!$B:$B,MATCH(AR$3&amp;$M13&amp;O13,Parameters!$A:$A,0))*(AQ13)</f>
        <v>0</v>
      </c>
      <c r="AS13" s="262">
        <v>0</v>
      </c>
      <c r="AT13" s="442">
        <f>IF(M13="WBA CM Ethernet",0,'EDC Minus'!$H$27)</f>
        <v>1</v>
      </c>
      <c r="AU13" s="202">
        <f t="shared" si="9"/>
        <v>8.41</v>
      </c>
      <c r="AV13" s="202">
        <f t="shared" si="10"/>
        <v>8.5488888888888894</v>
      </c>
      <c r="AW13" s="202"/>
      <c r="AX13" s="202">
        <f>Parameters!$B$6*AV13</f>
        <v>8.5488888888888892E-2</v>
      </c>
      <c r="AY13" s="202">
        <v>0</v>
      </c>
      <c r="AZ13" s="202"/>
      <c r="BA13" s="150">
        <f t="shared" si="16"/>
        <v>8.5488888888888892E-2</v>
      </c>
      <c r="BB13" s="150"/>
      <c r="BC13" s="151">
        <f t="shared" si="17"/>
        <v>8.6343777777777788</v>
      </c>
      <c r="BD13" s="123"/>
      <c r="BE13" s="140">
        <f t="shared" si="11"/>
        <v>1019.1434</v>
      </c>
      <c r="BF13" s="141">
        <f t="shared" si="12"/>
        <v>0.99159898378378375</v>
      </c>
      <c r="BG13" s="142" t="b">
        <f t="shared" si="13"/>
        <v>0</v>
      </c>
      <c r="BH13" s="148"/>
      <c r="BI13" s="188" t="s">
        <v>539</v>
      </c>
      <c r="BJ13" s="189"/>
      <c r="BK13">
        <f>VLOOKUP(J13,'Tarieven ZM'!$B$7:$I$146,8,0)</f>
        <v>0</v>
      </c>
      <c r="BL13" s="179" t="str">
        <f>INDEX(Mapping!$M:$M,MATCH($J13,Mapping!$B:$B,0))</f>
        <v>nvt</v>
      </c>
      <c r="BM13" s="282">
        <v>0</v>
      </c>
      <c r="BN13" s="262">
        <f>BM13/INDEX(Parameters!$B:$B,MATCH("AfschrijftermijnVVE"&amp;12*$C13,Parameters!$A:$A,0))</f>
        <v>0</v>
      </c>
      <c r="BO13" s="262">
        <f>AS13+INDEX('inkoop ULL tbv Epacity'!I:I,MATCH($BL13,'inkoop ULL tbv Epacity'!H:H,0))</f>
        <v>0</v>
      </c>
      <c r="BP13" s="263">
        <f t="shared" si="18"/>
        <v>0</v>
      </c>
      <c r="BQ13" s="203"/>
      <c r="BR13" s="262">
        <f>Parameters!$B$12*AG13</f>
        <v>102.77777777777779</v>
      </c>
      <c r="BS13" s="262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SUM(Distributievergoedingen!$F$12,Distributievergoedingen!$I$12,Distributievergoedingen!$L$12,Distributievergoedingen!$O$12)*AF13+SUM(Distributievergoedingen!$O$12*AA13+Distributievergoedingen!$R$12+Distributievergoedingen!$U$12+Distributievergoedingen!$X$12)/(MAX(36,12*L13))</f>
        <v>112.77777777777777</v>
      </c>
      <c r="BT13" s="262"/>
      <c r="BU13" s="150">
        <f t="shared" si="19"/>
        <v>215.55555555555554</v>
      </c>
      <c r="BW13" s="151">
        <f t="shared" si="20"/>
        <v>215.55555555555554</v>
      </c>
      <c r="BY13" s="140">
        <f t="shared" si="21"/>
        <v>812.22222222222229</v>
      </c>
      <c r="BZ13" s="141">
        <f t="shared" si="22"/>
        <v>0.7902702702702703</v>
      </c>
      <c r="CA13" s="142" t="b">
        <f t="shared" si="23"/>
        <v>0</v>
      </c>
    </row>
    <row r="14" spans="1:79">
      <c r="A14" s="160" t="str">
        <f t="shared" si="14"/>
        <v>1SDSLAddnationaal512/512</v>
      </c>
      <c r="B14" s="142" t="str">
        <f t="shared" si="15"/>
        <v>1SDSL512/512Add</v>
      </c>
      <c r="C14" s="198">
        <v>1</v>
      </c>
      <c r="D14" s="198" t="s">
        <v>64</v>
      </c>
      <c r="E14" s="198" t="s">
        <v>103</v>
      </c>
      <c r="F14" s="198" t="s">
        <v>115</v>
      </c>
      <c r="G14" s="199" t="s">
        <v>113</v>
      </c>
      <c r="H14" s="198" t="s">
        <v>50</v>
      </c>
      <c r="J14" s="142" t="str">
        <f t="shared" si="2"/>
        <v>SDSL512/512Add</v>
      </c>
      <c r="L14" s="160">
        <f>INDEX(Mapping!$J:$J,MATCH(C$3&amp;C14,Mapping!$B:$B,0))</f>
        <v>1</v>
      </c>
      <c r="M14" s="179" t="str">
        <f>INDEX(Mapping!$H:$H,MATCH(D14&amp;H14&amp;$E14,Mapping!$B:$B,0))</f>
        <v>WBA ZM Ethernet</v>
      </c>
      <c r="N14" s="179" t="str">
        <f>INDEX(Mapping!$J:$J,MATCH(D14&amp;H14&amp;$E14,Mapping!$B:$B,0))</f>
        <v>premium</v>
      </c>
      <c r="O14" s="179" t="str">
        <f>INDEX(Mapping!$I:$I,MATCH($D14,Mapping!$B:$B,0))</f>
        <v>SDSL</v>
      </c>
      <c r="P14" s="179" t="str">
        <f>INDEX(Mapping!$H:$H,MATCH($F14,Mapping!$B:$B,0))</f>
        <v>nvt</v>
      </c>
      <c r="Q14" s="283" t="str">
        <f>INDEX(Mapping!$K:$K,MATCH($D14&amp;$H14&amp;E14,Mapping!$B:$B,0))</f>
        <v>metro</v>
      </c>
      <c r="R14" s="179" t="str">
        <f>INDEX(Mapping!$I:$I,MATCH(D14&amp;H14&amp;$E14,Mapping!$B:$B,0))</f>
        <v>1 Mbps/1 Mbps</v>
      </c>
      <c r="S14" s="203"/>
      <c r="T14" s="283" t="str">
        <f>INDEX(Mapping!$L:$L,MATCH($D14&amp;$H14&amp;E14,Mapping!$B:$B,0))</f>
        <v>metro-nationaal</v>
      </c>
      <c r="U14" s="142" t="str">
        <f t="shared" si="3"/>
        <v>WBA ZM Ethernet1 Mbps/1 Mbpspremiummetro</v>
      </c>
      <c r="W14" s="160">
        <f>MATCH($J14,'Tarieven ZM'!$B:$B,0)</f>
        <v>71</v>
      </c>
      <c r="X14" s="148">
        <f>INDEX('Tarieven ZM'!$H:$H,$W14)</f>
        <v>1000</v>
      </c>
      <c r="Y14" s="161">
        <f>-INDEX(Parameters!$B:$B,MATCH(Y$3,Parameters!$A:$A,0))*$X14</f>
        <v>0</v>
      </c>
      <c r="Z14" s="149">
        <f>-INDEX(Parameters!$B:$B,MATCH(Z$3,Parameters!$A:$A,0))*$X14</f>
        <v>0</v>
      </c>
      <c r="AA14" s="148">
        <f t="shared" si="4"/>
        <v>1000</v>
      </c>
      <c r="AB14" s="148">
        <f>AA14/INDEX(Parameters!$B:$B,MATCH("AfschrijftermijnVVE"&amp;12*$C14,Parameters!$A:$A,0))</f>
        <v>27.777777777777779</v>
      </c>
      <c r="AC14" s="148">
        <f>INDEX('Tarieven ZM'!$G:$G,$W14)</f>
        <v>1000</v>
      </c>
      <c r="AD14" s="161">
        <f>-INDEX(Parameters!$B:$B,MATCH(AD$3,Parameters!$A:$A,0))*$AC14</f>
        <v>0</v>
      </c>
      <c r="AE14" s="161">
        <f>-INDEX(Parameters!$B:$B,MATCH(AE$3,Parameters!$A:$A,0))*$AC14</f>
        <v>0</v>
      </c>
      <c r="AF14" s="148">
        <f t="shared" si="5"/>
        <v>1000</v>
      </c>
      <c r="AG14" s="151">
        <f t="shared" si="6"/>
        <v>1027.7777777777778</v>
      </c>
      <c r="AH14" s="123"/>
      <c r="AI14" s="147">
        <f>IF(R14&lt;&gt;"n.a.",MATCH($U14,'Tarieven W&amp;O'!$B:$B,0),"nvt")</f>
        <v>138</v>
      </c>
      <c r="AJ14" s="148">
        <f>IF(AI14&lt;&gt;"nvt",INDEX('Tarieven W&amp;O'!$H:$H,$AI14),0)</f>
        <v>0</v>
      </c>
      <c r="AK14" s="148">
        <f>IF(AI14&lt;&gt;"nvt",INDEX('Tarieven W&amp;O'!$I:$I,$AI14),0)</f>
        <v>5</v>
      </c>
      <c r="AL14" s="277">
        <f>IF(AI14&lt;&gt;"nvt",-INDEX(Parameters!$B:$B,MATCH(AL$3&amp;$M14,Parameters!$A:$A,0))*(AJ14+AK14),0)</f>
        <v>0</v>
      </c>
      <c r="AM14" s="442"/>
      <c r="AN14" s="179">
        <f t="shared" si="7"/>
        <v>5</v>
      </c>
      <c r="AO14" s="262">
        <f>AN14/INDEX(Parameters!$B:$B,MATCH("AfschrijftermijnVVE"&amp;12*$C14,Parameters!$A:$A,0))</f>
        <v>0.1388888888888889</v>
      </c>
      <c r="AP14" s="179">
        <f t="shared" si="8"/>
        <v>138</v>
      </c>
      <c r="AQ14" s="202">
        <f>IF(AP14&lt;&gt;"nvt",INDEX('Tarieven W&amp;O'!$G:$G,$AP14),0)</f>
        <v>7.41</v>
      </c>
      <c r="AR14" s="463">
        <f>-INDEX(Parameters!$B:$B,MATCH(AR$3&amp;$M14&amp;O14,Parameters!$A:$A,0))*(AQ14)</f>
        <v>0</v>
      </c>
      <c r="AS14" s="262">
        <v>0</v>
      </c>
      <c r="AT14" s="442">
        <f>IF(M14="WBA CM Ethernet",0,'EDC Minus'!$H$27)</f>
        <v>1</v>
      </c>
      <c r="AU14" s="202">
        <f t="shared" si="9"/>
        <v>8.41</v>
      </c>
      <c r="AV14" s="202">
        <f t="shared" si="10"/>
        <v>8.5488888888888894</v>
      </c>
      <c r="AW14" s="202"/>
      <c r="AX14" s="202">
        <f>Parameters!$B$6*AV14</f>
        <v>8.5488888888888892E-2</v>
      </c>
      <c r="AY14" s="202">
        <v>0</v>
      </c>
      <c r="AZ14" s="202"/>
      <c r="BA14" s="150">
        <f t="shared" si="16"/>
        <v>8.5488888888888892E-2</v>
      </c>
      <c r="BB14" s="150"/>
      <c r="BC14" s="151">
        <f t="shared" si="17"/>
        <v>8.6343777777777788</v>
      </c>
      <c r="BD14" s="123"/>
      <c r="BE14" s="140">
        <f t="shared" si="11"/>
        <v>1019.1434</v>
      </c>
      <c r="BF14" s="141">
        <f t="shared" si="12"/>
        <v>0.99159898378378375</v>
      </c>
      <c r="BG14" s="142" t="b">
        <f t="shared" si="13"/>
        <v>0</v>
      </c>
      <c r="BH14" s="148"/>
      <c r="BI14" s="188" t="s">
        <v>539</v>
      </c>
      <c r="BJ14" s="189"/>
      <c r="BK14">
        <f>VLOOKUP(J14,'Tarieven ZM'!$B$7:$I$146,8,0)</f>
        <v>0</v>
      </c>
      <c r="BL14" s="179" t="str">
        <f>INDEX(Mapping!$M:$M,MATCH($J14,Mapping!$B:$B,0))</f>
        <v>nvt</v>
      </c>
      <c r="BM14" s="282">
        <v>0</v>
      </c>
      <c r="BN14" s="262">
        <f>BM14/INDEX(Parameters!$B:$B,MATCH("AfschrijftermijnVVE"&amp;12*$C14,Parameters!$A:$A,0))</f>
        <v>0</v>
      </c>
      <c r="BO14" s="262">
        <f>AS14+INDEX('inkoop ULL tbv Epacity'!I:I,MATCH($BL14,'inkoop ULL tbv Epacity'!H:H,0))</f>
        <v>0</v>
      </c>
      <c r="BP14" s="263">
        <f t="shared" si="18"/>
        <v>0</v>
      </c>
      <c r="BQ14" s="203"/>
      <c r="BR14" s="262">
        <f>Parameters!$B$12*AG14</f>
        <v>102.77777777777779</v>
      </c>
      <c r="BS14" s="262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SUM(Distributievergoedingen!$F$12,Distributievergoedingen!$I$12,Distributievergoedingen!$L$12,Distributievergoedingen!$O$12)*AF14+SUM(Distributievergoedingen!$O$12*AA14+Distributievergoedingen!$R$12+Distributievergoedingen!$U$12+Distributievergoedingen!$X$12)/(MAX(36,12*L14))</f>
        <v>112.77777777777777</v>
      </c>
      <c r="BT14" s="262"/>
      <c r="BU14" s="150">
        <f t="shared" si="19"/>
        <v>215.55555555555554</v>
      </c>
      <c r="BW14" s="151">
        <f t="shared" si="20"/>
        <v>215.55555555555554</v>
      </c>
      <c r="BY14" s="140">
        <f t="shared" si="21"/>
        <v>812.22222222222229</v>
      </c>
      <c r="BZ14" s="141">
        <f t="shared" si="22"/>
        <v>0.7902702702702703</v>
      </c>
      <c r="CA14" s="142" t="b">
        <f t="shared" si="23"/>
        <v>0</v>
      </c>
    </row>
    <row r="15" spans="1:79">
      <c r="A15" s="160" t="str">
        <f t="shared" si="14"/>
        <v>1SDSLAddnationaal1024/1024</v>
      </c>
      <c r="B15" s="142" t="str">
        <f t="shared" si="15"/>
        <v>1SDSL1024/1024Add</v>
      </c>
      <c r="C15" s="198">
        <v>1</v>
      </c>
      <c r="D15" s="198" t="s">
        <v>64</v>
      </c>
      <c r="E15" s="198" t="s">
        <v>103</v>
      </c>
      <c r="F15" s="198" t="s">
        <v>115</v>
      </c>
      <c r="G15" s="199" t="s">
        <v>113</v>
      </c>
      <c r="H15" s="198" t="s">
        <v>66</v>
      </c>
      <c r="J15" s="142" t="str">
        <f t="shared" si="2"/>
        <v>SDSL1024/1024Add</v>
      </c>
      <c r="L15" s="160">
        <f>INDEX(Mapping!$J:$J,MATCH(C$3&amp;C15,Mapping!$B:$B,0))</f>
        <v>1</v>
      </c>
      <c r="M15" s="179" t="str">
        <f>INDEX(Mapping!$H:$H,MATCH(D15&amp;H15&amp;$E15,Mapping!$B:$B,0))</f>
        <v>WBA ZM Ethernet</v>
      </c>
      <c r="N15" s="179" t="str">
        <f>INDEX(Mapping!$J:$J,MATCH(D15&amp;H15&amp;$E15,Mapping!$B:$B,0))</f>
        <v>premium</v>
      </c>
      <c r="O15" s="179" t="str">
        <f>INDEX(Mapping!$I:$I,MATCH($D15,Mapping!$B:$B,0))</f>
        <v>SDSL</v>
      </c>
      <c r="P15" s="179" t="str">
        <f>INDEX(Mapping!$H:$H,MATCH($F15,Mapping!$B:$B,0))</f>
        <v>nvt</v>
      </c>
      <c r="Q15" s="283" t="str">
        <f>INDEX(Mapping!$K:$K,MATCH($D15&amp;$H15&amp;E15,Mapping!$B:$B,0))</f>
        <v>metro</v>
      </c>
      <c r="R15" s="179" t="str">
        <f>INDEX(Mapping!$I:$I,MATCH(D15&amp;H15&amp;$E15,Mapping!$B:$B,0))</f>
        <v>1 Mbps/1 Mbps</v>
      </c>
      <c r="S15" s="203"/>
      <c r="T15" s="283" t="str">
        <f>INDEX(Mapping!$L:$L,MATCH($D15&amp;$H15&amp;E15,Mapping!$B:$B,0))</f>
        <v>metro-nationaal</v>
      </c>
      <c r="U15" s="142" t="str">
        <f t="shared" si="3"/>
        <v>WBA ZM Ethernet1 Mbps/1 Mbpspremiummetro</v>
      </c>
      <c r="W15" s="160">
        <f>MATCH($J15,'Tarieven ZM'!$B:$B,0)</f>
        <v>72</v>
      </c>
      <c r="X15" s="148">
        <f>INDEX('Tarieven ZM'!$H:$H,$W15)</f>
        <v>1000</v>
      </c>
      <c r="Y15" s="161">
        <f>-INDEX(Parameters!$B:$B,MATCH(Y$3,Parameters!$A:$A,0))*$X15</f>
        <v>0</v>
      </c>
      <c r="Z15" s="149">
        <f>-INDEX(Parameters!$B:$B,MATCH(Z$3,Parameters!$A:$A,0))*$X15</f>
        <v>0</v>
      </c>
      <c r="AA15" s="148">
        <f t="shared" si="4"/>
        <v>1000</v>
      </c>
      <c r="AB15" s="148">
        <f>AA15/INDEX(Parameters!$B:$B,MATCH("AfschrijftermijnVVE"&amp;12*$C15,Parameters!$A:$A,0))</f>
        <v>27.777777777777779</v>
      </c>
      <c r="AC15" s="148">
        <f>INDEX('Tarieven ZM'!$G:$G,$W15)</f>
        <v>1000</v>
      </c>
      <c r="AD15" s="161">
        <f>-INDEX(Parameters!$B:$B,MATCH(AD$3,Parameters!$A:$A,0))*$AC15</f>
        <v>0</v>
      </c>
      <c r="AE15" s="161">
        <f>-INDEX(Parameters!$B:$B,MATCH(AE$3,Parameters!$A:$A,0))*$AC15</f>
        <v>0</v>
      </c>
      <c r="AF15" s="148">
        <f t="shared" si="5"/>
        <v>1000</v>
      </c>
      <c r="AG15" s="151">
        <f t="shared" si="6"/>
        <v>1027.7777777777778</v>
      </c>
      <c r="AH15" s="123"/>
      <c r="AI15" s="147">
        <f>IF(R15&lt;&gt;"n.a.",MATCH($U15,'Tarieven W&amp;O'!$B:$B,0),"nvt")</f>
        <v>138</v>
      </c>
      <c r="AJ15" s="148">
        <f>IF(AI15&lt;&gt;"nvt",INDEX('Tarieven W&amp;O'!$H:$H,$AI15),0)</f>
        <v>0</v>
      </c>
      <c r="AK15" s="148">
        <f>IF(AI15&lt;&gt;"nvt",INDEX('Tarieven W&amp;O'!$I:$I,$AI15),0)</f>
        <v>5</v>
      </c>
      <c r="AL15" s="277">
        <f>IF(AI15&lt;&gt;"nvt",-INDEX(Parameters!$B:$B,MATCH(AL$3&amp;$M15,Parameters!$A:$A,0))*(AJ15+AK15),0)</f>
        <v>0</v>
      </c>
      <c r="AM15" s="442"/>
      <c r="AN15" s="179">
        <f t="shared" si="7"/>
        <v>5</v>
      </c>
      <c r="AO15" s="262">
        <f>AN15/INDEX(Parameters!$B:$B,MATCH("AfschrijftermijnVVE"&amp;12*$C15,Parameters!$A:$A,0))</f>
        <v>0.1388888888888889</v>
      </c>
      <c r="AP15" s="179">
        <f t="shared" si="8"/>
        <v>138</v>
      </c>
      <c r="AQ15" s="202">
        <f>IF(AP15&lt;&gt;"nvt",INDEX('Tarieven W&amp;O'!$G:$G,$AP15),0)</f>
        <v>7.41</v>
      </c>
      <c r="AR15" s="463">
        <f>-INDEX(Parameters!$B:$B,MATCH(AR$3&amp;$M15&amp;O15,Parameters!$A:$A,0))*(AQ15)</f>
        <v>0</v>
      </c>
      <c r="AS15" s="262">
        <v>0</v>
      </c>
      <c r="AT15" s="442">
        <f>IF(M15="WBA CM Ethernet",0,'EDC Minus'!$H$27)</f>
        <v>1</v>
      </c>
      <c r="AU15" s="202">
        <f t="shared" si="9"/>
        <v>8.41</v>
      </c>
      <c r="AV15" s="202">
        <f t="shared" si="10"/>
        <v>8.5488888888888894</v>
      </c>
      <c r="AW15" s="202"/>
      <c r="AX15" s="202">
        <f>Parameters!$B$6*AV15</f>
        <v>8.5488888888888892E-2</v>
      </c>
      <c r="AY15" s="202">
        <v>0</v>
      </c>
      <c r="AZ15" s="202"/>
      <c r="BA15" s="150">
        <f t="shared" si="16"/>
        <v>8.5488888888888892E-2</v>
      </c>
      <c r="BB15" s="150"/>
      <c r="BC15" s="151">
        <f t="shared" si="17"/>
        <v>8.6343777777777788</v>
      </c>
      <c r="BD15" s="123"/>
      <c r="BE15" s="140">
        <f t="shared" si="11"/>
        <v>1019.1434</v>
      </c>
      <c r="BF15" s="141">
        <f t="shared" si="12"/>
        <v>0.99159898378378375</v>
      </c>
      <c r="BG15" s="142" t="b">
        <f t="shared" si="13"/>
        <v>0</v>
      </c>
      <c r="BH15" s="148"/>
      <c r="BI15" s="188" t="s">
        <v>539</v>
      </c>
      <c r="BJ15" s="189"/>
      <c r="BK15">
        <f>VLOOKUP(J15,'Tarieven ZM'!$B$7:$I$146,8,0)</f>
        <v>0</v>
      </c>
      <c r="BL15" s="179" t="str">
        <f>INDEX(Mapping!$M:$M,MATCH($J15,Mapping!$B:$B,0))</f>
        <v>nvt</v>
      </c>
      <c r="BM15" s="282">
        <v>0</v>
      </c>
      <c r="BN15" s="262">
        <f>BM15/INDEX(Parameters!$B:$B,MATCH("AfschrijftermijnVVE"&amp;12*$C15,Parameters!$A:$A,0))</f>
        <v>0</v>
      </c>
      <c r="BO15" s="262">
        <f>AS15+INDEX('inkoop ULL tbv Epacity'!I:I,MATCH($BL15,'inkoop ULL tbv Epacity'!H:H,0))</f>
        <v>0</v>
      </c>
      <c r="BP15" s="263">
        <f t="shared" si="18"/>
        <v>0</v>
      </c>
      <c r="BQ15" s="203"/>
      <c r="BR15" s="262">
        <f>Parameters!$B$12*AG15</f>
        <v>102.77777777777779</v>
      </c>
      <c r="BS15" s="262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SUM(Distributievergoedingen!$F$12,Distributievergoedingen!$I$12,Distributievergoedingen!$L$12,Distributievergoedingen!$O$12)*AF15+SUM(Distributievergoedingen!$O$12*AA15+Distributievergoedingen!$R$12+Distributievergoedingen!$U$12+Distributievergoedingen!$X$12)/(MAX(36,12*L15))</f>
        <v>112.77777777777777</v>
      </c>
      <c r="BT15" s="262"/>
      <c r="BU15" s="150">
        <f t="shared" si="19"/>
        <v>215.55555555555554</v>
      </c>
      <c r="BW15" s="151">
        <f t="shared" si="20"/>
        <v>215.55555555555554</v>
      </c>
      <c r="BY15" s="140">
        <f t="shared" si="21"/>
        <v>812.22222222222229</v>
      </c>
      <c r="BZ15" s="141">
        <f t="shared" si="22"/>
        <v>0.7902702702702703</v>
      </c>
      <c r="CA15" s="142" t="b">
        <f t="shared" si="23"/>
        <v>0</v>
      </c>
    </row>
    <row r="16" spans="1:79">
      <c r="A16" s="160" t="str">
        <f t="shared" si="14"/>
        <v>1SDSLAddnationaal1536/1536</v>
      </c>
      <c r="B16" s="142" t="str">
        <f t="shared" si="15"/>
        <v>1SDSL1536/1536Add</v>
      </c>
      <c r="C16" s="198">
        <v>1</v>
      </c>
      <c r="D16" s="198" t="s">
        <v>64</v>
      </c>
      <c r="E16" s="198" t="s">
        <v>103</v>
      </c>
      <c r="F16" s="198" t="s">
        <v>115</v>
      </c>
      <c r="G16" s="199" t="s">
        <v>113</v>
      </c>
      <c r="H16" s="198" t="s">
        <v>67</v>
      </c>
      <c r="J16" s="142" t="str">
        <f t="shared" si="2"/>
        <v>SDSL1536/1536Add</v>
      </c>
      <c r="L16" s="160">
        <f>INDEX(Mapping!$J:$J,MATCH(C$3&amp;C16,Mapping!$B:$B,0))</f>
        <v>1</v>
      </c>
      <c r="M16" s="179" t="str">
        <f>INDEX(Mapping!$H:$H,MATCH(D16&amp;H16&amp;$E16,Mapping!$B:$B,0))</f>
        <v>WBA ZM Ethernet</v>
      </c>
      <c r="N16" s="179" t="str">
        <f>INDEX(Mapping!$J:$J,MATCH(D16&amp;H16&amp;$E16,Mapping!$B:$B,0))</f>
        <v>premium</v>
      </c>
      <c r="O16" s="179" t="str">
        <f>INDEX(Mapping!$I:$I,MATCH($D16,Mapping!$B:$B,0))</f>
        <v>SDSL</v>
      </c>
      <c r="P16" s="179" t="str">
        <f>INDEX(Mapping!$H:$H,MATCH($F16,Mapping!$B:$B,0))</f>
        <v>nvt</v>
      </c>
      <c r="Q16" s="283" t="str">
        <f>INDEX(Mapping!$K:$K,MATCH($D16&amp;$H16&amp;E16,Mapping!$B:$B,0))</f>
        <v>metro</v>
      </c>
      <c r="R16" s="179" t="str">
        <f>INDEX(Mapping!$I:$I,MATCH(D16&amp;H16&amp;$E16,Mapping!$B:$B,0))</f>
        <v>2 Mbps/2 Mbps</v>
      </c>
      <c r="S16" s="203"/>
      <c r="T16" s="283" t="str">
        <f>INDEX(Mapping!$L:$L,MATCH($D16&amp;$H16&amp;E16,Mapping!$B:$B,0))</f>
        <v>metro-nationaal</v>
      </c>
      <c r="U16" s="142" t="str">
        <f t="shared" si="3"/>
        <v>WBA ZM Ethernet2 Mbps/2 Mbpspremiummetro</v>
      </c>
      <c r="W16" s="160">
        <f>MATCH($J16,'Tarieven ZM'!$B:$B,0)</f>
        <v>73</v>
      </c>
      <c r="X16" s="148">
        <f>INDEX('Tarieven ZM'!$H:$H,$W16)</f>
        <v>1000</v>
      </c>
      <c r="Y16" s="161">
        <f>-INDEX(Parameters!$B:$B,MATCH(Y$3,Parameters!$A:$A,0))*$X16</f>
        <v>0</v>
      </c>
      <c r="Z16" s="149">
        <f>-INDEX(Parameters!$B:$B,MATCH(Z$3,Parameters!$A:$A,0))*$X16</f>
        <v>0</v>
      </c>
      <c r="AA16" s="148">
        <f t="shared" si="4"/>
        <v>1000</v>
      </c>
      <c r="AB16" s="148">
        <f>AA16/INDEX(Parameters!$B:$B,MATCH("AfschrijftermijnVVE"&amp;12*$C16,Parameters!$A:$A,0))</f>
        <v>27.777777777777779</v>
      </c>
      <c r="AC16" s="148">
        <f>INDEX('Tarieven ZM'!$G:$G,$W16)</f>
        <v>1000</v>
      </c>
      <c r="AD16" s="161">
        <f>-INDEX(Parameters!$B:$B,MATCH(AD$3,Parameters!$A:$A,0))*$AC16</f>
        <v>0</v>
      </c>
      <c r="AE16" s="161">
        <f>-INDEX(Parameters!$B:$B,MATCH(AE$3,Parameters!$A:$A,0))*$AC16</f>
        <v>0</v>
      </c>
      <c r="AF16" s="148">
        <f t="shared" si="5"/>
        <v>1000</v>
      </c>
      <c r="AG16" s="151">
        <f t="shared" si="6"/>
        <v>1027.7777777777778</v>
      </c>
      <c r="AH16" s="123"/>
      <c r="AI16" s="147">
        <f>IF(R16&lt;&gt;"n.a.",MATCH($U16,'Tarieven W&amp;O'!$B:$B,0),"nvt")</f>
        <v>139</v>
      </c>
      <c r="AJ16" s="148">
        <f>IF(AI16&lt;&gt;"nvt",INDEX('Tarieven W&amp;O'!$H:$H,$AI16),0)</f>
        <v>0</v>
      </c>
      <c r="AK16" s="148">
        <f>IF(AI16&lt;&gt;"nvt",INDEX('Tarieven W&amp;O'!$I:$I,$AI16),0)</f>
        <v>5</v>
      </c>
      <c r="AL16" s="277">
        <f>IF(AI16&lt;&gt;"nvt",-INDEX(Parameters!$B:$B,MATCH(AL$3&amp;$M16,Parameters!$A:$A,0))*(AJ16+AK16),0)</f>
        <v>0</v>
      </c>
      <c r="AM16" s="442"/>
      <c r="AN16" s="179">
        <f t="shared" si="7"/>
        <v>5</v>
      </c>
      <c r="AO16" s="262">
        <f>AN16/INDEX(Parameters!$B:$B,MATCH("AfschrijftermijnVVE"&amp;12*$C16,Parameters!$A:$A,0))</f>
        <v>0.1388888888888889</v>
      </c>
      <c r="AP16" s="179">
        <f t="shared" si="8"/>
        <v>139</v>
      </c>
      <c r="AQ16" s="202">
        <f>IF(AP16&lt;&gt;"nvt",INDEX('Tarieven W&amp;O'!$G:$G,$AP16),0)</f>
        <v>14.82</v>
      </c>
      <c r="AR16" s="463">
        <f>-INDEX(Parameters!$B:$B,MATCH(AR$3&amp;$M16&amp;O16,Parameters!$A:$A,0))*(AQ16)</f>
        <v>0</v>
      </c>
      <c r="AS16" s="262">
        <v>0</v>
      </c>
      <c r="AT16" s="442">
        <f>IF(M16="WBA CM Ethernet",0,'EDC Minus'!$H$27)</f>
        <v>1</v>
      </c>
      <c r="AU16" s="202">
        <f t="shared" si="9"/>
        <v>15.82</v>
      </c>
      <c r="AV16" s="202">
        <f t="shared" si="10"/>
        <v>15.95888888888889</v>
      </c>
      <c r="AW16" s="202"/>
      <c r="AX16" s="202">
        <f>Parameters!$B$6*AV16</f>
        <v>0.15958888888888889</v>
      </c>
      <c r="AY16" s="202">
        <v>0</v>
      </c>
      <c r="AZ16" s="202"/>
      <c r="BA16" s="150">
        <f t="shared" si="16"/>
        <v>0.15958888888888889</v>
      </c>
      <c r="BB16" s="150"/>
      <c r="BC16" s="151">
        <f t="shared" si="17"/>
        <v>16.118477777777777</v>
      </c>
      <c r="BD16" s="123"/>
      <c r="BE16" s="140">
        <f t="shared" si="11"/>
        <v>1011.6593</v>
      </c>
      <c r="BF16" s="141">
        <f t="shared" si="12"/>
        <v>0.98431715675675668</v>
      </c>
      <c r="BG16" s="142" t="b">
        <f t="shared" si="13"/>
        <v>0</v>
      </c>
      <c r="BH16" s="148"/>
      <c r="BI16" s="188" t="s">
        <v>539</v>
      </c>
      <c r="BJ16" s="189"/>
      <c r="BK16">
        <f>VLOOKUP(J16,'Tarieven ZM'!$B$7:$I$146,8,0)</f>
        <v>0</v>
      </c>
      <c r="BL16" s="179" t="str">
        <f>INDEX(Mapping!$M:$M,MATCH($J16,Mapping!$B:$B,0))</f>
        <v>nvt</v>
      </c>
      <c r="BM16" s="282">
        <v>0</v>
      </c>
      <c r="BN16" s="262">
        <f>BM16/INDEX(Parameters!$B:$B,MATCH("AfschrijftermijnVVE"&amp;12*$C16,Parameters!$A:$A,0))</f>
        <v>0</v>
      </c>
      <c r="BO16" s="262">
        <f>AS16+INDEX('inkoop ULL tbv Epacity'!I:I,MATCH($BL16,'inkoop ULL tbv Epacity'!H:H,0))</f>
        <v>0</v>
      </c>
      <c r="BP16" s="263">
        <f t="shared" si="18"/>
        <v>0</v>
      </c>
      <c r="BQ16" s="203"/>
      <c r="BR16" s="262">
        <f>Parameters!$B$12*AG16</f>
        <v>102.77777777777779</v>
      </c>
      <c r="BS16" s="262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SUM(Distributievergoedingen!$F$12,Distributievergoedingen!$I$12,Distributievergoedingen!$L$12,Distributievergoedingen!$O$12)*AF16+SUM(Distributievergoedingen!$O$12*AA16+Distributievergoedingen!$R$12+Distributievergoedingen!$U$12+Distributievergoedingen!$X$12)/(MAX(36,12*L16))</f>
        <v>112.77777777777777</v>
      </c>
      <c r="BT16" s="262"/>
      <c r="BU16" s="150">
        <f t="shared" si="19"/>
        <v>215.55555555555554</v>
      </c>
      <c r="BW16" s="151">
        <f t="shared" si="20"/>
        <v>215.55555555555554</v>
      </c>
      <c r="BY16" s="140">
        <f t="shared" si="21"/>
        <v>812.22222222222229</v>
      </c>
      <c r="BZ16" s="141">
        <f t="shared" si="22"/>
        <v>0.7902702702702703</v>
      </c>
      <c r="CA16" s="142" t="b">
        <f t="shared" si="23"/>
        <v>0</v>
      </c>
    </row>
    <row r="17" spans="1:79">
      <c r="A17" s="160" t="str">
        <f t="shared" si="14"/>
        <v>1SDSLAddnationaal2048/2048</v>
      </c>
      <c r="B17" s="142" t="str">
        <f t="shared" si="15"/>
        <v>1SDSL2048/2048Add</v>
      </c>
      <c r="C17" s="198">
        <v>1</v>
      </c>
      <c r="D17" s="198" t="s">
        <v>64</v>
      </c>
      <c r="E17" s="198" t="s">
        <v>103</v>
      </c>
      <c r="F17" s="198" t="s">
        <v>115</v>
      </c>
      <c r="G17" s="199" t="s">
        <v>113</v>
      </c>
      <c r="H17" s="198" t="s">
        <v>68</v>
      </c>
      <c r="J17" s="142" t="str">
        <f t="shared" si="2"/>
        <v>SDSL2048/2048Add</v>
      </c>
      <c r="L17" s="160">
        <f>INDEX(Mapping!$J:$J,MATCH(C$3&amp;C17,Mapping!$B:$B,0))</f>
        <v>1</v>
      </c>
      <c r="M17" s="179" t="str">
        <f>INDEX(Mapping!$H:$H,MATCH(D17&amp;H17&amp;$E17,Mapping!$B:$B,0))</f>
        <v>WBA ZM Ethernet</v>
      </c>
      <c r="N17" s="179" t="str">
        <f>INDEX(Mapping!$J:$J,MATCH(D17&amp;H17&amp;$E17,Mapping!$B:$B,0))</f>
        <v>premium</v>
      </c>
      <c r="O17" s="179" t="str">
        <f>INDEX(Mapping!$I:$I,MATCH($D17,Mapping!$B:$B,0))</f>
        <v>SDSL</v>
      </c>
      <c r="P17" s="179" t="str">
        <f>INDEX(Mapping!$H:$H,MATCH($F17,Mapping!$B:$B,0))</f>
        <v>nvt</v>
      </c>
      <c r="Q17" s="283" t="str">
        <f>INDEX(Mapping!$K:$K,MATCH($D17&amp;$H17&amp;E17,Mapping!$B:$B,0))</f>
        <v>metro</v>
      </c>
      <c r="R17" s="179" t="str">
        <f>INDEX(Mapping!$I:$I,MATCH(D17&amp;H17&amp;$E17,Mapping!$B:$B,0))</f>
        <v>2 Mbps/2 Mbps</v>
      </c>
      <c r="S17" s="203"/>
      <c r="T17" s="283" t="str">
        <f>INDEX(Mapping!$L:$L,MATCH($D17&amp;$H17&amp;E17,Mapping!$B:$B,0))</f>
        <v>metro-nationaal</v>
      </c>
      <c r="U17" s="142" t="str">
        <f t="shared" si="3"/>
        <v>WBA ZM Ethernet2 Mbps/2 Mbpspremiummetro</v>
      </c>
      <c r="W17" s="160">
        <f>MATCH($J17,'Tarieven ZM'!$B:$B,0)</f>
        <v>74</v>
      </c>
      <c r="X17" s="148">
        <f>INDEX('Tarieven ZM'!$H:$H,$W17)</f>
        <v>1000</v>
      </c>
      <c r="Y17" s="161">
        <f>-INDEX(Parameters!$B:$B,MATCH(Y$3,Parameters!$A:$A,0))*$X17</f>
        <v>0</v>
      </c>
      <c r="Z17" s="149">
        <f>-INDEX(Parameters!$B:$B,MATCH(Z$3,Parameters!$A:$A,0))*$X17</f>
        <v>0</v>
      </c>
      <c r="AA17" s="148">
        <f t="shared" si="4"/>
        <v>1000</v>
      </c>
      <c r="AB17" s="148">
        <f>AA17/INDEX(Parameters!$B:$B,MATCH("AfschrijftermijnVVE"&amp;12*$C17,Parameters!$A:$A,0))</f>
        <v>27.777777777777779</v>
      </c>
      <c r="AC17" s="148">
        <f>INDEX('Tarieven ZM'!$G:$G,$W17)</f>
        <v>1000</v>
      </c>
      <c r="AD17" s="161">
        <f>-INDEX(Parameters!$B:$B,MATCH(AD$3,Parameters!$A:$A,0))*$AC17</f>
        <v>0</v>
      </c>
      <c r="AE17" s="161">
        <f>-INDEX(Parameters!$B:$B,MATCH(AE$3,Parameters!$A:$A,0))*$AC17</f>
        <v>0</v>
      </c>
      <c r="AF17" s="148">
        <f t="shared" si="5"/>
        <v>1000</v>
      </c>
      <c r="AG17" s="151">
        <f t="shared" si="6"/>
        <v>1027.7777777777778</v>
      </c>
      <c r="AH17" s="123"/>
      <c r="AI17" s="147">
        <f>IF(R17&lt;&gt;"n.a.",MATCH($U17,'Tarieven W&amp;O'!$B:$B,0),"nvt")</f>
        <v>139</v>
      </c>
      <c r="AJ17" s="148">
        <f>IF(AI17&lt;&gt;"nvt",INDEX('Tarieven W&amp;O'!$H:$H,$AI17),0)</f>
        <v>0</v>
      </c>
      <c r="AK17" s="148">
        <f>IF(AI17&lt;&gt;"nvt",INDEX('Tarieven W&amp;O'!$I:$I,$AI17),0)</f>
        <v>5</v>
      </c>
      <c r="AL17" s="277">
        <f>IF(AI17&lt;&gt;"nvt",-INDEX(Parameters!$B:$B,MATCH(AL$3&amp;$M17,Parameters!$A:$A,0))*(AJ17+AK17),0)</f>
        <v>0</v>
      </c>
      <c r="AM17" s="442"/>
      <c r="AN17" s="179">
        <f t="shared" si="7"/>
        <v>5</v>
      </c>
      <c r="AO17" s="262">
        <f>AN17/INDEX(Parameters!$B:$B,MATCH("AfschrijftermijnVVE"&amp;12*$C17,Parameters!$A:$A,0))</f>
        <v>0.1388888888888889</v>
      </c>
      <c r="AP17" s="179">
        <f t="shared" si="8"/>
        <v>139</v>
      </c>
      <c r="AQ17" s="202">
        <f>IF(AP17&lt;&gt;"nvt",INDEX('Tarieven W&amp;O'!$G:$G,$AP17),0)</f>
        <v>14.82</v>
      </c>
      <c r="AR17" s="463">
        <f>-INDEX(Parameters!$B:$B,MATCH(AR$3&amp;$M17&amp;O17,Parameters!$A:$A,0))*(AQ17)</f>
        <v>0</v>
      </c>
      <c r="AS17" s="262">
        <v>0</v>
      </c>
      <c r="AT17" s="442">
        <f>IF(M17="WBA CM Ethernet",0,'EDC Minus'!$H$27)</f>
        <v>1</v>
      </c>
      <c r="AU17" s="202">
        <f t="shared" si="9"/>
        <v>15.82</v>
      </c>
      <c r="AV17" s="202">
        <f t="shared" si="10"/>
        <v>15.95888888888889</v>
      </c>
      <c r="AW17" s="202"/>
      <c r="AX17" s="202">
        <f>Parameters!$B$6*AV17</f>
        <v>0.15958888888888889</v>
      </c>
      <c r="AY17" s="202">
        <v>0</v>
      </c>
      <c r="AZ17" s="202"/>
      <c r="BA17" s="150">
        <f t="shared" si="16"/>
        <v>0.15958888888888889</v>
      </c>
      <c r="BB17" s="150"/>
      <c r="BC17" s="151">
        <f t="shared" si="17"/>
        <v>16.118477777777777</v>
      </c>
      <c r="BD17" s="123"/>
      <c r="BE17" s="140">
        <f t="shared" si="11"/>
        <v>1011.6593</v>
      </c>
      <c r="BF17" s="141">
        <f t="shared" si="12"/>
        <v>0.98431715675675668</v>
      </c>
      <c r="BG17" s="142" t="b">
        <f t="shared" si="13"/>
        <v>0</v>
      </c>
      <c r="BH17" s="148"/>
      <c r="BI17" s="188" t="s">
        <v>539</v>
      </c>
      <c r="BJ17" s="189"/>
      <c r="BK17">
        <f>VLOOKUP(J17,'Tarieven ZM'!$B$7:$I$146,8,0)</f>
        <v>0</v>
      </c>
      <c r="BL17" s="179" t="str">
        <f>INDEX(Mapping!$M:$M,MATCH($J17,Mapping!$B:$B,0))</f>
        <v>nvt</v>
      </c>
      <c r="BM17" s="282">
        <v>0</v>
      </c>
      <c r="BN17" s="262">
        <f>BM17/INDEX(Parameters!$B:$B,MATCH("AfschrijftermijnVVE"&amp;12*$C17,Parameters!$A:$A,0))</f>
        <v>0</v>
      </c>
      <c r="BO17" s="262">
        <f>AS17+INDEX('inkoop ULL tbv Epacity'!I:I,MATCH($BL17,'inkoop ULL tbv Epacity'!H:H,0))</f>
        <v>0</v>
      </c>
      <c r="BP17" s="263">
        <f t="shared" si="18"/>
        <v>0</v>
      </c>
      <c r="BQ17" s="203"/>
      <c r="BR17" s="262">
        <f>Parameters!$B$12*AG17</f>
        <v>102.77777777777779</v>
      </c>
      <c r="BS17" s="262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SUM(Distributievergoedingen!$F$12,Distributievergoedingen!$I$12,Distributievergoedingen!$L$12,Distributievergoedingen!$O$12)*AF17+SUM(Distributievergoedingen!$O$12*AA17+Distributievergoedingen!$R$12+Distributievergoedingen!$U$12+Distributievergoedingen!$X$12)/(MAX(36,12*L17))</f>
        <v>112.77777777777777</v>
      </c>
      <c r="BT17" s="262"/>
      <c r="BU17" s="150">
        <f t="shared" si="19"/>
        <v>215.55555555555554</v>
      </c>
      <c r="BW17" s="151">
        <f t="shared" si="20"/>
        <v>215.55555555555554</v>
      </c>
      <c r="BY17" s="140">
        <f t="shared" si="21"/>
        <v>812.22222222222229</v>
      </c>
      <c r="BZ17" s="141">
        <f t="shared" si="22"/>
        <v>0.7902702702702703</v>
      </c>
      <c r="CA17" s="142" t="b">
        <f t="shared" si="23"/>
        <v>0</v>
      </c>
    </row>
    <row r="18" spans="1:79">
      <c r="A18" s="160" t="str">
        <f t="shared" si="14"/>
        <v>1VDSLAddnationaal128/128</v>
      </c>
      <c r="B18" s="142" t="str">
        <f t="shared" si="15"/>
        <v>1VDSL128/128Add</v>
      </c>
      <c r="C18" s="198">
        <v>1</v>
      </c>
      <c r="D18" s="198" t="s">
        <v>77</v>
      </c>
      <c r="E18" s="198" t="s">
        <v>103</v>
      </c>
      <c r="F18" s="198" t="s">
        <v>115</v>
      </c>
      <c r="G18" s="199" t="s">
        <v>113</v>
      </c>
      <c r="H18" s="198" t="s">
        <v>43</v>
      </c>
      <c r="J18" s="142" t="str">
        <f t="shared" si="2"/>
        <v>VDSL128/128Add</v>
      </c>
      <c r="L18" s="160">
        <f>INDEX(Mapping!$J:$J,MATCH(C$3&amp;C18,Mapping!$B:$B,0))</f>
        <v>1</v>
      </c>
      <c r="M18" s="179" t="str">
        <f>INDEX(Mapping!$H:$H,MATCH(D18&amp;H18&amp;$E18,Mapping!$B:$B,0))</f>
        <v>WBA CM Ethernet</v>
      </c>
      <c r="N18" s="179" t="str">
        <f>INDEX(Mapping!$J:$J,MATCH(D18&amp;H18&amp;$E18,Mapping!$B:$B,0))</f>
        <v>add</v>
      </c>
      <c r="O18" s="179" t="str">
        <f>INDEX(Mapping!$I:$I,MATCH($D18,Mapping!$B:$B,0))</f>
        <v>VDSL</v>
      </c>
      <c r="P18" s="179" t="str">
        <f>INDEX(Mapping!$H:$H,MATCH($F18,Mapping!$B:$B,0))</f>
        <v>nvt</v>
      </c>
      <c r="Q18" s="283" t="str">
        <f>INDEX(Mapping!$K:$K,MATCH($D18&amp;$H18&amp;E18,Mapping!$B:$B,0))</f>
        <v>national</v>
      </c>
      <c r="R18" s="179" t="str">
        <f>INDEX(Mapping!$I:$I,MATCH(D18&amp;H18&amp;$E18,Mapping!$B:$B,0))</f>
        <v>&lt;=256 kbps/&lt;=256 kbps</v>
      </c>
      <c r="S18" s="203"/>
      <c r="T18" s="283" t="str">
        <f>INDEX(Mapping!$L:$L,MATCH($D18&amp;$H18&amp;E18,Mapping!$B:$B,0))</f>
        <v>nvt</v>
      </c>
      <c r="U18" s="142" t="str">
        <f t="shared" si="3"/>
        <v>WBA CM Ethernet&lt;=256 kbps/&lt;=256 kbpsaddnational</v>
      </c>
      <c r="W18" s="160">
        <f>MATCH($J18,'Tarieven ZM'!$B:$B,0)</f>
        <v>75</v>
      </c>
      <c r="X18" s="148">
        <f>INDEX('Tarieven ZM'!$H:$H,$W18)</f>
        <v>1000</v>
      </c>
      <c r="Y18" s="161">
        <f>-INDEX(Parameters!$B:$B,MATCH(Y$3,Parameters!$A:$A,0))*$X18</f>
        <v>0</v>
      </c>
      <c r="Z18" s="149">
        <f>-INDEX(Parameters!$B:$B,MATCH(Z$3,Parameters!$A:$A,0))*$X18</f>
        <v>0</v>
      </c>
      <c r="AA18" s="148">
        <f t="shared" si="4"/>
        <v>1000</v>
      </c>
      <c r="AB18" s="148">
        <f>AA18/INDEX(Parameters!$B:$B,MATCH("AfschrijftermijnVVE"&amp;12*$C18,Parameters!$A:$A,0))</f>
        <v>27.777777777777779</v>
      </c>
      <c r="AC18" s="148">
        <f>INDEX('Tarieven ZM'!$G:$G,$W18)</f>
        <v>1000</v>
      </c>
      <c r="AD18" s="161">
        <f>-INDEX(Parameters!$B:$B,MATCH(AD$3,Parameters!$A:$A,0))*$AC18</f>
        <v>0</v>
      </c>
      <c r="AE18" s="161">
        <f>-INDEX(Parameters!$B:$B,MATCH(AE$3,Parameters!$A:$A,0))*$AC18</f>
        <v>0</v>
      </c>
      <c r="AF18" s="148">
        <f t="shared" si="5"/>
        <v>1000</v>
      </c>
      <c r="AG18" s="151">
        <f t="shared" si="6"/>
        <v>1027.7777777777778</v>
      </c>
      <c r="AH18" s="123"/>
      <c r="AI18" s="147">
        <f>IF(R18&lt;&gt;"n.a.",MATCH($U18,'Tarieven W&amp;O'!$B:$B,0),"nvt")</f>
        <v>134</v>
      </c>
      <c r="AJ18" s="148">
        <f>IF(AI18&lt;&gt;"nvt",INDEX('Tarieven W&amp;O'!$H:$H,$AI18),0)</f>
        <v>0</v>
      </c>
      <c r="AK18" s="148">
        <f>IF(AI18&lt;&gt;"nvt",INDEX('Tarieven W&amp;O'!$I:$I,$AI18),0)</f>
        <v>5</v>
      </c>
      <c r="AL18" s="277">
        <f>IF(AI18&lt;&gt;"nvt",-INDEX(Parameters!$B:$B,MATCH(AL$3&amp;$M18,Parameters!$A:$A,0))*(AJ18+AK18),0)</f>
        <v>0</v>
      </c>
      <c r="AM18" s="442"/>
      <c r="AN18" s="179">
        <f t="shared" si="7"/>
        <v>5</v>
      </c>
      <c r="AO18" s="262">
        <f>AN18/INDEX(Parameters!$B:$B,MATCH("AfschrijftermijnVVE"&amp;12*$C18,Parameters!$A:$A,0))</f>
        <v>0.1388888888888889</v>
      </c>
      <c r="AP18" s="179">
        <f t="shared" si="8"/>
        <v>134</v>
      </c>
      <c r="AQ18" s="202">
        <f>IF(AP18&lt;&gt;"nvt",INDEX('Tarieven W&amp;O'!$G:$G,$AP18),0)</f>
        <v>1E-4</v>
      </c>
      <c r="AR18" s="463">
        <f>-INDEX(Parameters!$B:$B,MATCH(AR$3&amp;$M18&amp;O18,Parameters!$A:$A,0))*(AQ18)</f>
        <v>-1.0000000000000001E-5</v>
      </c>
      <c r="AS18" s="262">
        <v>0</v>
      </c>
      <c r="AT18" s="442">
        <f>IF(M18="WBA CM Ethernet",0,'EDC Minus'!$H$27)</f>
        <v>0</v>
      </c>
      <c r="AU18" s="202">
        <f t="shared" si="9"/>
        <v>9.0000000000000006E-5</v>
      </c>
      <c r="AV18" s="202">
        <f t="shared" si="10"/>
        <v>0.1389788888888889</v>
      </c>
      <c r="AW18" s="202"/>
      <c r="AX18" s="202">
        <f>Parameters!$B$6*AV18</f>
        <v>1.389788888888889E-3</v>
      </c>
      <c r="AY18" s="202">
        <v>0</v>
      </c>
      <c r="AZ18" s="202"/>
      <c r="BA18" s="150">
        <f t="shared" si="16"/>
        <v>1.389788888888889E-3</v>
      </c>
      <c r="BB18" s="150"/>
      <c r="BC18" s="151">
        <f t="shared" si="17"/>
        <v>0.14036867777777778</v>
      </c>
      <c r="BD18" s="123"/>
      <c r="BE18" s="140">
        <f t="shared" si="11"/>
        <v>1027.6374091</v>
      </c>
      <c r="BF18" s="141">
        <f t="shared" si="12"/>
        <v>0.99986342507027026</v>
      </c>
      <c r="BG18" s="142" t="b">
        <f t="shared" si="13"/>
        <v>0</v>
      </c>
      <c r="BH18" s="148"/>
      <c r="BI18" s="188" t="s">
        <v>539</v>
      </c>
      <c r="BJ18" s="189"/>
      <c r="BK18">
        <f>VLOOKUP(J18,'Tarieven ZM'!$B$7:$I$146,8,0)</f>
        <v>0</v>
      </c>
      <c r="BL18" s="179" t="str">
        <f>INDEX(Mapping!$M:$M,MATCH($J18,Mapping!$B:$B,0))</f>
        <v>nvt</v>
      </c>
      <c r="BM18" s="282">
        <v>0</v>
      </c>
      <c r="BN18" s="262">
        <f>BM18/INDEX(Parameters!$B:$B,MATCH("AfschrijftermijnVVE"&amp;12*$C18,Parameters!$A:$A,0))</f>
        <v>0</v>
      </c>
      <c r="BO18" s="262">
        <f>AS18+INDEX('inkoop ULL tbv Epacity'!I:I,MATCH($BL18,'inkoop ULL tbv Epacity'!H:H,0))</f>
        <v>0</v>
      </c>
      <c r="BP18" s="263">
        <f t="shared" si="18"/>
        <v>0</v>
      </c>
      <c r="BQ18" s="203"/>
      <c r="BR18" s="262">
        <f>Parameters!$B$12*AG18</f>
        <v>102.77777777777779</v>
      </c>
      <c r="BS18" s="262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SUM(Distributievergoedingen!$F$12,Distributievergoedingen!$I$12,Distributievergoedingen!$L$12,Distributievergoedingen!$O$12)*AF18+SUM(Distributievergoedingen!$O$12*AA18+Distributievergoedingen!$R$12+Distributievergoedingen!$U$12+Distributievergoedingen!$X$12)/(MAX(36,12*L18))</f>
        <v>112.77777777777777</v>
      </c>
      <c r="BT18" s="262"/>
      <c r="BU18" s="150">
        <f t="shared" si="19"/>
        <v>215.55555555555554</v>
      </c>
      <c r="BW18" s="151">
        <f t="shared" si="20"/>
        <v>215.55555555555554</v>
      </c>
      <c r="BY18" s="140">
        <f t="shared" si="21"/>
        <v>812.22222222222229</v>
      </c>
      <c r="BZ18" s="141">
        <f t="shared" si="22"/>
        <v>0.7902702702702703</v>
      </c>
      <c r="CA18" s="142" t="b">
        <f t="shared" si="23"/>
        <v>0</v>
      </c>
    </row>
    <row r="19" spans="1:79">
      <c r="A19" s="160" t="str">
        <f t="shared" si="14"/>
        <v>1VDSLAddnationaal256/256</v>
      </c>
      <c r="B19" s="142" t="str">
        <f t="shared" si="15"/>
        <v>1VDSL256/256Add</v>
      </c>
      <c r="C19" s="198">
        <v>1</v>
      </c>
      <c r="D19" s="198" t="s">
        <v>77</v>
      </c>
      <c r="E19" s="198" t="s">
        <v>103</v>
      </c>
      <c r="F19" s="198" t="s">
        <v>115</v>
      </c>
      <c r="G19" s="199" t="s">
        <v>113</v>
      </c>
      <c r="H19" s="198" t="s">
        <v>48</v>
      </c>
      <c r="J19" s="142" t="str">
        <f t="shared" si="2"/>
        <v>VDSL256/256Add</v>
      </c>
      <c r="L19" s="160">
        <f>INDEX(Mapping!$J:$J,MATCH(C$3&amp;C19,Mapping!$B:$B,0))</f>
        <v>1</v>
      </c>
      <c r="M19" s="179" t="str">
        <f>INDEX(Mapping!$H:$H,MATCH(D19&amp;H19&amp;$E19,Mapping!$B:$B,0))</f>
        <v>WBA CM Ethernet</v>
      </c>
      <c r="N19" s="179" t="str">
        <f>INDEX(Mapping!$J:$J,MATCH(D19&amp;H19&amp;$E19,Mapping!$B:$B,0))</f>
        <v>add</v>
      </c>
      <c r="O19" s="179" t="str">
        <f>INDEX(Mapping!$I:$I,MATCH($D19,Mapping!$B:$B,0))</f>
        <v>VDSL</v>
      </c>
      <c r="P19" s="179" t="str">
        <f>INDEX(Mapping!$H:$H,MATCH($F19,Mapping!$B:$B,0))</f>
        <v>nvt</v>
      </c>
      <c r="Q19" s="283" t="str">
        <f>INDEX(Mapping!$K:$K,MATCH($D19&amp;$H19&amp;E19,Mapping!$B:$B,0))</f>
        <v>national</v>
      </c>
      <c r="R19" s="179" t="str">
        <f>INDEX(Mapping!$I:$I,MATCH(D19&amp;H19&amp;$E19,Mapping!$B:$B,0))</f>
        <v>&lt;=256 kbps/&lt;=256 kbps</v>
      </c>
      <c r="S19" s="203"/>
      <c r="T19" s="283" t="str">
        <f>INDEX(Mapping!$L:$L,MATCH($D19&amp;$H19&amp;E19,Mapping!$B:$B,0))</f>
        <v>nvt</v>
      </c>
      <c r="U19" s="142" t="str">
        <f t="shared" si="3"/>
        <v>WBA CM Ethernet&lt;=256 kbps/&lt;=256 kbpsaddnational</v>
      </c>
      <c r="W19" s="160">
        <f>MATCH($J19,'Tarieven ZM'!$B:$B,0)</f>
        <v>76</v>
      </c>
      <c r="X19" s="148">
        <f>INDEX('Tarieven ZM'!$H:$H,$W19)</f>
        <v>1000</v>
      </c>
      <c r="Y19" s="161">
        <f>-INDEX(Parameters!$B:$B,MATCH(Y$3,Parameters!$A:$A,0))*$X19</f>
        <v>0</v>
      </c>
      <c r="Z19" s="149">
        <f>-INDEX(Parameters!$B:$B,MATCH(Z$3,Parameters!$A:$A,0))*$X19</f>
        <v>0</v>
      </c>
      <c r="AA19" s="148">
        <f t="shared" si="4"/>
        <v>1000</v>
      </c>
      <c r="AB19" s="148">
        <f>AA19/INDEX(Parameters!$B:$B,MATCH("AfschrijftermijnVVE"&amp;12*$C19,Parameters!$A:$A,0))</f>
        <v>27.777777777777779</v>
      </c>
      <c r="AC19" s="148">
        <f>INDEX('Tarieven ZM'!$G:$G,$W19)</f>
        <v>1000</v>
      </c>
      <c r="AD19" s="161">
        <f>-INDEX(Parameters!$B:$B,MATCH(AD$3,Parameters!$A:$A,0))*$AC19</f>
        <v>0</v>
      </c>
      <c r="AE19" s="161">
        <f>-INDEX(Parameters!$B:$B,MATCH(AE$3,Parameters!$A:$A,0))*$AC19</f>
        <v>0</v>
      </c>
      <c r="AF19" s="148">
        <f t="shared" si="5"/>
        <v>1000</v>
      </c>
      <c r="AG19" s="151">
        <f t="shared" si="6"/>
        <v>1027.7777777777778</v>
      </c>
      <c r="AH19" s="123"/>
      <c r="AI19" s="147">
        <f>IF(R19&lt;&gt;"n.a.",MATCH($U19,'Tarieven W&amp;O'!$B:$B,0),"nvt")</f>
        <v>134</v>
      </c>
      <c r="AJ19" s="148">
        <f>IF(AI19&lt;&gt;"nvt",INDEX('Tarieven W&amp;O'!$H:$H,$AI19),0)</f>
        <v>0</v>
      </c>
      <c r="AK19" s="148">
        <f>IF(AI19&lt;&gt;"nvt",INDEX('Tarieven W&amp;O'!$I:$I,$AI19),0)</f>
        <v>5</v>
      </c>
      <c r="AL19" s="277">
        <f>IF(AI19&lt;&gt;"nvt",-INDEX(Parameters!$B:$B,MATCH(AL$3&amp;$M19,Parameters!$A:$A,0))*(AJ19+AK19),0)</f>
        <v>0</v>
      </c>
      <c r="AM19" s="442"/>
      <c r="AN19" s="179">
        <f t="shared" si="7"/>
        <v>5</v>
      </c>
      <c r="AO19" s="262">
        <f>AN19/INDEX(Parameters!$B:$B,MATCH("AfschrijftermijnVVE"&amp;12*$C19,Parameters!$A:$A,0))</f>
        <v>0.1388888888888889</v>
      </c>
      <c r="AP19" s="179">
        <f t="shared" si="8"/>
        <v>134</v>
      </c>
      <c r="AQ19" s="202">
        <f>IF(AP19&lt;&gt;"nvt",INDEX('Tarieven W&amp;O'!$G:$G,$AP19),0)</f>
        <v>1E-4</v>
      </c>
      <c r="AR19" s="463">
        <f>-INDEX(Parameters!$B:$B,MATCH(AR$3&amp;$M19&amp;O19,Parameters!$A:$A,0))*(AQ19)</f>
        <v>-1.0000000000000001E-5</v>
      </c>
      <c r="AS19" s="262">
        <v>0</v>
      </c>
      <c r="AT19" s="442">
        <f>IF(M19="WBA CM Ethernet",0,'EDC Minus'!$H$27)</f>
        <v>0</v>
      </c>
      <c r="AU19" s="202">
        <f t="shared" si="9"/>
        <v>9.0000000000000006E-5</v>
      </c>
      <c r="AV19" s="202">
        <f t="shared" si="10"/>
        <v>0.1389788888888889</v>
      </c>
      <c r="AW19" s="202"/>
      <c r="AX19" s="202">
        <f>Parameters!$B$6*AV19</f>
        <v>1.389788888888889E-3</v>
      </c>
      <c r="AY19" s="202">
        <v>0</v>
      </c>
      <c r="AZ19" s="202"/>
      <c r="BA19" s="150">
        <f t="shared" si="16"/>
        <v>1.389788888888889E-3</v>
      </c>
      <c r="BB19" s="150"/>
      <c r="BC19" s="151">
        <f t="shared" si="17"/>
        <v>0.14036867777777778</v>
      </c>
      <c r="BD19" s="123"/>
      <c r="BE19" s="140">
        <f t="shared" si="11"/>
        <v>1027.6374091</v>
      </c>
      <c r="BF19" s="141">
        <f t="shared" si="12"/>
        <v>0.99986342507027026</v>
      </c>
      <c r="BG19" s="142" t="b">
        <f t="shared" si="13"/>
        <v>0</v>
      </c>
      <c r="BH19" s="148"/>
      <c r="BI19" s="188" t="s">
        <v>539</v>
      </c>
      <c r="BJ19" s="189"/>
      <c r="BK19">
        <f>VLOOKUP(J19,'Tarieven ZM'!$B$7:$I$146,8,0)</f>
        <v>0</v>
      </c>
      <c r="BL19" s="179" t="str">
        <f>INDEX(Mapping!$M:$M,MATCH($J19,Mapping!$B:$B,0))</f>
        <v>nvt</v>
      </c>
      <c r="BM19" s="282">
        <v>0</v>
      </c>
      <c r="BN19" s="262">
        <f>BM19/INDEX(Parameters!$B:$B,MATCH("AfschrijftermijnVVE"&amp;12*$C19,Parameters!$A:$A,0))</f>
        <v>0</v>
      </c>
      <c r="BO19" s="262">
        <f>AS19+INDEX('inkoop ULL tbv Epacity'!I:I,MATCH($BL19,'inkoop ULL tbv Epacity'!H:H,0))</f>
        <v>0</v>
      </c>
      <c r="BP19" s="263">
        <f t="shared" si="18"/>
        <v>0</v>
      </c>
      <c r="BQ19" s="203"/>
      <c r="BR19" s="262">
        <f>Parameters!$B$12*AG19</f>
        <v>102.77777777777779</v>
      </c>
      <c r="BS19" s="262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SUM(Distributievergoedingen!$F$12,Distributievergoedingen!$I$12,Distributievergoedingen!$L$12,Distributievergoedingen!$O$12)*AF19+SUM(Distributievergoedingen!$O$12*AA19+Distributievergoedingen!$R$12+Distributievergoedingen!$U$12+Distributievergoedingen!$X$12)/(MAX(36,12*L19))</f>
        <v>112.77777777777777</v>
      </c>
      <c r="BT19" s="262"/>
      <c r="BU19" s="150">
        <f t="shared" si="19"/>
        <v>215.55555555555554</v>
      </c>
      <c r="BW19" s="151">
        <f t="shared" si="20"/>
        <v>215.55555555555554</v>
      </c>
      <c r="BY19" s="140">
        <f t="shared" si="21"/>
        <v>812.22222222222229</v>
      </c>
      <c r="BZ19" s="141">
        <f t="shared" si="22"/>
        <v>0.7902702702702703</v>
      </c>
      <c r="CA19" s="142" t="b">
        <f t="shared" si="23"/>
        <v>0</v>
      </c>
    </row>
    <row r="20" spans="1:79">
      <c r="A20" s="160" t="str">
        <f t="shared" si="14"/>
        <v>1VDSLAddnationaal448/448</v>
      </c>
      <c r="B20" s="142" t="str">
        <f t="shared" si="15"/>
        <v>1VDSL448/448Add</v>
      </c>
      <c r="C20" s="198">
        <v>1</v>
      </c>
      <c r="D20" s="198" t="s">
        <v>77</v>
      </c>
      <c r="E20" s="198" t="s">
        <v>103</v>
      </c>
      <c r="F20" s="198" t="s">
        <v>115</v>
      </c>
      <c r="G20" s="199" t="s">
        <v>113</v>
      </c>
      <c r="H20" s="198" t="s">
        <v>79</v>
      </c>
      <c r="J20" s="142" t="str">
        <f t="shared" si="2"/>
        <v>VDSL448/448Add</v>
      </c>
      <c r="L20" s="160">
        <f>INDEX(Mapping!$J:$J,MATCH(C$3&amp;C20,Mapping!$B:$B,0))</f>
        <v>1</v>
      </c>
      <c r="M20" s="179" t="str">
        <f>INDEX(Mapping!$H:$H,MATCH(D20&amp;H20&amp;$E20,Mapping!$B:$B,0))</f>
        <v>WBA ZM Ethernet</v>
      </c>
      <c r="N20" s="179" t="str">
        <f>INDEX(Mapping!$J:$J,MATCH(D20&amp;H20&amp;$E20,Mapping!$B:$B,0))</f>
        <v>premium</v>
      </c>
      <c r="O20" s="179" t="str">
        <f>INDEX(Mapping!$I:$I,MATCH($D20,Mapping!$B:$B,0))</f>
        <v>VDSL</v>
      </c>
      <c r="P20" s="179" t="str">
        <f>INDEX(Mapping!$H:$H,MATCH($F20,Mapping!$B:$B,0))</f>
        <v>nvt</v>
      </c>
      <c r="Q20" s="283" t="str">
        <f>INDEX(Mapping!$K:$K,MATCH($D20&amp;$H20&amp;E20,Mapping!$B:$B,0))</f>
        <v>metro</v>
      </c>
      <c r="R20" s="179" t="str">
        <f>INDEX(Mapping!$I:$I,MATCH(D20&amp;H20&amp;$E20,Mapping!$B:$B,0))</f>
        <v>1 Mbps/1 Mbps</v>
      </c>
      <c r="S20" s="203"/>
      <c r="T20" s="283" t="str">
        <f>INDEX(Mapping!$L:$L,MATCH($D20&amp;$H20&amp;E20,Mapping!$B:$B,0))</f>
        <v>metro-nationaal</v>
      </c>
      <c r="U20" s="142" t="str">
        <f t="shared" si="3"/>
        <v>WBA ZM Ethernet1 Mbps/1 Mbpspremiummetro</v>
      </c>
      <c r="W20" s="160">
        <f>MATCH($J20,'Tarieven ZM'!$B:$B,0)</f>
        <v>77</v>
      </c>
      <c r="X20" s="148">
        <f>INDEX('Tarieven ZM'!$H:$H,$W20)</f>
        <v>1000</v>
      </c>
      <c r="Y20" s="161">
        <f>-INDEX(Parameters!$B:$B,MATCH(Y$3,Parameters!$A:$A,0))*$X20</f>
        <v>0</v>
      </c>
      <c r="Z20" s="149">
        <f>-INDEX(Parameters!$B:$B,MATCH(Z$3,Parameters!$A:$A,0))*$X20</f>
        <v>0</v>
      </c>
      <c r="AA20" s="148">
        <f t="shared" si="4"/>
        <v>1000</v>
      </c>
      <c r="AB20" s="148">
        <f>AA20/INDEX(Parameters!$B:$B,MATCH("AfschrijftermijnVVE"&amp;12*$C20,Parameters!$A:$A,0))</f>
        <v>27.777777777777779</v>
      </c>
      <c r="AC20" s="148">
        <f>INDEX('Tarieven ZM'!$G:$G,$W20)</f>
        <v>1000</v>
      </c>
      <c r="AD20" s="161">
        <f>-INDEX(Parameters!$B:$B,MATCH(AD$3,Parameters!$A:$A,0))*$AC20</f>
        <v>0</v>
      </c>
      <c r="AE20" s="161">
        <f>-INDEX(Parameters!$B:$B,MATCH(AE$3,Parameters!$A:$A,0))*$AC20</f>
        <v>0</v>
      </c>
      <c r="AF20" s="148">
        <f t="shared" si="5"/>
        <v>1000</v>
      </c>
      <c r="AG20" s="151">
        <f t="shared" si="6"/>
        <v>1027.7777777777778</v>
      </c>
      <c r="AH20" s="123"/>
      <c r="AI20" s="147">
        <f>IF(R20&lt;&gt;"n.a.",MATCH($U20,'Tarieven W&amp;O'!$B:$B,0),"nvt")</f>
        <v>138</v>
      </c>
      <c r="AJ20" s="148">
        <f>IF(AI20&lt;&gt;"nvt",INDEX('Tarieven W&amp;O'!$H:$H,$AI20),0)</f>
        <v>0</v>
      </c>
      <c r="AK20" s="148">
        <f>IF(AI20&lt;&gt;"nvt",INDEX('Tarieven W&amp;O'!$I:$I,$AI20),0)</f>
        <v>5</v>
      </c>
      <c r="AL20" s="277">
        <f>IF(AI20&lt;&gt;"nvt",-INDEX(Parameters!$B:$B,MATCH(AL$3&amp;$M20,Parameters!$A:$A,0))*(AJ20+AK20),0)</f>
        <v>0</v>
      </c>
      <c r="AM20" s="442"/>
      <c r="AN20" s="179">
        <f t="shared" si="7"/>
        <v>5</v>
      </c>
      <c r="AO20" s="262">
        <f>AN20/INDEX(Parameters!$B:$B,MATCH("AfschrijftermijnVVE"&amp;12*$C20,Parameters!$A:$A,0))</f>
        <v>0.1388888888888889</v>
      </c>
      <c r="AP20" s="179">
        <f t="shared" si="8"/>
        <v>138</v>
      </c>
      <c r="AQ20" s="202">
        <f>IF(AP20&lt;&gt;"nvt",INDEX('Tarieven W&amp;O'!$G:$G,$AP20),0)</f>
        <v>7.41</v>
      </c>
      <c r="AR20" s="463">
        <f>-INDEX(Parameters!$B:$B,MATCH(AR$3&amp;$M20&amp;O20,Parameters!$A:$A,0))*(AQ20)</f>
        <v>0</v>
      </c>
      <c r="AS20" s="262">
        <v>0</v>
      </c>
      <c r="AT20" s="442">
        <f>IF(M20="WBA CM Ethernet",0,'EDC Minus'!$H$27)</f>
        <v>1</v>
      </c>
      <c r="AU20" s="202">
        <f t="shared" si="9"/>
        <v>8.41</v>
      </c>
      <c r="AV20" s="202">
        <f t="shared" si="10"/>
        <v>8.5488888888888894</v>
      </c>
      <c r="AW20" s="202"/>
      <c r="AX20" s="202">
        <f>Parameters!$B$6*AV20</f>
        <v>8.5488888888888892E-2</v>
      </c>
      <c r="AY20" s="202">
        <v>0</v>
      </c>
      <c r="AZ20" s="202"/>
      <c r="BA20" s="150">
        <f t="shared" si="16"/>
        <v>8.5488888888888892E-2</v>
      </c>
      <c r="BB20" s="150"/>
      <c r="BC20" s="151">
        <f t="shared" si="17"/>
        <v>8.6343777777777788</v>
      </c>
      <c r="BD20" s="123"/>
      <c r="BE20" s="140">
        <f t="shared" si="11"/>
        <v>1019.1434</v>
      </c>
      <c r="BF20" s="141">
        <f t="shared" si="12"/>
        <v>0.99159898378378375</v>
      </c>
      <c r="BG20" s="142" t="b">
        <f t="shared" si="13"/>
        <v>0</v>
      </c>
      <c r="BH20" s="148"/>
      <c r="BI20" s="188" t="s">
        <v>539</v>
      </c>
      <c r="BJ20" s="189"/>
      <c r="BK20">
        <f>VLOOKUP(J20,'Tarieven ZM'!$B$7:$I$146,8,0)</f>
        <v>0</v>
      </c>
      <c r="BL20" s="179" t="str">
        <f>INDEX(Mapping!$M:$M,MATCH($J20,Mapping!$B:$B,0))</f>
        <v>nvt</v>
      </c>
      <c r="BM20" s="282">
        <v>0</v>
      </c>
      <c r="BN20" s="262">
        <f>BM20/INDEX(Parameters!$B:$B,MATCH("AfschrijftermijnVVE"&amp;12*$C20,Parameters!$A:$A,0))</f>
        <v>0</v>
      </c>
      <c r="BO20" s="262">
        <f>AS20+INDEX('inkoop ULL tbv Epacity'!I:I,MATCH($BL20,'inkoop ULL tbv Epacity'!H:H,0))</f>
        <v>0</v>
      </c>
      <c r="BP20" s="263">
        <f t="shared" si="18"/>
        <v>0</v>
      </c>
      <c r="BQ20" s="203"/>
      <c r="BR20" s="262">
        <f>Parameters!$B$12*AG20</f>
        <v>102.77777777777779</v>
      </c>
      <c r="BS20" s="262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SUM(Distributievergoedingen!$F$12,Distributievergoedingen!$I$12,Distributievergoedingen!$L$12,Distributievergoedingen!$O$12)*AF20+SUM(Distributievergoedingen!$O$12*AA20+Distributievergoedingen!$R$12+Distributievergoedingen!$U$12+Distributievergoedingen!$X$12)/(MAX(36,12*L20))</f>
        <v>112.77777777777777</v>
      </c>
      <c r="BT20" s="262"/>
      <c r="BU20" s="150">
        <f t="shared" si="19"/>
        <v>215.55555555555554</v>
      </c>
      <c r="BW20" s="151">
        <f t="shared" si="20"/>
        <v>215.55555555555554</v>
      </c>
      <c r="BY20" s="140">
        <f t="shared" si="21"/>
        <v>812.22222222222229</v>
      </c>
      <c r="BZ20" s="141">
        <f t="shared" si="22"/>
        <v>0.7902702702702703</v>
      </c>
      <c r="CA20" s="142" t="b">
        <f t="shared" si="23"/>
        <v>0</v>
      </c>
    </row>
    <row r="21" spans="1:79">
      <c r="A21" s="160" t="str">
        <f t="shared" si="14"/>
        <v>1VDSLAddnationaal640/640</v>
      </c>
      <c r="B21" s="142" t="str">
        <f t="shared" si="15"/>
        <v>1VDSL640/640Add</v>
      </c>
      <c r="C21" s="198">
        <v>1</v>
      </c>
      <c r="D21" s="198" t="s">
        <v>77</v>
      </c>
      <c r="E21" s="198" t="s">
        <v>103</v>
      </c>
      <c r="F21" s="198" t="s">
        <v>115</v>
      </c>
      <c r="G21" s="199" t="s">
        <v>113</v>
      </c>
      <c r="H21" s="198" t="s">
        <v>80</v>
      </c>
      <c r="J21" s="142" t="str">
        <f t="shared" si="2"/>
        <v>VDSL640/640Add</v>
      </c>
      <c r="L21" s="160">
        <f>INDEX(Mapping!$J:$J,MATCH(C$3&amp;C21,Mapping!$B:$B,0))</f>
        <v>1</v>
      </c>
      <c r="M21" s="179" t="str">
        <f>INDEX(Mapping!$H:$H,MATCH(D21&amp;H21&amp;$E21,Mapping!$B:$B,0))</f>
        <v>WBA ZM Ethernet</v>
      </c>
      <c r="N21" s="179" t="str">
        <f>INDEX(Mapping!$J:$J,MATCH(D21&amp;H21&amp;$E21,Mapping!$B:$B,0))</f>
        <v>premium</v>
      </c>
      <c r="O21" s="179" t="str">
        <f>INDEX(Mapping!$I:$I,MATCH($D21,Mapping!$B:$B,0))</f>
        <v>VDSL</v>
      </c>
      <c r="P21" s="179" t="str">
        <f>INDEX(Mapping!$H:$H,MATCH($F21,Mapping!$B:$B,0))</f>
        <v>nvt</v>
      </c>
      <c r="Q21" s="283" t="str">
        <f>INDEX(Mapping!$K:$K,MATCH($D21&amp;$H21&amp;E21,Mapping!$B:$B,0))</f>
        <v>metro</v>
      </c>
      <c r="R21" s="179" t="str">
        <f>INDEX(Mapping!$I:$I,MATCH(D21&amp;H21&amp;$E21,Mapping!$B:$B,0))</f>
        <v>1 Mbps/1 Mbps</v>
      </c>
      <c r="S21" s="203"/>
      <c r="T21" s="283" t="str">
        <f>INDEX(Mapping!$L:$L,MATCH($D21&amp;$H21&amp;E21,Mapping!$B:$B,0))</f>
        <v>metro-nationaal</v>
      </c>
      <c r="U21" s="142" t="str">
        <f t="shared" si="3"/>
        <v>WBA ZM Ethernet1 Mbps/1 Mbpspremiummetro</v>
      </c>
      <c r="W21" s="160">
        <f>MATCH($J21,'Tarieven ZM'!$B:$B,0)</f>
        <v>78</v>
      </c>
      <c r="X21" s="148">
        <f>INDEX('Tarieven ZM'!$H:$H,$W21)</f>
        <v>1000</v>
      </c>
      <c r="Y21" s="161">
        <f>-INDEX(Parameters!$B:$B,MATCH(Y$3,Parameters!$A:$A,0))*$X21</f>
        <v>0</v>
      </c>
      <c r="Z21" s="149">
        <f>-INDEX(Parameters!$B:$B,MATCH(Z$3,Parameters!$A:$A,0))*$X21</f>
        <v>0</v>
      </c>
      <c r="AA21" s="148">
        <f t="shared" si="4"/>
        <v>1000</v>
      </c>
      <c r="AB21" s="148">
        <f>AA21/INDEX(Parameters!$B:$B,MATCH("AfschrijftermijnVVE"&amp;12*$C21,Parameters!$A:$A,0))</f>
        <v>27.777777777777779</v>
      </c>
      <c r="AC21" s="148">
        <f>INDEX('Tarieven ZM'!$G:$G,$W21)</f>
        <v>1000</v>
      </c>
      <c r="AD21" s="161">
        <f>-INDEX(Parameters!$B:$B,MATCH(AD$3,Parameters!$A:$A,0))*$AC21</f>
        <v>0</v>
      </c>
      <c r="AE21" s="161">
        <f>-INDEX(Parameters!$B:$B,MATCH(AE$3,Parameters!$A:$A,0))*$AC21</f>
        <v>0</v>
      </c>
      <c r="AF21" s="148">
        <f t="shared" si="5"/>
        <v>1000</v>
      </c>
      <c r="AG21" s="151">
        <f t="shared" si="6"/>
        <v>1027.7777777777778</v>
      </c>
      <c r="AH21" s="123"/>
      <c r="AI21" s="147">
        <f>IF(R21&lt;&gt;"n.a.",MATCH($U21,'Tarieven W&amp;O'!$B:$B,0),"nvt")</f>
        <v>138</v>
      </c>
      <c r="AJ21" s="148">
        <f>IF(AI21&lt;&gt;"nvt",INDEX('Tarieven W&amp;O'!$H:$H,$AI21),0)</f>
        <v>0</v>
      </c>
      <c r="AK21" s="148">
        <f>IF(AI21&lt;&gt;"nvt",INDEX('Tarieven W&amp;O'!$I:$I,$AI21),0)</f>
        <v>5</v>
      </c>
      <c r="AL21" s="277">
        <f>IF(AI21&lt;&gt;"nvt",-INDEX(Parameters!$B:$B,MATCH(AL$3&amp;$M21,Parameters!$A:$A,0))*(AJ21+AK21),0)</f>
        <v>0</v>
      </c>
      <c r="AM21" s="442"/>
      <c r="AN21" s="179">
        <f t="shared" si="7"/>
        <v>5</v>
      </c>
      <c r="AO21" s="262">
        <f>AN21/INDEX(Parameters!$B:$B,MATCH("AfschrijftermijnVVE"&amp;12*$C21,Parameters!$A:$A,0))</f>
        <v>0.1388888888888889</v>
      </c>
      <c r="AP21" s="179">
        <f t="shared" si="8"/>
        <v>138</v>
      </c>
      <c r="AQ21" s="202">
        <f>IF(AP21&lt;&gt;"nvt",INDEX('Tarieven W&amp;O'!$G:$G,$AP21),0)</f>
        <v>7.41</v>
      </c>
      <c r="AR21" s="463">
        <f>-INDEX(Parameters!$B:$B,MATCH(AR$3&amp;$M21&amp;O21,Parameters!$A:$A,0))*(AQ21)</f>
        <v>0</v>
      </c>
      <c r="AS21" s="262">
        <v>0</v>
      </c>
      <c r="AT21" s="442">
        <f>IF(M21="WBA CM Ethernet",0,'EDC Minus'!$H$27)</f>
        <v>1</v>
      </c>
      <c r="AU21" s="202">
        <f t="shared" si="9"/>
        <v>8.41</v>
      </c>
      <c r="AV21" s="202">
        <f t="shared" si="10"/>
        <v>8.5488888888888894</v>
      </c>
      <c r="AW21" s="202"/>
      <c r="AX21" s="202">
        <f>Parameters!$B$6*AV21</f>
        <v>8.5488888888888892E-2</v>
      </c>
      <c r="AY21" s="202">
        <v>0</v>
      </c>
      <c r="AZ21" s="202"/>
      <c r="BA21" s="150">
        <f t="shared" si="16"/>
        <v>8.5488888888888892E-2</v>
      </c>
      <c r="BB21" s="150"/>
      <c r="BC21" s="151">
        <f t="shared" si="17"/>
        <v>8.6343777777777788</v>
      </c>
      <c r="BD21" s="123"/>
      <c r="BE21" s="140">
        <f t="shared" si="11"/>
        <v>1019.1434</v>
      </c>
      <c r="BF21" s="141">
        <f t="shared" si="12"/>
        <v>0.99159898378378375</v>
      </c>
      <c r="BG21" s="142" t="b">
        <f t="shared" si="13"/>
        <v>0</v>
      </c>
      <c r="BH21" s="148"/>
      <c r="BI21" s="188" t="s">
        <v>539</v>
      </c>
      <c r="BJ21" s="189"/>
      <c r="BK21">
        <f>VLOOKUP(J21,'Tarieven ZM'!$B$7:$I$146,8,0)</f>
        <v>0</v>
      </c>
      <c r="BL21" s="179" t="str">
        <f>INDEX(Mapping!$M:$M,MATCH($J21,Mapping!$B:$B,0))</f>
        <v>nvt</v>
      </c>
      <c r="BM21" s="282">
        <v>0</v>
      </c>
      <c r="BN21" s="262">
        <f>BM21/INDEX(Parameters!$B:$B,MATCH("AfschrijftermijnVVE"&amp;12*$C21,Parameters!$A:$A,0))</f>
        <v>0</v>
      </c>
      <c r="BO21" s="262">
        <f>AS21+INDEX('inkoop ULL tbv Epacity'!I:I,MATCH($BL21,'inkoop ULL tbv Epacity'!H:H,0))</f>
        <v>0</v>
      </c>
      <c r="BP21" s="263">
        <f t="shared" si="18"/>
        <v>0</v>
      </c>
      <c r="BQ21" s="203"/>
      <c r="BR21" s="262">
        <f>Parameters!$B$12*AG21</f>
        <v>102.77777777777779</v>
      </c>
      <c r="BS21" s="262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SUM(Distributievergoedingen!$F$12,Distributievergoedingen!$I$12,Distributievergoedingen!$L$12,Distributievergoedingen!$O$12)*AF21+SUM(Distributievergoedingen!$O$12*AA21+Distributievergoedingen!$R$12+Distributievergoedingen!$U$12+Distributievergoedingen!$X$12)/(MAX(36,12*L21))</f>
        <v>112.77777777777777</v>
      </c>
      <c r="BT21" s="262"/>
      <c r="BU21" s="150">
        <f t="shared" si="19"/>
        <v>215.55555555555554</v>
      </c>
      <c r="BW21" s="151">
        <f t="shared" si="20"/>
        <v>215.55555555555554</v>
      </c>
      <c r="BY21" s="140">
        <f t="shared" si="21"/>
        <v>812.22222222222229</v>
      </c>
      <c r="BZ21" s="141">
        <f t="shared" si="22"/>
        <v>0.7902702702702703</v>
      </c>
      <c r="CA21" s="142" t="b">
        <f t="shared" si="23"/>
        <v>0</v>
      </c>
    </row>
    <row r="22" spans="1:79">
      <c r="A22" s="160" t="str">
        <f t="shared" si="14"/>
        <v>1VDSLAddnationaal1024/1024</v>
      </c>
      <c r="B22" s="142" t="str">
        <f t="shared" si="15"/>
        <v>1VDSL1024/1024Add</v>
      </c>
      <c r="C22" s="198">
        <v>1</v>
      </c>
      <c r="D22" s="198" t="s">
        <v>77</v>
      </c>
      <c r="E22" s="198" t="s">
        <v>103</v>
      </c>
      <c r="F22" s="198" t="s">
        <v>115</v>
      </c>
      <c r="G22" s="199" t="s">
        <v>113</v>
      </c>
      <c r="H22" s="198" t="s">
        <v>66</v>
      </c>
      <c r="J22" s="142" t="str">
        <f t="shared" si="2"/>
        <v>VDSL1024/1024Add</v>
      </c>
      <c r="L22" s="160">
        <f>INDEX(Mapping!$J:$J,MATCH(C$3&amp;C22,Mapping!$B:$B,0))</f>
        <v>1</v>
      </c>
      <c r="M22" s="179" t="str">
        <f>INDEX(Mapping!$H:$H,MATCH(D22&amp;H22&amp;$E22,Mapping!$B:$B,0))</f>
        <v>WBA ZM Ethernet</v>
      </c>
      <c r="N22" s="179" t="str">
        <f>INDEX(Mapping!$J:$J,MATCH(D22&amp;H22&amp;$E22,Mapping!$B:$B,0))</f>
        <v>premium</v>
      </c>
      <c r="O22" s="179" t="str">
        <f>INDEX(Mapping!$I:$I,MATCH($D22,Mapping!$B:$B,0))</f>
        <v>VDSL</v>
      </c>
      <c r="P22" s="179" t="str">
        <f>INDEX(Mapping!$H:$H,MATCH($F22,Mapping!$B:$B,0))</f>
        <v>nvt</v>
      </c>
      <c r="Q22" s="283" t="str">
        <f>INDEX(Mapping!$K:$K,MATCH($D22&amp;$H22&amp;E22,Mapping!$B:$B,0))</f>
        <v>metro</v>
      </c>
      <c r="R22" s="179" t="str">
        <f>INDEX(Mapping!$I:$I,MATCH(D22&amp;H22&amp;$E22,Mapping!$B:$B,0))</f>
        <v>1 Mbps/1 Mbps</v>
      </c>
      <c r="S22" s="203"/>
      <c r="T22" s="283" t="str">
        <f>INDEX(Mapping!$L:$L,MATCH($D22&amp;$H22&amp;E22,Mapping!$B:$B,0))</f>
        <v>metro-nationaal</v>
      </c>
      <c r="U22" s="142" t="str">
        <f t="shared" si="3"/>
        <v>WBA ZM Ethernet1 Mbps/1 Mbpspremiummetro</v>
      </c>
      <c r="W22" s="160">
        <f>MATCH($J22,'Tarieven ZM'!$B:$B,0)</f>
        <v>79</v>
      </c>
      <c r="X22" s="148">
        <f>INDEX('Tarieven ZM'!$H:$H,$W22)</f>
        <v>1000</v>
      </c>
      <c r="Y22" s="161">
        <f>-INDEX(Parameters!$B:$B,MATCH(Y$3,Parameters!$A:$A,0))*$X22</f>
        <v>0</v>
      </c>
      <c r="Z22" s="149">
        <f>-INDEX(Parameters!$B:$B,MATCH(Z$3,Parameters!$A:$A,0))*$X22</f>
        <v>0</v>
      </c>
      <c r="AA22" s="148">
        <f t="shared" si="4"/>
        <v>1000</v>
      </c>
      <c r="AB22" s="148">
        <f>AA22/INDEX(Parameters!$B:$B,MATCH("AfschrijftermijnVVE"&amp;12*$C22,Parameters!$A:$A,0))</f>
        <v>27.777777777777779</v>
      </c>
      <c r="AC22" s="148">
        <f>INDEX('Tarieven ZM'!$G:$G,$W22)</f>
        <v>1000</v>
      </c>
      <c r="AD22" s="161">
        <f>-INDEX(Parameters!$B:$B,MATCH(AD$3,Parameters!$A:$A,0))*$AC22</f>
        <v>0</v>
      </c>
      <c r="AE22" s="161">
        <f>-INDEX(Parameters!$B:$B,MATCH(AE$3,Parameters!$A:$A,0))*$AC22</f>
        <v>0</v>
      </c>
      <c r="AF22" s="148">
        <f t="shared" si="5"/>
        <v>1000</v>
      </c>
      <c r="AG22" s="151">
        <f t="shared" si="6"/>
        <v>1027.7777777777778</v>
      </c>
      <c r="AH22" s="123"/>
      <c r="AI22" s="147">
        <f>IF(R22&lt;&gt;"n.a.",MATCH($U22,'Tarieven W&amp;O'!$B:$B,0),"nvt")</f>
        <v>138</v>
      </c>
      <c r="AJ22" s="148">
        <f>IF(AI22&lt;&gt;"nvt",INDEX('Tarieven W&amp;O'!$H:$H,$AI22),0)</f>
        <v>0</v>
      </c>
      <c r="AK22" s="148">
        <f>IF(AI22&lt;&gt;"nvt",INDEX('Tarieven W&amp;O'!$I:$I,$AI22),0)</f>
        <v>5</v>
      </c>
      <c r="AL22" s="277">
        <f>IF(AI22&lt;&gt;"nvt",-INDEX(Parameters!$B:$B,MATCH(AL$3&amp;$M22,Parameters!$A:$A,0))*(AJ22+AK22),0)</f>
        <v>0</v>
      </c>
      <c r="AM22" s="442"/>
      <c r="AN22" s="179">
        <f t="shared" si="7"/>
        <v>5</v>
      </c>
      <c r="AO22" s="262">
        <f>AN22/INDEX(Parameters!$B:$B,MATCH("AfschrijftermijnVVE"&amp;12*$C22,Parameters!$A:$A,0))</f>
        <v>0.1388888888888889</v>
      </c>
      <c r="AP22" s="179">
        <f t="shared" si="8"/>
        <v>138</v>
      </c>
      <c r="AQ22" s="202">
        <f>IF(AP22&lt;&gt;"nvt",INDEX('Tarieven W&amp;O'!$G:$G,$AP22),0)</f>
        <v>7.41</v>
      </c>
      <c r="AR22" s="463">
        <f>-INDEX(Parameters!$B:$B,MATCH(AR$3&amp;$M22&amp;O22,Parameters!$A:$A,0))*(AQ22)</f>
        <v>0</v>
      </c>
      <c r="AS22" s="262">
        <v>0</v>
      </c>
      <c r="AT22" s="442">
        <f>IF(M22="WBA CM Ethernet",0,'EDC Minus'!$H$27)</f>
        <v>1</v>
      </c>
      <c r="AU22" s="202">
        <f t="shared" si="9"/>
        <v>8.41</v>
      </c>
      <c r="AV22" s="202">
        <f t="shared" si="10"/>
        <v>8.5488888888888894</v>
      </c>
      <c r="AW22" s="202"/>
      <c r="AX22" s="202">
        <f>Parameters!$B$6*AV22</f>
        <v>8.5488888888888892E-2</v>
      </c>
      <c r="AY22" s="202">
        <v>0</v>
      </c>
      <c r="AZ22" s="202"/>
      <c r="BA22" s="150">
        <f t="shared" si="16"/>
        <v>8.5488888888888892E-2</v>
      </c>
      <c r="BB22" s="150"/>
      <c r="BC22" s="151">
        <f t="shared" si="17"/>
        <v>8.6343777777777788</v>
      </c>
      <c r="BD22" s="123"/>
      <c r="BE22" s="140">
        <f t="shared" si="11"/>
        <v>1019.1434</v>
      </c>
      <c r="BF22" s="141">
        <f t="shared" si="12"/>
        <v>0.99159898378378375</v>
      </c>
      <c r="BG22" s="142" t="b">
        <f t="shared" si="13"/>
        <v>0</v>
      </c>
      <c r="BH22" s="148"/>
      <c r="BI22" s="188" t="s">
        <v>539</v>
      </c>
      <c r="BJ22" s="189"/>
      <c r="BK22">
        <f>VLOOKUP(J22,'Tarieven ZM'!$B$7:$I$146,8,0)</f>
        <v>0</v>
      </c>
      <c r="BL22" s="179" t="str">
        <f>INDEX(Mapping!$M:$M,MATCH($J22,Mapping!$B:$B,0))</f>
        <v>nvt</v>
      </c>
      <c r="BM22" s="282">
        <v>0</v>
      </c>
      <c r="BN22" s="262">
        <f>BM22/INDEX(Parameters!$B:$B,MATCH("AfschrijftermijnVVE"&amp;12*$C22,Parameters!$A:$A,0))</f>
        <v>0</v>
      </c>
      <c r="BO22" s="262">
        <f>AS22+INDEX('inkoop ULL tbv Epacity'!I:I,MATCH($BL22,'inkoop ULL tbv Epacity'!H:H,0))</f>
        <v>0</v>
      </c>
      <c r="BP22" s="263">
        <f t="shared" si="18"/>
        <v>0</v>
      </c>
      <c r="BQ22" s="203"/>
      <c r="BR22" s="262">
        <f>Parameters!$B$12*AG22</f>
        <v>102.77777777777779</v>
      </c>
      <c r="BS22" s="262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SUM(Distributievergoedingen!$F$12,Distributievergoedingen!$I$12,Distributievergoedingen!$L$12,Distributievergoedingen!$O$12)*AF22+SUM(Distributievergoedingen!$O$12*AA22+Distributievergoedingen!$R$12+Distributievergoedingen!$U$12+Distributievergoedingen!$X$12)/(MAX(36,12*L22))</f>
        <v>112.77777777777777</v>
      </c>
      <c r="BT22" s="262"/>
      <c r="BU22" s="150">
        <f t="shared" si="19"/>
        <v>215.55555555555554</v>
      </c>
      <c r="BW22" s="151">
        <f t="shared" si="20"/>
        <v>215.55555555555554</v>
      </c>
      <c r="BY22" s="140">
        <f t="shared" si="21"/>
        <v>812.22222222222229</v>
      </c>
      <c r="BZ22" s="141">
        <f t="shared" si="22"/>
        <v>0.7902702702702703</v>
      </c>
      <c r="CA22" s="142" t="b">
        <f t="shared" si="23"/>
        <v>0</v>
      </c>
    </row>
    <row r="23" spans="1:79">
      <c r="A23" s="160" t="str">
        <f t="shared" si="14"/>
        <v>1VDSLAddnationaal2048/2048</v>
      </c>
      <c r="B23" s="142" t="str">
        <f t="shared" si="15"/>
        <v>1VDSL2048/2048Add</v>
      </c>
      <c r="C23" s="198">
        <v>1</v>
      </c>
      <c r="D23" s="198" t="s">
        <v>77</v>
      </c>
      <c r="E23" s="198" t="s">
        <v>103</v>
      </c>
      <c r="F23" s="198" t="s">
        <v>115</v>
      </c>
      <c r="G23" s="199" t="s">
        <v>113</v>
      </c>
      <c r="H23" s="198" t="s">
        <v>68</v>
      </c>
      <c r="J23" s="142" t="str">
        <f t="shared" si="2"/>
        <v>VDSL2048/2048Add</v>
      </c>
      <c r="L23" s="160">
        <f>INDEX(Mapping!$J:$J,MATCH(C$3&amp;C23,Mapping!$B:$B,0))</f>
        <v>1</v>
      </c>
      <c r="M23" s="179" t="str">
        <f>INDEX(Mapping!$H:$H,MATCH(D23&amp;H23&amp;$E23,Mapping!$B:$B,0))</f>
        <v>WBA ZM Ethernet</v>
      </c>
      <c r="N23" s="179" t="str">
        <f>INDEX(Mapping!$J:$J,MATCH(D23&amp;H23&amp;$E23,Mapping!$B:$B,0))</f>
        <v>premium</v>
      </c>
      <c r="O23" s="179" t="str">
        <f>INDEX(Mapping!$I:$I,MATCH($D23,Mapping!$B:$B,0))</f>
        <v>VDSL</v>
      </c>
      <c r="P23" s="179" t="str">
        <f>INDEX(Mapping!$H:$H,MATCH($F23,Mapping!$B:$B,0))</f>
        <v>nvt</v>
      </c>
      <c r="Q23" s="283" t="str">
        <f>INDEX(Mapping!$K:$K,MATCH($D23&amp;$H23&amp;E23,Mapping!$B:$B,0))</f>
        <v>metro</v>
      </c>
      <c r="R23" s="179" t="str">
        <f>INDEX(Mapping!$I:$I,MATCH(D23&amp;H23&amp;$E23,Mapping!$B:$B,0))</f>
        <v>2 Mbps/2 Mbps</v>
      </c>
      <c r="S23" s="203"/>
      <c r="T23" s="283" t="str">
        <f>INDEX(Mapping!$L:$L,MATCH($D23&amp;$H23&amp;E23,Mapping!$B:$B,0))</f>
        <v>metro-nationaal</v>
      </c>
      <c r="U23" s="142" t="str">
        <f t="shared" si="3"/>
        <v>WBA ZM Ethernet2 Mbps/2 Mbpspremiummetro</v>
      </c>
      <c r="W23" s="160">
        <f>MATCH($J23,'Tarieven ZM'!$B:$B,0)</f>
        <v>80</v>
      </c>
      <c r="X23" s="148">
        <f>INDEX('Tarieven ZM'!$H:$H,$W23)</f>
        <v>1000</v>
      </c>
      <c r="Y23" s="161">
        <f>-INDEX(Parameters!$B:$B,MATCH(Y$3,Parameters!$A:$A,0))*$X23</f>
        <v>0</v>
      </c>
      <c r="Z23" s="149">
        <f>-INDEX(Parameters!$B:$B,MATCH(Z$3,Parameters!$A:$A,0))*$X23</f>
        <v>0</v>
      </c>
      <c r="AA23" s="148">
        <f t="shared" si="4"/>
        <v>1000</v>
      </c>
      <c r="AB23" s="148">
        <f>AA23/INDEX(Parameters!$B:$B,MATCH("AfschrijftermijnVVE"&amp;12*$C23,Parameters!$A:$A,0))</f>
        <v>27.777777777777779</v>
      </c>
      <c r="AC23" s="148">
        <f>INDEX('Tarieven ZM'!$G:$G,$W23)</f>
        <v>1000</v>
      </c>
      <c r="AD23" s="161">
        <f>-INDEX(Parameters!$B:$B,MATCH(AD$3,Parameters!$A:$A,0))*$AC23</f>
        <v>0</v>
      </c>
      <c r="AE23" s="161">
        <f>-INDEX(Parameters!$B:$B,MATCH(AE$3,Parameters!$A:$A,0))*$AC23</f>
        <v>0</v>
      </c>
      <c r="AF23" s="148">
        <f t="shared" si="5"/>
        <v>1000</v>
      </c>
      <c r="AG23" s="151">
        <f t="shared" si="6"/>
        <v>1027.7777777777778</v>
      </c>
      <c r="AH23" s="123"/>
      <c r="AI23" s="147">
        <f>IF(R23&lt;&gt;"n.a.",MATCH($U23,'Tarieven W&amp;O'!$B:$B,0),"nvt")</f>
        <v>139</v>
      </c>
      <c r="AJ23" s="148">
        <f>IF(AI23&lt;&gt;"nvt",INDEX('Tarieven W&amp;O'!$H:$H,$AI23),0)</f>
        <v>0</v>
      </c>
      <c r="AK23" s="148">
        <f>IF(AI23&lt;&gt;"nvt",INDEX('Tarieven W&amp;O'!$I:$I,$AI23),0)</f>
        <v>5</v>
      </c>
      <c r="AL23" s="277">
        <f>IF(AI23&lt;&gt;"nvt",-INDEX(Parameters!$B:$B,MATCH(AL$3&amp;$M23,Parameters!$A:$A,0))*(AJ23+AK23),0)</f>
        <v>0</v>
      </c>
      <c r="AM23" s="442"/>
      <c r="AN23" s="179">
        <f t="shared" si="7"/>
        <v>5</v>
      </c>
      <c r="AO23" s="262">
        <f>AN23/INDEX(Parameters!$B:$B,MATCH("AfschrijftermijnVVE"&amp;12*$C23,Parameters!$A:$A,0))</f>
        <v>0.1388888888888889</v>
      </c>
      <c r="AP23" s="179">
        <f t="shared" si="8"/>
        <v>139</v>
      </c>
      <c r="AQ23" s="202">
        <f>IF(AP23&lt;&gt;"nvt",INDEX('Tarieven W&amp;O'!$G:$G,$AP23),0)</f>
        <v>14.82</v>
      </c>
      <c r="AR23" s="463">
        <f>-INDEX(Parameters!$B:$B,MATCH(AR$3&amp;$M23&amp;O23,Parameters!$A:$A,0))*(AQ23)</f>
        <v>0</v>
      </c>
      <c r="AS23" s="262">
        <v>0</v>
      </c>
      <c r="AT23" s="442">
        <f>IF(M23="WBA CM Ethernet",0,'EDC Minus'!$H$27)</f>
        <v>1</v>
      </c>
      <c r="AU23" s="202">
        <f t="shared" si="9"/>
        <v>15.82</v>
      </c>
      <c r="AV23" s="202">
        <f t="shared" si="10"/>
        <v>15.95888888888889</v>
      </c>
      <c r="AW23" s="202"/>
      <c r="AX23" s="202">
        <f>Parameters!$B$6*AV23</f>
        <v>0.15958888888888889</v>
      </c>
      <c r="AY23" s="202">
        <v>0</v>
      </c>
      <c r="AZ23" s="202"/>
      <c r="BA23" s="150">
        <f t="shared" si="16"/>
        <v>0.15958888888888889</v>
      </c>
      <c r="BB23" s="150"/>
      <c r="BC23" s="151">
        <f t="shared" si="17"/>
        <v>16.118477777777777</v>
      </c>
      <c r="BD23" s="123"/>
      <c r="BE23" s="140">
        <f t="shared" si="11"/>
        <v>1011.6593</v>
      </c>
      <c r="BF23" s="141">
        <f t="shared" si="12"/>
        <v>0.98431715675675668</v>
      </c>
      <c r="BG23" s="142" t="b">
        <f t="shared" si="13"/>
        <v>0</v>
      </c>
      <c r="BH23" s="148"/>
      <c r="BI23" s="188" t="s">
        <v>539</v>
      </c>
      <c r="BJ23" s="189"/>
      <c r="BK23">
        <f>VLOOKUP(J23,'Tarieven ZM'!$B$7:$I$146,8,0)</f>
        <v>0</v>
      </c>
      <c r="BL23" s="179" t="str">
        <f>INDEX(Mapping!$M:$M,MATCH($J23,Mapping!$B:$B,0))</f>
        <v>nvt</v>
      </c>
      <c r="BM23" s="282">
        <v>0</v>
      </c>
      <c r="BN23" s="262">
        <f>BM23/INDEX(Parameters!$B:$B,MATCH("AfschrijftermijnVVE"&amp;12*$C23,Parameters!$A:$A,0))</f>
        <v>0</v>
      </c>
      <c r="BO23" s="262">
        <f>AS23+INDEX('inkoop ULL tbv Epacity'!I:I,MATCH($BL23,'inkoop ULL tbv Epacity'!H:H,0))</f>
        <v>0</v>
      </c>
      <c r="BP23" s="263">
        <f t="shared" si="18"/>
        <v>0</v>
      </c>
      <c r="BQ23" s="203"/>
      <c r="BR23" s="262">
        <f>Parameters!$B$12*AG23</f>
        <v>102.77777777777779</v>
      </c>
      <c r="BS23" s="262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SUM(Distributievergoedingen!$F$12,Distributievergoedingen!$I$12,Distributievergoedingen!$L$12,Distributievergoedingen!$O$12)*AF23+SUM(Distributievergoedingen!$O$12*AA23+Distributievergoedingen!$R$12+Distributievergoedingen!$U$12+Distributievergoedingen!$X$12)/(MAX(36,12*L23))</f>
        <v>112.77777777777777</v>
      </c>
      <c r="BT23" s="262"/>
      <c r="BU23" s="150">
        <f t="shared" si="19"/>
        <v>215.55555555555554</v>
      </c>
      <c r="BW23" s="151">
        <f t="shared" si="20"/>
        <v>215.55555555555554</v>
      </c>
      <c r="BY23" s="140">
        <f t="shared" si="21"/>
        <v>812.22222222222229</v>
      </c>
      <c r="BZ23" s="141">
        <f t="shared" si="22"/>
        <v>0.7902702702702703</v>
      </c>
      <c r="CA23" s="142" t="b">
        <f t="shared" si="23"/>
        <v>0</v>
      </c>
    </row>
    <row r="24" spans="1:79">
      <c r="A24" s="160" t="str">
        <f t="shared" si="14"/>
        <v>1VDSLAddnationaal3072/3072</v>
      </c>
      <c r="B24" s="142" t="str">
        <f t="shared" si="15"/>
        <v>1VDSL3072/3072Add</v>
      </c>
      <c r="C24" s="198">
        <v>1</v>
      </c>
      <c r="D24" s="198" t="s">
        <v>77</v>
      </c>
      <c r="E24" s="198" t="s">
        <v>103</v>
      </c>
      <c r="F24" s="198" t="s">
        <v>115</v>
      </c>
      <c r="G24" s="199" t="s">
        <v>113</v>
      </c>
      <c r="H24" s="198" t="s">
        <v>82</v>
      </c>
      <c r="J24" s="142" t="str">
        <f t="shared" si="2"/>
        <v>VDSL3072/3072Add</v>
      </c>
      <c r="L24" s="160">
        <f>INDEX(Mapping!$J:$J,MATCH(C$3&amp;C24,Mapping!$B:$B,0))</f>
        <v>1</v>
      </c>
      <c r="M24" s="179" t="str">
        <f>INDEX(Mapping!$H:$H,MATCH(D24&amp;H24&amp;$E24,Mapping!$B:$B,0))</f>
        <v>WBA ZM Ethernet</v>
      </c>
      <c r="N24" s="179" t="str">
        <f>INDEX(Mapping!$J:$J,MATCH(D24&amp;H24&amp;$E24,Mapping!$B:$B,0))</f>
        <v>premium</v>
      </c>
      <c r="O24" s="179" t="str">
        <f>INDEX(Mapping!$I:$I,MATCH($D24,Mapping!$B:$B,0))</f>
        <v>VDSL</v>
      </c>
      <c r="P24" s="179" t="str">
        <f>INDEX(Mapping!$H:$H,MATCH($F24,Mapping!$B:$B,0))</f>
        <v>nvt</v>
      </c>
      <c r="Q24" s="283" t="str">
        <f>INDEX(Mapping!$K:$K,MATCH($D24&amp;$H24&amp;E24,Mapping!$B:$B,0))</f>
        <v>metro</v>
      </c>
      <c r="R24" s="179" t="str">
        <f>INDEX(Mapping!$I:$I,MATCH(D24&amp;H24&amp;$E24,Mapping!$B:$B,0))</f>
        <v>5 Mbps/5 Mbps</v>
      </c>
      <c r="S24" s="203"/>
      <c r="T24" s="283" t="str">
        <f>INDEX(Mapping!$L:$L,MATCH($D24&amp;$H24&amp;E24,Mapping!$B:$B,0))</f>
        <v>metro-nationaal</v>
      </c>
      <c r="U24" s="142" t="str">
        <f t="shared" si="3"/>
        <v>WBA ZM Ethernet5 Mbps/5 Mbpspremiummetro</v>
      </c>
      <c r="W24" s="160">
        <f>MATCH($J24,'Tarieven ZM'!$B:$B,0)</f>
        <v>81</v>
      </c>
      <c r="X24" s="148">
        <f>INDEX('Tarieven ZM'!$H:$H,$W24)</f>
        <v>1000</v>
      </c>
      <c r="Y24" s="161">
        <f>-INDEX(Parameters!$B:$B,MATCH(Y$3,Parameters!$A:$A,0))*$X24</f>
        <v>0</v>
      </c>
      <c r="Z24" s="149">
        <f>-INDEX(Parameters!$B:$B,MATCH(Z$3,Parameters!$A:$A,0))*$X24</f>
        <v>0</v>
      </c>
      <c r="AA24" s="148">
        <f t="shared" si="4"/>
        <v>1000</v>
      </c>
      <c r="AB24" s="148">
        <f>AA24/INDEX(Parameters!$B:$B,MATCH("AfschrijftermijnVVE"&amp;12*$C24,Parameters!$A:$A,0))</f>
        <v>27.777777777777779</v>
      </c>
      <c r="AC24" s="148">
        <f>INDEX('Tarieven ZM'!$G:$G,$W24)</f>
        <v>1000</v>
      </c>
      <c r="AD24" s="161">
        <f>-INDEX(Parameters!$B:$B,MATCH(AD$3,Parameters!$A:$A,0))*$AC24</f>
        <v>0</v>
      </c>
      <c r="AE24" s="161">
        <f>-INDEX(Parameters!$B:$B,MATCH(AE$3,Parameters!$A:$A,0))*$AC24</f>
        <v>0</v>
      </c>
      <c r="AF24" s="148">
        <f t="shared" si="5"/>
        <v>1000</v>
      </c>
      <c r="AG24" s="151">
        <f t="shared" si="6"/>
        <v>1027.7777777777778</v>
      </c>
      <c r="AH24" s="123"/>
      <c r="AI24" s="147">
        <f>IF(R24&lt;&gt;"n.a.",MATCH($U24,'Tarieven W&amp;O'!$B:$B,0),"nvt")</f>
        <v>140</v>
      </c>
      <c r="AJ24" s="148">
        <f>IF(AI24&lt;&gt;"nvt",INDEX('Tarieven W&amp;O'!$H:$H,$AI24),0)</f>
        <v>0</v>
      </c>
      <c r="AK24" s="148">
        <f>IF(AI24&lt;&gt;"nvt",INDEX('Tarieven W&amp;O'!$I:$I,$AI24),0)</f>
        <v>5</v>
      </c>
      <c r="AL24" s="277">
        <f>IF(AI24&lt;&gt;"nvt",-INDEX(Parameters!$B:$B,MATCH(AL$3&amp;$M24,Parameters!$A:$A,0))*(AJ24+AK24),0)</f>
        <v>0</v>
      </c>
      <c r="AM24" s="442"/>
      <c r="AN24" s="179">
        <f t="shared" si="7"/>
        <v>5</v>
      </c>
      <c r="AO24" s="262">
        <f>AN24/INDEX(Parameters!$B:$B,MATCH("AfschrijftermijnVVE"&amp;12*$C24,Parameters!$A:$A,0))</f>
        <v>0.1388888888888889</v>
      </c>
      <c r="AP24" s="179">
        <f t="shared" si="8"/>
        <v>140</v>
      </c>
      <c r="AQ24" s="202">
        <f>IF(AP24&lt;&gt;"nvt",INDEX('Tarieven W&amp;O'!$G:$G,$AP24),0)</f>
        <v>18.53</v>
      </c>
      <c r="AR24" s="463">
        <f>-INDEX(Parameters!$B:$B,MATCH(AR$3&amp;$M24&amp;O24,Parameters!$A:$A,0))*(AQ24)</f>
        <v>0</v>
      </c>
      <c r="AS24" s="262">
        <v>0</v>
      </c>
      <c r="AT24" s="442">
        <f>IF(M24="WBA CM Ethernet",0,'EDC Minus'!$H$27)</f>
        <v>1</v>
      </c>
      <c r="AU24" s="202">
        <f t="shared" si="9"/>
        <v>19.53</v>
      </c>
      <c r="AV24" s="202">
        <f t="shared" si="10"/>
        <v>19.66888888888889</v>
      </c>
      <c r="AW24" s="202"/>
      <c r="AX24" s="202">
        <f>Parameters!$B$6*AV24</f>
        <v>0.19668888888888891</v>
      </c>
      <c r="AY24" s="202">
        <v>0</v>
      </c>
      <c r="AZ24" s="202"/>
      <c r="BA24" s="150">
        <f t="shared" si="16"/>
        <v>0.19668888888888891</v>
      </c>
      <c r="BB24" s="150"/>
      <c r="BC24" s="151">
        <f t="shared" si="17"/>
        <v>19.86557777777778</v>
      </c>
      <c r="BD24" s="123"/>
      <c r="BE24" s="140">
        <f t="shared" si="11"/>
        <v>1007.9122000000001</v>
      </c>
      <c r="BF24" s="141">
        <f t="shared" si="12"/>
        <v>0.98067132972972981</v>
      </c>
      <c r="BG24" s="142" t="b">
        <f t="shared" si="13"/>
        <v>0</v>
      </c>
      <c r="BH24" s="148"/>
      <c r="BI24" s="188" t="s">
        <v>539</v>
      </c>
      <c r="BJ24" s="189"/>
      <c r="BK24">
        <f>VLOOKUP(J24,'Tarieven ZM'!$B$7:$I$146,8,0)</f>
        <v>0</v>
      </c>
      <c r="BL24" s="179" t="str">
        <f>INDEX(Mapping!$M:$M,MATCH($J24,Mapping!$B:$B,0))</f>
        <v>Premium &gt; 2/2Mbps</v>
      </c>
      <c r="BM24" s="282">
        <v>0</v>
      </c>
      <c r="BN24" s="262">
        <f>BM24/INDEX(Parameters!$B:$B,MATCH("AfschrijftermijnVVE"&amp;12*$C24,Parameters!$A:$A,0))</f>
        <v>0</v>
      </c>
      <c r="BO24" s="262">
        <f>AS24+INDEX('inkoop ULL tbv Epacity'!I:I,MATCH($BL24,'inkoop ULL tbv Epacity'!H:H,0))</f>
        <v>16.02</v>
      </c>
      <c r="BP24" s="263">
        <f t="shared" si="18"/>
        <v>16.02</v>
      </c>
      <c r="BQ24" s="203"/>
      <c r="BR24" s="262">
        <f>Parameters!$B$12*AG24</f>
        <v>102.77777777777779</v>
      </c>
      <c r="BS24" s="262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SUM(Distributievergoedingen!$F$12,Distributievergoedingen!$I$12,Distributievergoedingen!$L$12,Distributievergoedingen!$O$12)*AF24+SUM(Distributievergoedingen!$O$12*AA24+Distributievergoedingen!$R$12+Distributievergoedingen!$U$12+Distributievergoedingen!$X$12)/(MAX(36,12*L24))</f>
        <v>112.77777777777777</v>
      </c>
      <c r="BT24" s="262"/>
      <c r="BU24" s="150">
        <f t="shared" si="19"/>
        <v>215.55555555555554</v>
      </c>
      <c r="BW24" s="151">
        <f t="shared" si="20"/>
        <v>231.57555555555555</v>
      </c>
      <c r="BY24" s="140">
        <f t="shared" si="21"/>
        <v>796.2022222222223</v>
      </c>
      <c r="BZ24" s="141">
        <f t="shared" si="22"/>
        <v>0.77468324324324334</v>
      </c>
      <c r="CA24" s="142" t="b">
        <f t="shared" si="23"/>
        <v>0</v>
      </c>
    </row>
    <row r="25" spans="1:79">
      <c r="A25" s="160" t="str">
        <f t="shared" si="14"/>
        <v>1SA IPVPNAddnationaal128/128</v>
      </c>
      <c r="B25" s="142" t="str">
        <f t="shared" si="15"/>
        <v>1SA IPVPN128/128Add</v>
      </c>
      <c r="C25" s="198">
        <v>1</v>
      </c>
      <c r="D25" s="198" t="s">
        <v>93</v>
      </c>
      <c r="E25" s="198" t="s">
        <v>103</v>
      </c>
      <c r="F25" s="198" t="s">
        <v>115</v>
      </c>
      <c r="G25" s="199" t="s">
        <v>113</v>
      </c>
      <c r="H25" s="198" t="s">
        <v>43</v>
      </c>
      <c r="J25" s="142" t="str">
        <f t="shared" si="2"/>
        <v>SA IPVPN128/128Add</v>
      </c>
      <c r="L25" s="160">
        <f>INDEX(Mapping!$J:$J,MATCH(C$3&amp;C25,Mapping!$B:$B,0))</f>
        <v>1</v>
      </c>
      <c r="M25" s="179" t="str">
        <f>INDEX(Mapping!$H:$H,MATCH(D25&amp;H25&amp;$E25,Mapping!$B:$B,0))</f>
        <v>WBA CM Ethernet</v>
      </c>
      <c r="N25" s="179" t="str">
        <f>INDEX(Mapping!$J:$J,MATCH(D25&amp;H25&amp;$E25,Mapping!$B:$B,0))</f>
        <v>add</v>
      </c>
      <c r="O25" s="179" t="str">
        <f>INDEX(Mapping!$I:$I,MATCH($D25,Mapping!$B:$B,0))</f>
        <v>FttH</v>
      </c>
      <c r="P25" s="179" t="str">
        <f>INDEX(Mapping!$H:$H,MATCH($F25,Mapping!$B:$B,0))</f>
        <v>nvt</v>
      </c>
      <c r="Q25" s="283" t="str">
        <f>INDEX(Mapping!$K:$K,MATCH($D25&amp;$H25&amp;E25,Mapping!$B:$B,0))</f>
        <v>national</v>
      </c>
      <c r="R25" s="179" t="str">
        <f>INDEX(Mapping!$I:$I,MATCH(D25&amp;H25&amp;$E25,Mapping!$B:$B,0))</f>
        <v>&lt;=256 kbps/&lt;=256 kbps</v>
      </c>
      <c r="S25" s="203"/>
      <c r="T25" s="283" t="str">
        <f>INDEX(Mapping!$L:$L,MATCH($D25&amp;$H25&amp;E25,Mapping!$B:$B,0))</f>
        <v>nvt</v>
      </c>
      <c r="U25" s="142" t="str">
        <f t="shared" si="3"/>
        <v>WBA CM Ethernet&lt;=256 kbps/&lt;=256 kbpsaddnational</v>
      </c>
      <c r="W25" s="160">
        <f>MATCH($J25,'Tarieven ZM'!$B:$B,0)</f>
        <v>82</v>
      </c>
      <c r="X25" s="148">
        <f>INDEX('Tarieven ZM'!$H:$H,$W25)</f>
        <v>1000</v>
      </c>
      <c r="Y25" s="161">
        <f>-INDEX(Parameters!$B:$B,MATCH(Y$3,Parameters!$A:$A,0))*$X25</f>
        <v>0</v>
      </c>
      <c r="Z25" s="149">
        <f>-INDEX(Parameters!$B:$B,MATCH(Z$3,Parameters!$A:$A,0))*$X25</f>
        <v>0</v>
      </c>
      <c r="AA25" s="148">
        <f t="shared" si="4"/>
        <v>1000</v>
      </c>
      <c r="AB25" s="148">
        <f>AA25/INDEX(Parameters!$B:$B,MATCH("AfschrijftermijnVVE"&amp;12*$C25,Parameters!$A:$A,0))</f>
        <v>27.777777777777779</v>
      </c>
      <c r="AC25" s="148">
        <f>INDEX('Tarieven ZM'!$G:$G,$W25)</f>
        <v>1000</v>
      </c>
      <c r="AD25" s="161">
        <f>-INDEX(Parameters!$B:$B,MATCH(AD$3,Parameters!$A:$A,0))*$AC25</f>
        <v>0</v>
      </c>
      <c r="AE25" s="161">
        <f>-INDEX(Parameters!$B:$B,MATCH(AE$3,Parameters!$A:$A,0))*$AC25</f>
        <v>0</v>
      </c>
      <c r="AF25" s="148">
        <f t="shared" si="5"/>
        <v>1000</v>
      </c>
      <c r="AG25" s="151">
        <f t="shared" si="6"/>
        <v>1027.7777777777778</v>
      </c>
      <c r="AH25" s="123"/>
      <c r="AI25" s="147">
        <f>IF(R25&lt;&gt;"n.a.",MATCH($U25,'Tarieven W&amp;O'!$B:$B,0),"nvt")</f>
        <v>134</v>
      </c>
      <c r="AJ25" s="148">
        <f>IF(AI25&lt;&gt;"nvt",INDEX('Tarieven W&amp;O'!$H:$H,$AI25),0)</f>
        <v>0</v>
      </c>
      <c r="AK25" s="148">
        <f>IF(AI25&lt;&gt;"nvt",INDEX('Tarieven W&amp;O'!$I:$I,$AI25),0)</f>
        <v>5</v>
      </c>
      <c r="AL25" s="277">
        <f>IF(AI25&lt;&gt;"nvt",-INDEX(Parameters!$B:$B,MATCH(AL$3&amp;$M25,Parameters!$A:$A,0))*(AJ25+AK25),0)</f>
        <v>0</v>
      </c>
      <c r="AM25" s="442"/>
      <c r="AN25" s="179">
        <f t="shared" si="7"/>
        <v>5</v>
      </c>
      <c r="AO25" s="262">
        <f>AN25/INDEX(Parameters!$B:$B,MATCH("AfschrijftermijnVVE"&amp;12*$C25,Parameters!$A:$A,0))</f>
        <v>0.1388888888888889</v>
      </c>
      <c r="AP25" s="179">
        <f t="shared" si="8"/>
        <v>134</v>
      </c>
      <c r="AQ25" s="202">
        <f>IF(AP25&lt;&gt;"nvt",INDEX('Tarieven W&amp;O'!$G:$G,$AP25),0)</f>
        <v>1E-4</v>
      </c>
      <c r="AR25" s="463">
        <f>-INDEX(Parameters!$B:$B,MATCH(AR$3&amp;$M25&amp;O25,Parameters!$A:$A,0))*(AQ25)</f>
        <v>0</v>
      </c>
      <c r="AS25" s="262">
        <v>0</v>
      </c>
      <c r="AT25" s="442">
        <f>IF(M25="WBA CM Ethernet",0,'EDC Minus'!$H$27)</f>
        <v>0</v>
      </c>
      <c r="AU25" s="202">
        <f t="shared" si="9"/>
        <v>1E-4</v>
      </c>
      <c r="AV25" s="202">
        <f t="shared" si="10"/>
        <v>0.13898888888888888</v>
      </c>
      <c r="AW25" s="202"/>
      <c r="AX25" s="202">
        <f>Parameters!$B$6*AV25</f>
        <v>1.3898888888888889E-3</v>
      </c>
      <c r="AY25" s="202">
        <v>0</v>
      </c>
      <c r="AZ25" s="202"/>
      <c r="BA25" s="150">
        <f t="shared" si="16"/>
        <v>1.3898888888888889E-3</v>
      </c>
      <c r="BB25" s="150"/>
      <c r="BC25" s="151">
        <f t="shared" si="17"/>
        <v>0.14037877777777777</v>
      </c>
      <c r="BD25" s="123"/>
      <c r="BE25" s="140">
        <f t="shared" si="11"/>
        <v>1027.637399</v>
      </c>
      <c r="BF25" s="141">
        <f t="shared" si="12"/>
        <v>0.99986341524324318</v>
      </c>
      <c r="BG25" s="142" t="b">
        <f t="shared" si="13"/>
        <v>0</v>
      </c>
      <c r="BH25" s="148"/>
      <c r="BI25" s="188" t="s">
        <v>539</v>
      </c>
      <c r="BJ25" s="189"/>
      <c r="BK25">
        <f>VLOOKUP(J25,'Tarieven ZM'!$B$7:$I$146,8,0)</f>
        <v>0</v>
      </c>
      <c r="BL25" s="179" t="str">
        <f>INDEX(Mapping!$M:$M,MATCH($J25,Mapping!$B:$B,0))</f>
        <v>nvt</v>
      </c>
      <c r="BM25" s="282">
        <v>0</v>
      </c>
      <c r="BN25" s="262">
        <f>BM25/INDEX(Parameters!$B:$B,MATCH("AfschrijftermijnVVE"&amp;12*$C25,Parameters!$A:$A,0))</f>
        <v>0</v>
      </c>
      <c r="BO25" s="262">
        <f>AS25+INDEX('inkoop ULL tbv Epacity'!I:I,MATCH($BL25,'inkoop ULL tbv Epacity'!H:H,0))</f>
        <v>0</v>
      </c>
      <c r="BP25" s="263">
        <f t="shared" si="18"/>
        <v>0</v>
      </c>
      <c r="BQ25" s="203"/>
      <c r="BR25" s="262">
        <f>Parameters!$B$12*AG25</f>
        <v>102.77777777777779</v>
      </c>
      <c r="BS25" s="262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SUM(Distributievergoedingen!$F$12,Distributievergoedingen!$I$12,Distributievergoedingen!$L$12,Distributievergoedingen!$O$12)*AF25+SUM(Distributievergoedingen!$O$12*AA25+Distributievergoedingen!$R$12+Distributievergoedingen!$U$12+Distributievergoedingen!$X$12)/(MAX(36,12*L25))</f>
        <v>112.77777777777777</v>
      </c>
      <c r="BT25" s="262"/>
      <c r="BU25" s="150">
        <f t="shared" si="19"/>
        <v>215.55555555555554</v>
      </c>
      <c r="BW25" s="151">
        <f t="shared" si="20"/>
        <v>215.55555555555554</v>
      </c>
      <c r="BY25" s="140">
        <f t="shared" si="21"/>
        <v>812.22222222222229</v>
      </c>
      <c r="BZ25" s="141">
        <f t="shared" si="22"/>
        <v>0.7902702702702703</v>
      </c>
      <c r="CA25" s="142" t="b">
        <f t="shared" si="23"/>
        <v>0</v>
      </c>
    </row>
    <row r="26" spans="1:79">
      <c r="A26" s="160" t="str">
        <f t="shared" si="14"/>
        <v>1SA IPVPNAddnationaal256/256</v>
      </c>
      <c r="B26" s="142" t="str">
        <f t="shared" si="15"/>
        <v>1SA IPVPN256/256Add</v>
      </c>
      <c r="C26" s="198">
        <v>1</v>
      </c>
      <c r="D26" s="198" t="s">
        <v>93</v>
      </c>
      <c r="E26" s="198" t="s">
        <v>103</v>
      </c>
      <c r="F26" s="198" t="s">
        <v>115</v>
      </c>
      <c r="G26" s="199" t="s">
        <v>113</v>
      </c>
      <c r="H26" s="198" t="s">
        <v>48</v>
      </c>
      <c r="J26" s="142" t="str">
        <f t="shared" si="2"/>
        <v>SA IPVPN256/256Add</v>
      </c>
      <c r="L26" s="160">
        <f>INDEX(Mapping!$J:$J,MATCH(C$3&amp;C26,Mapping!$B:$B,0))</f>
        <v>1</v>
      </c>
      <c r="M26" s="179" t="str">
        <f>INDEX(Mapping!$H:$H,MATCH(D26&amp;H26&amp;$E26,Mapping!$B:$B,0))</f>
        <v>WBA CM Ethernet</v>
      </c>
      <c r="N26" s="179" t="str">
        <f>INDEX(Mapping!$J:$J,MATCH(D26&amp;H26&amp;$E26,Mapping!$B:$B,0))</f>
        <v>add</v>
      </c>
      <c r="O26" s="179" t="str">
        <f>INDEX(Mapping!$I:$I,MATCH($D26,Mapping!$B:$B,0))</f>
        <v>FttH</v>
      </c>
      <c r="P26" s="179" t="str">
        <f>INDEX(Mapping!$H:$H,MATCH($F26,Mapping!$B:$B,0))</f>
        <v>nvt</v>
      </c>
      <c r="Q26" s="283" t="str">
        <f>INDEX(Mapping!$K:$K,MATCH($D26&amp;$H26&amp;E26,Mapping!$B:$B,0))</f>
        <v>national</v>
      </c>
      <c r="R26" s="179" t="str">
        <f>INDEX(Mapping!$I:$I,MATCH(D26&amp;H26&amp;$E26,Mapping!$B:$B,0))</f>
        <v>&lt;=256 kbps/&lt;=256 kbps</v>
      </c>
      <c r="S26" s="203"/>
      <c r="T26" s="283" t="str">
        <f>INDEX(Mapping!$L:$L,MATCH($D26&amp;$H26&amp;E26,Mapping!$B:$B,0))</f>
        <v>nvt</v>
      </c>
      <c r="U26" s="142" t="str">
        <f t="shared" si="3"/>
        <v>WBA CM Ethernet&lt;=256 kbps/&lt;=256 kbpsaddnational</v>
      </c>
      <c r="W26" s="160">
        <f>MATCH($J26,'Tarieven ZM'!$B:$B,0)</f>
        <v>83</v>
      </c>
      <c r="X26" s="148">
        <f>INDEX('Tarieven ZM'!$H:$H,$W26)</f>
        <v>1000</v>
      </c>
      <c r="Y26" s="161">
        <f>-INDEX(Parameters!$B:$B,MATCH(Y$3,Parameters!$A:$A,0))*$X26</f>
        <v>0</v>
      </c>
      <c r="Z26" s="149">
        <f>-INDEX(Parameters!$B:$B,MATCH(Z$3,Parameters!$A:$A,0))*$X26</f>
        <v>0</v>
      </c>
      <c r="AA26" s="148">
        <f t="shared" si="4"/>
        <v>1000</v>
      </c>
      <c r="AB26" s="148">
        <f>AA26/INDEX(Parameters!$B:$B,MATCH("AfschrijftermijnVVE"&amp;12*$C26,Parameters!$A:$A,0))</f>
        <v>27.777777777777779</v>
      </c>
      <c r="AC26" s="148">
        <f>INDEX('Tarieven ZM'!$G:$G,$W26)</f>
        <v>1000</v>
      </c>
      <c r="AD26" s="161">
        <f>-INDEX(Parameters!$B:$B,MATCH(AD$3,Parameters!$A:$A,0))*$AC26</f>
        <v>0</v>
      </c>
      <c r="AE26" s="161">
        <f>-INDEX(Parameters!$B:$B,MATCH(AE$3,Parameters!$A:$A,0))*$AC26</f>
        <v>0</v>
      </c>
      <c r="AF26" s="148">
        <f t="shared" si="5"/>
        <v>1000</v>
      </c>
      <c r="AG26" s="151">
        <f t="shared" si="6"/>
        <v>1027.7777777777778</v>
      </c>
      <c r="AH26" s="123"/>
      <c r="AI26" s="147">
        <f>IF(R26&lt;&gt;"n.a.",MATCH($U26,'Tarieven W&amp;O'!$B:$B,0),"nvt")</f>
        <v>134</v>
      </c>
      <c r="AJ26" s="148">
        <f>IF(AI26&lt;&gt;"nvt",INDEX('Tarieven W&amp;O'!$H:$H,$AI26),0)</f>
        <v>0</v>
      </c>
      <c r="AK26" s="148">
        <f>IF(AI26&lt;&gt;"nvt",INDEX('Tarieven W&amp;O'!$I:$I,$AI26),0)</f>
        <v>5</v>
      </c>
      <c r="AL26" s="277">
        <f>IF(AI26&lt;&gt;"nvt",-INDEX(Parameters!$B:$B,MATCH(AL$3&amp;$M26,Parameters!$A:$A,0))*(AJ26+AK26),0)</f>
        <v>0</v>
      </c>
      <c r="AM26" s="442"/>
      <c r="AN26" s="179">
        <f t="shared" si="7"/>
        <v>5</v>
      </c>
      <c r="AO26" s="262">
        <f>AN26/INDEX(Parameters!$B:$B,MATCH("AfschrijftermijnVVE"&amp;12*$C26,Parameters!$A:$A,0))</f>
        <v>0.1388888888888889</v>
      </c>
      <c r="AP26" s="179">
        <f t="shared" si="8"/>
        <v>134</v>
      </c>
      <c r="AQ26" s="202">
        <f>IF(AP26&lt;&gt;"nvt",INDEX('Tarieven W&amp;O'!$G:$G,$AP26),0)</f>
        <v>1E-4</v>
      </c>
      <c r="AR26" s="463">
        <f>-INDEX(Parameters!$B:$B,MATCH(AR$3&amp;$M26&amp;O26,Parameters!$A:$A,0))*(AQ26)</f>
        <v>0</v>
      </c>
      <c r="AS26" s="262">
        <v>0</v>
      </c>
      <c r="AT26" s="442">
        <f>IF(M26="WBA CM Ethernet",0,'EDC Minus'!$H$27)</f>
        <v>0</v>
      </c>
      <c r="AU26" s="202">
        <f t="shared" si="9"/>
        <v>1E-4</v>
      </c>
      <c r="AV26" s="202">
        <f t="shared" si="10"/>
        <v>0.13898888888888888</v>
      </c>
      <c r="AW26" s="202"/>
      <c r="AX26" s="202">
        <f>Parameters!$B$6*AV26</f>
        <v>1.3898888888888889E-3</v>
      </c>
      <c r="AY26" s="202">
        <v>0</v>
      </c>
      <c r="AZ26" s="202"/>
      <c r="BA26" s="150">
        <f t="shared" si="16"/>
        <v>1.3898888888888889E-3</v>
      </c>
      <c r="BB26" s="150"/>
      <c r="BC26" s="151">
        <f t="shared" si="17"/>
        <v>0.14037877777777777</v>
      </c>
      <c r="BD26" s="123"/>
      <c r="BE26" s="140">
        <f t="shared" si="11"/>
        <v>1027.637399</v>
      </c>
      <c r="BF26" s="141">
        <f t="shared" si="12"/>
        <v>0.99986341524324318</v>
      </c>
      <c r="BG26" s="142" t="b">
        <f t="shared" si="13"/>
        <v>0</v>
      </c>
      <c r="BH26" s="148"/>
      <c r="BI26" s="188" t="s">
        <v>539</v>
      </c>
      <c r="BJ26" s="189"/>
      <c r="BK26">
        <f>VLOOKUP(J26,'Tarieven ZM'!$B$7:$I$146,8,0)</f>
        <v>0</v>
      </c>
      <c r="BL26" s="179" t="str">
        <f>INDEX(Mapping!$M:$M,MATCH($J26,Mapping!$B:$B,0))</f>
        <v>nvt</v>
      </c>
      <c r="BM26" s="282">
        <v>0</v>
      </c>
      <c r="BN26" s="262">
        <f>BM26/INDEX(Parameters!$B:$B,MATCH("AfschrijftermijnVVE"&amp;12*$C26,Parameters!$A:$A,0))</f>
        <v>0</v>
      </c>
      <c r="BO26" s="262">
        <f>AS26+INDEX('inkoop ULL tbv Epacity'!I:I,MATCH($BL26,'inkoop ULL tbv Epacity'!H:H,0))</f>
        <v>0</v>
      </c>
      <c r="BP26" s="263">
        <f t="shared" si="18"/>
        <v>0</v>
      </c>
      <c r="BQ26" s="203"/>
      <c r="BR26" s="262">
        <f>Parameters!$B$12*AG26</f>
        <v>102.77777777777779</v>
      </c>
      <c r="BS26" s="262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SUM(Distributievergoedingen!$F$12,Distributievergoedingen!$I$12,Distributievergoedingen!$L$12,Distributievergoedingen!$O$12)*AF26+SUM(Distributievergoedingen!$O$12*AA26+Distributievergoedingen!$R$12+Distributievergoedingen!$U$12+Distributievergoedingen!$X$12)/(MAX(36,12*L26))</f>
        <v>112.77777777777777</v>
      </c>
      <c r="BT26" s="262"/>
      <c r="BU26" s="150">
        <f t="shared" si="19"/>
        <v>215.55555555555554</v>
      </c>
      <c r="BW26" s="151">
        <f t="shared" si="20"/>
        <v>215.55555555555554</v>
      </c>
      <c r="BY26" s="140">
        <f t="shared" si="21"/>
        <v>812.22222222222229</v>
      </c>
      <c r="BZ26" s="141">
        <f t="shared" si="22"/>
        <v>0.7902702702702703</v>
      </c>
      <c r="CA26" s="142" t="b">
        <f t="shared" si="23"/>
        <v>0</v>
      </c>
    </row>
    <row r="27" spans="1:79">
      <c r="A27" s="160" t="str">
        <f t="shared" si="14"/>
        <v>1SA IPVPNAddnationaal448/448</v>
      </c>
      <c r="B27" s="142" t="str">
        <f t="shared" si="15"/>
        <v>1SA IPVPN448/448Add</v>
      </c>
      <c r="C27" s="198">
        <v>1</v>
      </c>
      <c r="D27" s="198" t="s">
        <v>93</v>
      </c>
      <c r="E27" s="198" t="s">
        <v>103</v>
      </c>
      <c r="F27" s="198" t="s">
        <v>115</v>
      </c>
      <c r="G27" s="199" t="s">
        <v>113</v>
      </c>
      <c r="H27" s="198" t="s">
        <v>79</v>
      </c>
      <c r="J27" s="142" t="str">
        <f t="shared" si="2"/>
        <v>SA IPVPN448/448Add</v>
      </c>
      <c r="L27" s="160">
        <f>INDEX(Mapping!$J:$J,MATCH(C$3&amp;C27,Mapping!$B:$B,0))</f>
        <v>1</v>
      </c>
      <c r="M27" s="179" t="str">
        <f>INDEX(Mapping!$H:$H,MATCH(D27&amp;H27&amp;$E27,Mapping!$B:$B,0))</f>
        <v>WBA ZM Ethernet</v>
      </c>
      <c r="N27" s="179" t="str">
        <f>INDEX(Mapping!$J:$J,MATCH(D27&amp;H27&amp;$E27,Mapping!$B:$B,0))</f>
        <v>premium</v>
      </c>
      <c r="O27" s="179" t="str">
        <f>INDEX(Mapping!$I:$I,MATCH($D27,Mapping!$B:$B,0))</f>
        <v>FttH</v>
      </c>
      <c r="P27" s="179" t="str">
        <f>INDEX(Mapping!$H:$H,MATCH($F27,Mapping!$B:$B,0))</f>
        <v>nvt</v>
      </c>
      <c r="Q27" s="283" t="str">
        <f>INDEX(Mapping!$K:$K,MATCH($D27&amp;$H27&amp;E27,Mapping!$B:$B,0))</f>
        <v>metro</v>
      </c>
      <c r="R27" s="179" t="str">
        <f>INDEX(Mapping!$I:$I,MATCH(D27&amp;H27&amp;$E27,Mapping!$B:$B,0))</f>
        <v>1 Mbps/1 Mbps</v>
      </c>
      <c r="S27" s="203"/>
      <c r="T27" s="283" t="str">
        <f>INDEX(Mapping!$L:$L,MATCH($D27&amp;$H27&amp;E27,Mapping!$B:$B,0))</f>
        <v>metro-nationaal</v>
      </c>
      <c r="U27" s="142" t="str">
        <f t="shared" si="3"/>
        <v>WBA ZM Ethernet1 Mbps/1 Mbpspremiummetro</v>
      </c>
      <c r="W27" s="160">
        <f>MATCH($J27,'Tarieven ZM'!$B:$B,0)</f>
        <v>84</v>
      </c>
      <c r="X27" s="148">
        <f>INDEX('Tarieven ZM'!$H:$H,$W27)</f>
        <v>1000</v>
      </c>
      <c r="Y27" s="161">
        <f>-INDEX(Parameters!$B:$B,MATCH(Y$3,Parameters!$A:$A,0))*$X27</f>
        <v>0</v>
      </c>
      <c r="Z27" s="149">
        <f>-INDEX(Parameters!$B:$B,MATCH(Z$3,Parameters!$A:$A,0))*$X27</f>
        <v>0</v>
      </c>
      <c r="AA27" s="148">
        <f t="shared" si="4"/>
        <v>1000</v>
      </c>
      <c r="AB27" s="148">
        <f>AA27/INDEX(Parameters!$B:$B,MATCH("AfschrijftermijnVVE"&amp;12*$C27,Parameters!$A:$A,0))</f>
        <v>27.777777777777779</v>
      </c>
      <c r="AC27" s="148">
        <f>INDEX('Tarieven ZM'!$G:$G,$W27)</f>
        <v>1000</v>
      </c>
      <c r="AD27" s="161">
        <f>-INDEX(Parameters!$B:$B,MATCH(AD$3,Parameters!$A:$A,0))*$AC27</f>
        <v>0</v>
      </c>
      <c r="AE27" s="161">
        <f>-INDEX(Parameters!$B:$B,MATCH(AE$3,Parameters!$A:$A,0))*$AC27</f>
        <v>0</v>
      </c>
      <c r="AF27" s="148">
        <f t="shared" si="5"/>
        <v>1000</v>
      </c>
      <c r="AG27" s="151">
        <f t="shared" si="6"/>
        <v>1027.7777777777778</v>
      </c>
      <c r="AH27" s="123"/>
      <c r="AI27" s="147">
        <f>IF(R27&lt;&gt;"n.a.",MATCH($U27,'Tarieven W&amp;O'!$B:$B,0),"nvt")</f>
        <v>138</v>
      </c>
      <c r="AJ27" s="148">
        <f>IF(AI27&lt;&gt;"nvt",INDEX('Tarieven W&amp;O'!$H:$H,$AI27),0)</f>
        <v>0</v>
      </c>
      <c r="AK27" s="148">
        <f>IF(AI27&lt;&gt;"nvt",INDEX('Tarieven W&amp;O'!$I:$I,$AI27),0)</f>
        <v>5</v>
      </c>
      <c r="AL27" s="277">
        <f>IF(AI27&lt;&gt;"nvt",-INDEX(Parameters!$B:$B,MATCH(AL$3&amp;$M27,Parameters!$A:$A,0))*(AJ27+AK27),0)</f>
        <v>0</v>
      </c>
      <c r="AM27" s="442"/>
      <c r="AN27" s="179">
        <f t="shared" si="7"/>
        <v>5</v>
      </c>
      <c r="AO27" s="262">
        <f>AN27/INDEX(Parameters!$B:$B,MATCH("AfschrijftermijnVVE"&amp;12*$C27,Parameters!$A:$A,0))</f>
        <v>0.1388888888888889</v>
      </c>
      <c r="AP27" s="179">
        <f t="shared" si="8"/>
        <v>138</v>
      </c>
      <c r="AQ27" s="202">
        <f>IF(AP27&lt;&gt;"nvt",INDEX('Tarieven W&amp;O'!$G:$G,$AP27),0)</f>
        <v>7.41</v>
      </c>
      <c r="AR27" s="463">
        <f>-INDEX(Parameters!$B:$B,MATCH(AR$3&amp;$M27&amp;O27,Parameters!$A:$A,0))*(AQ27)</f>
        <v>0</v>
      </c>
      <c r="AS27" s="262">
        <v>0</v>
      </c>
      <c r="AT27" s="442">
        <f>IF(M27="WBA CM Ethernet",0,'EDC Minus'!$H$27)</f>
        <v>1</v>
      </c>
      <c r="AU27" s="202">
        <f t="shared" si="9"/>
        <v>8.41</v>
      </c>
      <c r="AV27" s="202">
        <f t="shared" si="10"/>
        <v>8.5488888888888894</v>
      </c>
      <c r="AW27" s="202"/>
      <c r="AX27" s="202">
        <f>Parameters!$B$6*AV27</f>
        <v>8.5488888888888892E-2</v>
      </c>
      <c r="AY27" s="202">
        <v>0</v>
      </c>
      <c r="AZ27" s="202"/>
      <c r="BA27" s="150">
        <f t="shared" si="16"/>
        <v>8.5488888888888892E-2</v>
      </c>
      <c r="BB27" s="150"/>
      <c r="BC27" s="151">
        <f t="shared" si="17"/>
        <v>8.6343777777777788</v>
      </c>
      <c r="BD27" s="123"/>
      <c r="BE27" s="140">
        <f t="shared" si="11"/>
        <v>1019.1434</v>
      </c>
      <c r="BF27" s="141">
        <f t="shared" si="12"/>
        <v>0.99159898378378375</v>
      </c>
      <c r="BG27" s="142" t="b">
        <f t="shared" si="13"/>
        <v>0</v>
      </c>
      <c r="BH27" s="148"/>
      <c r="BI27" s="188" t="s">
        <v>539</v>
      </c>
      <c r="BJ27" s="189"/>
      <c r="BK27">
        <f>VLOOKUP(J27,'Tarieven ZM'!$B$7:$I$146,8,0)</f>
        <v>0</v>
      </c>
      <c r="BL27" s="179" t="str">
        <f>INDEX(Mapping!$M:$M,MATCH($J27,Mapping!$B:$B,0))</f>
        <v>nvt</v>
      </c>
      <c r="BM27" s="282">
        <v>0</v>
      </c>
      <c r="BN27" s="262">
        <f>BM27/INDEX(Parameters!$B:$B,MATCH("AfschrijftermijnVVE"&amp;12*$C27,Parameters!$A:$A,0))</f>
        <v>0</v>
      </c>
      <c r="BO27" s="262">
        <f>AS27+INDEX('inkoop ULL tbv Epacity'!I:I,MATCH($BL27,'inkoop ULL tbv Epacity'!H:H,0))</f>
        <v>0</v>
      </c>
      <c r="BP27" s="263">
        <f t="shared" si="18"/>
        <v>0</v>
      </c>
      <c r="BQ27" s="203"/>
      <c r="BR27" s="262">
        <f>Parameters!$B$12*AG27</f>
        <v>102.77777777777779</v>
      </c>
      <c r="BS27" s="262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SUM(Distributievergoedingen!$F$12,Distributievergoedingen!$I$12,Distributievergoedingen!$L$12,Distributievergoedingen!$O$12)*AF27+SUM(Distributievergoedingen!$O$12*AA27+Distributievergoedingen!$R$12+Distributievergoedingen!$U$12+Distributievergoedingen!$X$12)/(MAX(36,12*L27))</f>
        <v>112.77777777777777</v>
      </c>
      <c r="BT27" s="262"/>
      <c r="BU27" s="150">
        <f t="shared" si="19"/>
        <v>215.55555555555554</v>
      </c>
      <c r="BW27" s="151">
        <f t="shared" si="20"/>
        <v>215.55555555555554</v>
      </c>
      <c r="BY27" s="140">
        <f t="shared" si="21"/>
        <v>812.22222222222229</v>
      </c>
      <c r="BZ27" s="141">
        <f t="shared" si="22"/>
        <v>0.7902702702702703</v>
      </c>
      <c r="CA27" s="142" t="b">
        <f t="shared" si="23"/>
        <v>0</v>
      </c>
    </row>
    <row r="28" spans="1:79">
      <c r="A28" s="160" t="str">
        <f t="shared" si="14"/>
        <v>1SA IPVPNAddnationaal640/640</v>
      </c>
      <c r="B28" s="142" t="str">
        <f t="shared" si="15"/>
        <v>1SA IPVPN640/640Add</v>
      </c>
      <c r="C28" s="198">
        <v>1</v>
      </c>
      <c r="D28" s="198" t="s">
        <v>93</v>
      </c>
      <c r="E28" s="198" t="s">
        <v>103</v>
      </c>
      <c r="F28" s="198" t="s">
        <v>115</v>
      </c>
      <c r="G28" s="199" t="s">
        <v>113</v>
      </c>
      <c r="H28" s="198" t="s">
        <v>80</v>
      </c>
      <c r="J28" s="142" t="str">
        <f t="shared" si="2"/>
        <v>SA IPVPN640/640Add</v>
      </c>
      <c r="L28" s="160">
        <f>INDEX(Mapping!$J:$J,MATCH(C$3&amp;C28,Mapping!$B:$B,0))</f>
        <v>1</v>
      </c>
      <c r="M28" s="179" t="str">
        <f>INDEX(Mapping!$H:$H,MATCH(D28&amp;H28&amp;$E28,Mapping!$B:$B,0))</f>
        <v>WBA ZM Ethernet</v>
      </c>
      <c r="N28" s="179" t="str">
        <f>INDEX(Mapping!$J:$J,MATCH(D28&amp;H28&amp;$E28,Mapping!$B:$B,0))</f>
        <v>premium</v>
      </c>
      <c r="O28" s="179" t="str">
        <f>INDEX(Mapping!$I:$I,MATCH($D28,Mapping!$B:$B,0))</f>
        <v>FttH</v>
      </c>
      <c r="P28" s="179" t="str">
        <f>INDEX(Mapping!$H:$H,MATCH($F28,Mapping!$B:$B,0))</f>
        <v>nvt</v>
      </c>
      <c r="Q28" s="283" t="str">
        <f>INDEX(Mapping!$K:$K,MATCH($D28&amp;$H28&amp;E28,Mapping!$B:$B,0))</f>
        <v>metro</v>
      </c>
      <c r="R28" s="179" t="str">
        <f>INDEX(Mapping!$I:$I,MATCH(D28&amp;H28&amp;$E28,Mapping!$B:$B,0))</f>
        <v>1 Mbps/1 Mbps</v>
      </c>
      <c r="S28" s="203"/>
      <c r="T28" s="283" t="str">
        <f>INDEX(Mapping!$L:$L,MATCH($D28&amp;$H28&amp;E28,Mapping!$B:$B,0))</f>
        <v>metro-nationaal</v>
      </c>
      <c r="U28" s="142" t="str">
        <f t="shared" si="3"/>
        <v>WBA ZM Ethernet1 Mbps/1 Mbpspremiummetro</v>
      </c>
      <c r="W28" s="160">
        <f>MATCH($J28,'Tarieven ZM'!$B:$B,0)</f>
        <v>85</v>
      </c>
      <c r="X28" s="148">
        <f>INDEX('Tarieven ZM'!$H:$H,$W28)</f>
        <v>1000</v>
      </c>
      <c r="Y28" s="161">
        <f>-INDEX(Parameters!$B:$B,MATCH(Y$3,Parameters!$A:$A,0))*$X28</f>
        <v>0</v>
      </c>
      <c r="Z28" s="149">
        <f>-INDEX(Parameters!$B:$B,MATCH(Z$3,Parameters!$A:$A,0))*$X28</f>
        <v>0</v>
      </c>
      <c r="AA28" s="148">
        <f t="shared" si="4"/>
        <v>1000</v>
      </c>
      <c r="AB28" s="148">
        <f>AA28/INDEX(Parameters!$B:$B,MATCH("AfschrijftermijnVVE"&amp;12*$C28,Parameters!$A:$A,0))</f>
        <v>27.777777777777779</v>
      </c>
      <c r="AC28" s="148">
        <f>INDEX('Tarieven ZM'!$G:$G,$W28)</f>
        <v>1000</v>
      </c>
      <c r="AD28" s="161">
        <f>-INDEX(Parameters!$B:$B,MATCH(AD$3,Parameters!$A:$A,0))*$AC28</f>
        <v>0</v>
      </c>
      <c r="AE28" s="161">
        <f>-INDEX(Parameters!$B:$B,MATCH(AE$3,Parameters!$A:$A,0))*$AC28</f>
        <v>0</v>
      </c>
      <c r="AF28" s="148">
        <f t="shared" si="5"/>
        <v>1000</v>
      </c>
      <c r="AG28" s="151">
        <f t="shared" si="6"/>
        <v>1027.7777777777778</v>
      </c>
      <c r="AH28" s="123"/>
      <c r="AI28" s="147">
        <f>IF(R28&lt;&gt;"n.a.",MATCH($U28,'Tarieven W&amp;O'!$B:$B,0),"nvt")</f>
        <v>138</v>
      </c>
      <c r="AJ28" s="148">
        <f>IF(AI28&lt;&gt;"nvt",INDEX('Tarieven W&amp;O'!$H:$H,$AI28),0)</f>
        <v>0</v>
      </c>
      <c r="AK28" s="148">
        <f>IF(AI28&lt;&gt;"nvt",INDEX('Tarieven W&amp;O'!$I:$I,$AI28),0)</f>
        <v>5</v>
      </c>
      <c r="AL28" s="277">
        <f>IF(AI28&lt;&gt;"nvt",-INDEX(Parameters!$B:$B,MATCH(AL$3&amp;$M28,Parameters!$A:$A,0))*(AJ28+AK28),0)</f>
        <v>0</v>
      </c>
      <c r="AM28" s="442"/>
      <c r="AN28" s="179">
        <f t="shared" si="7"/>
        <v>5</v>
      </c>
      <c r="AO28" s="262">
        <f>AN28/INDEX(Parameters!$B:$B,MATCH("AfschrijftermijnVVE"&amp;12*$C28,Parameters!$A:$A,0))</f>
        <v>0.1388888888888889</v>
      </c>
      <c r="AP28" s="179">
        <f t="shared" si="8"/>
        <v>138</v>
      </c>
      <c r="AQ28" s="202">
        <f>IF(AP28&lt;&gt;"nvt",INDEX('Tarieven W&amp;O'!$G:$G,$AP28),0)</f>
        <v>7.41</v>
      </c>
      <c r="AR28" s="463">
        <f>-INDEX(Parameters!$B:$B,MATCH(AR$3&amp;$M28&amp;O28,Parameters!$A:$A,0))*(AQ28)</f>
        <v>0</v>
      </c>
      <c r="AS28" s="262">
        <v>0</v>
      </c>
      <c r="AT28" s="442">
        <f>IF(M28="WBA CM Ethernet",0,'EDC Minus'!$H$27)</f>
        <v>1</v>
      </c>
      <c r="AU28" s="202">
        <f t="shared" si="9"/>
        <v>8.41</v>
      </c>
      <c r="AV28" s="202">
        <f t="shared" si="10"/>
        <v>8.5488888888888894</v>
      </c>
      <c r="AW28" s="202"/>
      <c r="AX28" s="202">
        <f>Parameters!$B$6*AV28</f>
        <v>8.5488888888888892E-2</v>
      </c>
      <c r="AY28" s="202">
        <v>0</v>
      </c>
      <c r="AZ28" s="202"/>
      <c r="BA28" s="150">
        <f t="shared" si="16"/>
        <v>8.5488888888888892E-2</v>
      </c>
      <c r="BB28" s="150"/>
      <c r="BC28" s="151">
        <f t="shared" si="17"/>
        <v>8.6343777777777788</v>
      </c>
      <c r="BD28" s="123"/>
      <c r="BE28" s="140">
        <f t="shared" si="11"/>
        <v>1019.1434</v>
      </c>
      <c r="BF28" s="141">
        <f t="shared" si="12"/>
        <v>0.99159898378378375</v>
      </c>
      <c r="BG28" s="142" t="b">
        <f t="shared" si="13"/>
        <v>0</v>
      </c>
      <c r="BH28" s="148"/>
      <c r="BI28" s="188" t="s">
        <v>539</v>
      </c>
      <c r="BJ28" s="189"/>
      <c r="BK28">
        <f>VLOOKUP(J28,'Tarieven ZM'!$B$7:$I$146,8,0)</f>
        <v>0</v>
      </c>
      <c r="BL28" s="179" t="str">
        <f>INDEX(Mapping!$M:$M,MATCH($J28,Mapping!$B:$B,0))</f>
        <v>nvt</v>
      </c>
      <c r="BM28" s="282">
        <v>0</v>
      </c>
      <c r="BN28" s="262">
        <f>BM28/INDEX(Parameters!$B:$B,MATCH("AfschrijftermijnVVE"&amp;12*$C28,Parameters!$A:$A,0))</f>
        <v>0</v>
      </c>
      <c r="BO28" s="262">
        <f>AS28+INDEX('inkoop ULL tbv Epacity'!I:I,MATCH($BL28,'inkoop ULL tbv Epacity'!H:H,0))</f>
        <v>0</v>
      </c>
      <c r="BP28" s="263">
        <f t="shared" si="18"/>
        <v>0</v>
      </c>
      <c r="BQ28" s="203"/>
      <c r="BR28" s="262">
        <f>Parameters!$B$12*AG28</f>
        <v>102.77777777777779</v>
      </c>
      <c r="BS28" s="262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SUM(Distributievergoedingen!$F$12,Distributievergoedingen!$I$12,Distributievergoedingen!$L$12,Distributievergoedingen!$O$12)*AF28+SUM(Distributievergoedingen!$O$12*AA28+Distributievergoedingen!$R$12+Distributievergoedingen!$U$12+Distributievergoedingen!$X$12)/(MAX(36,12*L28))</f>
        <v>112.77777777777777</v>
      </c>
      <c r="BT28" s="262"/>
      <c r="BU28" s="150">
        <f t="shared" si="19"/>
        <v>215.55555555555554</v>
      </c>
      <c r="BW28" s="151">
        <f t="shared" si="20"/>
        <v>215.55555555555554</v>
      </c>
      <c r="BY28" s="140">
        <f t="shared" si="21"/>
        <v>812.22222222222229</v>
      </c>
      <c r="BZ28" s="141">
        <f t="shared" si="22"/>
        <v>0.7902702702702703</v>
      </c>
      <c r="CA28" s="142" t="b">
        <f t="shared" si="23"/>
        <v>0</v>
      </c>
    </row>
    <row r="29" spans="1:79">
      <c r="A29" s="160" t="str">
        <f t="shared" si="14"/>
        <v>1SA IPVPNAddnationaal1024/1024</v>
      </c>
      <c r="B29" s="142" t="str">
        <f t="shared" si="15"/>
        <v>1SA IPVPN1024/1024Add</v>
      </c>
      <c r="C29" s="198">
        <v>1</v>
      </c>
      <c r="D29" s="198" t="s">
        <v>93</v>
      </c>
      <c r="E29" s="198" t="s">
        <v>103</v>
      </c>
      <c r="F29" s="198" t="s">
        <v>115</v>
      </c>
      <c r="G29" s="199" t="s">
        <v>113</v>
      </c>
      <c r="H29" s="198" t="s">
        <v>66</v>
      </c>
      <c r="J29" s="142" t="str">
        <f t="shared" si="2"/>
        <v>SA IPVPN1024/1024Add</v>
      </c>
      <c r="L29" s="160">
        <f>INDEX(Mapping!$J:$J,MATCH(C$3&amp;C29,Mapping!$B:$B,0))</f>
        <v>1</v>
      </c>
      <c r="M29" s="179" t="str">
        <f>INDEX(Mapping!$H:$H,MATCH(D29&amp;H29&amp;$E29,Mapping!$B:$B,0))</f>
        <v>WBA ZM Ethernet</v>
      </c>
      <c r="N29" s="179" t="str">
        <f>INDEX(Mapping!$J:$J,MATCH(D29&amp;H29&amp;$E29,Mapping!$B:$B,0))</f>
        <v>premium</v>
      </c>
      <c r="O29" s="179" t="str">
        <f>INDEX(Mapping!$I:$I,MATCH($D29,Mapping!$B:$B,0))</f>
        <v>FttH</v>
      </c>
      <c r="P29" s="179" t="str">
        <f>INDEX(Mapping!$H:$H,MATCH($F29,Mapping!$B:$B,0))</f>
        <v>nvt</v>
      </c>
      <c r="Q29" s="283" t="str">
        <f>INDEX(Mapping!$K:$K,MATCH($D29&amp;$H29&amp;E29,Mapping!$B:$B,0))</f>
        <v>metro</v>
      </c>
      <c r="R29" s="179" t="str">
        <f>INDEX(Mapping!$I:$I,MATCH(D29&amp;H29&amp;$E29,Mapping!$B:$B,0))</f>
        <v>1 Mbps/1 Mbps</v>
      </c>
      <c r="S29" s="203"/>
      <c r="T29" s="283" t="str">
        <f>INDEX(Mapping!$L:$L,MATCH($D29&amp;$H29&amp;E29,Mapping!$B:$B,0))</f>
        <v>metro-nationaal</v>
      </c>
      <c r="U29" s="142" t="str">
        <f t="shared" si="3"/>
        <v>WBA ZM Ethernet1 Mbps/1 Mbpspremiummetro</v>
      </c>
      <c r="W29" s="160">
        <f>MATCH($J29,'Tarieven ZM'!$B:$B,0)</f>
        <v>86</v>
      </c>
      <c r="X29" s="148">
        <f>INDEX('Tarieven ZM'!$H:$H,$W29)</f>
        <v>1000</v>
      </c>
      <c r="Y29" s="161">
        <f>-INDEX(Parameters!$B:$B,MATCH(Y$3,Parameters!$A:$A,0))*$X29</f>
        <v>0</v>
      </c>
      <c r="Z29" s="149">
        <f>-INDEX(Parameters!$B:$B,MATCH(Z$3,Parameters!$A:$A,0))*$X29</f>
        <v>0</v>
      </c>
      <c r="AA29" s="148">
        <f t="shared" si="4"/>
        <v>1000</v>
      </c>
      <c r="AB29" s="148">
        <f>AA29/INDEX(Parameters!$B:$B,MATCH("AfschrijftermijnVVE"&amp;12*$C29,Parameters!$A:$A,0))</f>
        <v>27.777777777777779</v>
      </c>
      <c r="AC29" s="148">
        <f>INDEX('Tarieven ZM'!$G:$G,$W29)</f>
        <v>1000</v>
      </c>
      <c r="AD29" s="161">
        <f>-INDEX(Parameters!$B:$B,MATCH(AD$3,Parameters!$A:$A,0))*$AC29</f>
        <v>0</v>
      </c>
      <c r="AE29" s="161">
        <f>-INDEX(Parameters!$B:$B,MATCH(AE$3,Parameters!$A:$A,0))*$AC29</f>
        <v>0</v>
      </c>
      <c r="AF29" s="148">
        <f t="shared" si="5"/>
        <v>1000</v>
      </c>
      <c r="AG29" s="151">
        <f t="shared" si="6"/>
        <v>1027.7777777777778</v>
      </c>
      <c r="AH29" s="123"/>
      <c r="AI29" s="147">
        <f>IF(R29&lt;&gt;"n.a.",MATCH($U29,'Tarieven W&amp;O'!$B:$B,0),"nvt")</f>
        <v>138</v>
      </c>
      <c r="AJ29" s="148">
        <f>IF(AI29&lt;&gt;"nvt",INDEX('Tarieven W&amp;O'!$H:$H,$AI29),0)</f>
        <v>0</v>
      </c>
      <c r="AK29" s="148">
        <f>IF(AI29&lt;&gt;"nvt",INDEX('Tarieven W&amp;O'!$I:$I,$AI29),0)</f>
        <v>5</v>
      </c>
      <c r="AL29" s="277">
        <f>IF(AI29&lt;&gt;"nvt",-INDEX(Parameters!$B:$B,MATCH(AL$3&amp;$M29,Parameters!$A:$A,0))*(AJ29+AK29),0)</f>
        <v>0</v>
      </c>
      <c r="AM29" s="442"/>
      <c r="AN29" s="179">
        <f t="shared" si="7"/>
        <v>5</v>
      </c>
      <c r="AO29" s="262">
        <f>AN29/INDEX(Parameters!$B:$B,MATCH("AfschrijftermijnVVE"&amp;12*$C29,Parameters!$A:$A,0))</f>
        <v>0.1388888888888889</v>
      </c>
      <c r="AP29" s="179">
        <f t="shared" si="8"/>
        <v>138</v>
      </c>
      <c r="AQ29" s="202">
        <f>IF(AP29&lt;&gt;"nvt",INDEX('Tarieven W&amp;O'!$G:$G,$AP29),0)</f>
        <v>7.41</v>
      </c>
      <c r="AR29" s="463">
        <f>-INDEX(Parameters!$B:$B,MATCH(AR$3&amp;$M29&amp;O29,Parameters!$A:$A,0))*(AQ29)</f>
        <v>0</v>
      </c>
      <c r="AS29" s="262">
        <v>0</v>
      </c>
      <c r="AT29" s="442">
        <f>IF(M29="WBA CM Ethernet",0,'EDC Minus'!$H$27)</f>
        <v>1</v>
      </c>
      <c r="AU29" s="202">
        <f t="shared" si="9"/>
        <v>8.41</v>
      </c>
      <c r="AV29" s="202">
        <f t="shared" si="10"/>
        <v>8.5488888888888894</v>
      </c>
      <c r="AW29" s="202"/>
      <c r="AX29" s="202">
        <f>Parameters!$B$6*AV29</f>
        <v>8.5488888888888892E-2</v>
      </c>
      <c r="AY29" s="202">
        <v>0</v>
      </c>
      <c r="AZ29" s="202"/>
      <c r="BA29" s="150">
        <f t="shared" si="16"/>
        <v>8.5488888888888892E-2</v>
      </c>
      <c r="BB29" s="150"/>
      <c r="BC29" s="151">
        <f t="shared" si="17"/>
        <v>8.6343777777777788</v>
      </c>
      <c r="BD29" s="123"/>
      <c r="BE29" s="140">
        <f t="shared" si="11"/>
        <v>1019.1434</v>
      </c>
      <c r="BF29" s="141">
        <f t="shared" si="12"/>
        <v>0.99159898378378375</v>
      </c>
      <c r="BG29" s="142" t="b">
        <f t="shared" si="13"/>
        <v>0</v>
      </c>
      <c r="BH29" s="148"/>
      <c r="BI29" s="188" t="s">
        <v>539</v>
      </c>
      <c r="BJ29" s="189"/>
      <c r="BK29">
        <f>VLOOKUP(J29,'Tarieven ZM'!$B$7:$I$146,8,0)</f>
        <v>0</v>
      </c>
      <c r="BL29" s="179" t="str">
        <f>INDEX(Mapping!$M:$M,MATCH($J29,Mapping!$B:$B,0))</f>
        <v>nvt</v>
      </c>
      <c r="BM29" s="282">
        <v>0</v>
      </c>
      <c r="BN29" s="262">
        <f>BM29/INDEX(Parameters!$B:$B,MATCH("AfschrijftermijnVVE"&amp;12*$C29,Parameters!$A:$A,0))</f>
        <v>0</v>
      </c>
      <c r="BO29" s="262">
        <f>AS29+INDEX('inkoop ULL tbv Epacity'!I:I,MATCH($BL29,'inkoop ULL tbv Epacity'!H:H,0))</f>
        <v>0</v>
      </c>
      <c r="BP29" s="263">
        <f t="shared" si="18"/>
        <v>0</v>
      </c>
      <c r="BQ29" s="203"/>
      <c r="BR29" s="262">
        <f>Parameters!$B$12*AG29</f>
        <v>102.77777777777779</v>
      </c>
      <c r="BS29" s="262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SUM(Distributievergoedingen!$F$12,Distributievergoedingen!$I$12,Distributievergoedingen!$L$12,Distributievergoedingen!$O$12)*AF29+SUM(Distributievergoedingen!$O$12*AA29+Distributievergoedingen!$R$12+Distributievergoedingen!$U$12+Distributievergoedingen!$X$12)/(MAX(36,12*L29))</f>
        <v>112.77777777777777</v>
      </c>
      <c r="BT29" s="262"/>
      <c r="BU29" s="150">
        <f t="shared" si="19"/>
        <v>215.55555555555554</v>
      </c>
      <c r="BW29" s="151">
        <f t="shared" si="20"/>
        <v>215.55555555555554</v>
      </c>
      <c r="BY29" s="140">
        <f t="shared" si="21"/>
        <v>812.22222222222229</v>
      </c>
      <c r="BZ29" s="141">
        <f t="shared" si="22"/>
        <v>0.7902702702702703</v>
      </c>
      <c r="CA29" s="142" t="b">
        <f t="shared" si="23"/>
        <v>0</v>
      </c>
    </row>
    <row r="30" spans="1:79">
      <c r="A30" s="160" t="str">
        <f t="shared" si="14"/>
        <v>1SA IPVPNAddnationaal2048/2048</v>
      </c>
      <c r="B30" s="142" t="str">
        <f t="shared" si="15"/>
        <v>1SA IPVPN2048/2048Add</v>
      </c>
      <c r="C30" s="198">
        <v>1</v>
      </c>
      <c r="D30" s="198" t="s">
        <v>93</v>
      </c>
      <c r="E30" s="198" t="s">
        <v>103</v>
      </c>
      <c r="F30" s="198" t="s">
        <v>115</v>
      </c>
      <c r="G30" s="199" t="s">
        <v>113</v>
      </c>
      <c r="H30" s="198" t="s">
        <v>68</v>
      </c>
      <c r="J30" s="142" t="str">
        <f t="shared" si="2"/>
        <v>SA IPVPN2048/2048Add</v>
      </c>
      <c r="L30" s="160">
        <f>INDEX(Mapping!$J:$J,MATCH(C$3&amp;C30,Mapping!$B:$B,0))</f>
        <v>1</v>
      </c>
      <c r="M30" s="179" t="str">
        <f>INDEX(Mapping!$H:$H,MATCH(D30&amp;H30&amp;$E30,Mapping!$B:$B,0))</f>
        <v>WBA ZM Ethernet</v>
      </c>
      <c r="N30" s="179" t="str">
        <f>INDEX(Mapping!$J:$J,MATCH(D30&amp;H30&amp;$E30,Mapping!$B:$B,0))</f>
        <v>premium</v>
      </c>
      <c r="O30" s="179" t="str">
        <f>INDEX(Mapping!$I:$I,MATCH($D30,Mapping!$B:$B,0))</f>
        <v>FttH</v>
      </c>
      <c r="P30" s="179" t="str">
        <f>INDEX(Mapping!$H:$H,MATCH($F30,Mapping!$B:$B,0))</f>
        <v>nvt</v>
      </c>
      <c r="Q30" s="283" t="str">
        <f>INDEX(Mapping!$K:$K,MATCH($D30&amp;$H30&amp;E30,Mapping!$B:$B,0))</f>
        <v>metro</v>
      </c>
      <c r="R30" s="179" t="str">
        <f>INDEX(Mapping!$I:$I,MATCH(D30&amp;H30&amp;$E30,Mapping!$B:$B,0))</f>
        <v>2 Mbps/2 Mbps</v>
      </c>
      <c r="S30" s="203"/>
      <c r="T30" s="283" t="str">
        <f>INDEX(Mapping!$L:$L,MATCH($D30&amp;$H30&amp;E30,Mapping!$B:$B,0))</f>
        <v>metro-nationaal</v>
      </c>
      <c r="U30" s="142" t="str">
        <f t="shared" si="3"/>
        <v>WBA ZM Ethernet2 Mbps/2 Mbpspremiummetro</v>
      </c>
      <c r="W30" s="160">
        <f>MATCH($J30,'Tarieven ZM'!$B:$B,0)</f>
        <v>87</v>
      </c>
      <c r="X30" s="148">
        <f>INDEX('Tarieven ZM'!$H:$H,$W30)</f>
        <v>1000</v>
      </c>
      <c r="Y30" s="161">
        <f>-INDEX(Parameters!$B:$B,MATCH(Y$3,Parameters!$A:$A,0))*$X30</f>
        <v>0</v>
      </c>
      <c r="Z30" s="149">
        <f>-INDEX(Parameters!$B:$B,MATCH(Z$3,Parameters!$A:$A,0))*$X30</f>
        <v>0</v>
      </c>
      <c r="AA30" s="148">
        <f t="shared" si="4"/>
        <v>1000</v>
      </c>
      <c r="AB30" s="148">
        <f>AA30/INDEX(Parameters!$B:$B,MATCH("AfschrijftermijnVVE"&amp;12*$C30,Parameters!$A:$A,0))</f>
        <v>27.777777777777779</v>
      </c>
      <c r="AC30" s="148">
        <f>INDEX('Tarieven ZM'!$G:$G,$W30)</f>
        <v>1000</v>
      </c>
      <c r="AD30" s="161">
        <f>-INDEX(Parameters!$B:$B,MATCH(AD$3,Parameters!$A:$A,0))*$AC30</f>
        <v>0</v>
      </c>
      <c r="AE30" s="161">
        <f>-INDEX(Parameters!$B:$B,MATCH(AE$3,Parameters!$A:$A,0))*$AC30</f>
        <v>0</v>
      </c>
      <c r="AF30" s="148">
        <f t="shared" si="5"/>
        <v>1000</v>
      </c>
      <c r="AG30" s="151">
        <f t="shared" si="6"/>
        <v>1027.7777777777778</v>
      </c>
      <c r="AH30" s="123"/>
      <c r="AI30" s="147">
        <f>IF(R30&lt;&gt;"n.a.",MATCH($U30,'Tarieven W&amp;O'!$B:$B,0),"nvt")</f>
        <v>139</v>
      </c>
      <c r="AJ30" s="148">
        <f>IF(AI30&lt;&gt;"nvt",INDEX('Tarieven W&amp;O'!$H:$H,$AI30),0)</f>
        <v>0</v>
      </c>
      <c r="AK30" s="148">
        <f>IF(AI30&lt;&gt;"nvt",INDEX('Tarieven W&amp;O'!$I:$I,$AI30),0)</f>
        <v>5</v>
      </c>
      <c r="AL30" s="277">
        <f>IF(AI30&lt;&gt;"nvt",-INDEX(Parameters!$B:$B,MATCH(AL$3&amp;$M30,Parameters!$A:$A,0))*(AJ30+AK30),0)</f>
        <v>0</v>
      </c>
      <c r="AM30" s="442"/>
      <c r="AN30" s="179">
        <f t="shared" si="7"/>
        <v>5</v>
      </c>
      <c r="AO30" s="262">
        <f>AN30/INDEX(Parameters!$B:$B,MATCH("AfschrijftermijnVVE"&amp;12*$C30,Parameters!$A:$A,0))</f>
        <v>0.1388888888888889</v>
      </c>
      <c r="AP30" s="179">
        <f t="shared" si="8"/>
        <v>139</v>
      </c>
      <c r="AQ30" s="202">
        <f>IF(AP30&lt;&gt;"nvt",INDEX('Tarieven W&amp;O'!$G:$G,$AP30),0)</f>
        <v>14.82</v>
      </c>
      <c r="AR30" s="463">
        <f>-INDEX(Parameters!$B:$B,MATCH(AR$3&amp;$M30&amp;O30,Parameters!$A:$A,0))*(AQ30)</f>
        <v>0</v>
      </c>
      <c r="AS30" s="262">
        <v>0</v>
      </c>
      <c r="AT30" s="442">
        <f>IF(M30="WBA CM Ethernet",0,'EDC Minus'!$H$27)</f>
        <v>1</v>
      </c>
      <c r="AU30" s="202">
        <f t="shared" si="9"/>
        <v>15.82</v>
      </c>
      <c r="AV30" s="202">
        <f t="shared" si="10"/>
        <v>15.95888888888889</v>
      </c>
      <c r="AW30" s="202"/>
      <c r="AX30" s="202">
        <f>Parameters!$B$6*AV30</f>
        <v>0.15958888888888889</v>
      </c>
      <c r="AY30" s="202">
        <v>0</v>
      </c>
      <c r="AZ30" s="202"/>
      <c r="BA30" s="150">
        <f t="shared" si="16"/>
        <v>0.15958888888888889</v>
      </c>
      <c r="BB30" s="150"/>
      <c r="BC30" s="151">
        <f t="shared" si="17"/>
        <v>16.118477777777777</v>
      </c>
      <c r="BD30" s="123"/>
      <c r="BE30" s="140">
        <f t="shared" si="11"/>
        <v>1011.6593</v>
      </c>
      <c r="BF30" s="141">
        <f t="shared" si="12"/>
        <v>0.98431715675675668</v>
      </c>
      <c r="BG30" s="142" t="b">
        <f t="shared" si="13"/>
        <v>0</v>
      </c>
      <c r="BH30" s="148"/>
      <c r="BI30" s="188" t="s">
        <v>539</v>
      </c>
      <c r="BJ30" s="189"/>
      <c r="BK30">
        <f>VLOOKUP(J30,'Tarieven ZM'!$B$7:$I$146,8,0)</f>
        <v>0</v>
      </c>
      <c r="BL30" s="179" t="str">
        <f>INDEX(Mapping!$M:$M,MATCH($J30,Mapping!$B:$B,0))</f>
        <v>nvt</v>
      </c>
      <c r="BM30" s="282">
        <v>0</v>
      </c>
      <c r="BN30" s="262">
        <f>BM30/INDEX(Parameters!$B:$B,MATCH("AfschrijftermijnVVE"&amp;12*$C30,Parameters!$A:$A,0))</f>
        <v>0</v>
      </c>
      <c r="BO30" s="262">
        <f>AS30+INDEX('inkoop ULL tbv Epacity'!I:I,MATCH($BL30,'inkoop ULL tbv Epacity'!H:H,0))</f>
        <v>0</v>
      </c>
      <c r="BP30" s="263">
        <f t="shared" si="18"/>
        <v>0</v>
      </c>
      <c r="BQ30" s="203"/>
      <c r="BR30" s="262">
        <f>Parameters!$B$12*AG30</f>
        <v>102.77777777777779</v>
      </c>
      <c r="BS30" s="262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SUM(Distributievergoedingen!$F$12,Distributievergoedingen!$I$12,Distributievergoedingen!$L$12,Distributievergoedingen!$O$12)*AF30+SUM(Distributievergoedingen!$O$12*AA30+Distributievergoedingen!$R$12+Distributievergoedingen!$U$12+Distributievergoedingen!$X$12)/(MAX(36,12*L30))</f>
        <v>112.77777777777777</v>
      </c>
      <c r="BT30" s="262"/>
      <c r="BU30" s="150">
        <f t="shared" si="19"/>
        <v>215.55555555555554</v>
      </c>
      <c r="BW30" s="151">
        <f t="shared" si="20"/>
        <v>215.55555555555554</v>
      </c>
      <c r="BY30" s="140">
        <f t="shared" si="21"/>
        <v>812.22222222222229</v>
      </c>
      <c r="BZ30" s="141">
        <f t="shared" si="22"/>
        <v>0.7902702702702703</v>
      </c>
      <c r="CA30" s="142" t="b">
        <f t="shared" si="23"/>
        <v>0</v>
      </c>
    </row>
    <row r="31" spans="1:79">
      <c r="A31" s="160" t="str">
        <f t="shared" si="14"/>
        <v>1SA IPVPNAddnationaal3072/3072</v>
      </c>
      <c r="B31" s="142" t="str">
        <f t="shared" si="15"/>
        <v>1SA IPVPN3072/3072Add</v>
      </c>
      <c r="C31" s="198">
        <v>1</v>
      </c>
      <c r="D31" s="198" t="s">
        <v>93</v>
      </c>
      <c r="E31" s="198" t="s">
        <v>103</v>
      </c>
      <c r="F31" s="198" t="s">
        <v>115</v>
      </c>
      <c r="G31" s="199" t="s">
        <v>113</v>
      </c>
      <c r="H31" s="198" t="s">
        <v>82</v>
      </c>
      <c r="J31" s="142" t="str">
        <f t="shared" si="2"/>
        <v>SA IPVPN3072/3072Add</v>
      </c>
      <c r="L31" s="160">
        <f>INDEX(Mapping!$J:$J,MATCH(C$3&amp;C31,Mapping!$B:$B,0))</f>
        <v>1</v>
      </c>
      <c r="M31" s="179" t="str">
        <f>INDEX(Mapping!$H:$H,MATCH(D31&amp;H31&amp;$E31,Mapping!$B:$B,0))</f>
        <v>WBA ZM Ethernet</v>
      </c>
      <c r="N31" s="179" t="str">
        <f>INDEX(Mapping!$J:$J,MATCH(D31&amp;H31&amp;$E31,Mapping!$B:$B,0))</f>
        <v>premium</v>
      </c>
      <c r="O31" s="179" t="str">
        <f>INDEX(Mapping!$I:$I,MATCH($D31,Mapping!$B:$B,0))</f>
        <v>FttH</v>
      </c>
      <c r="P31" s="179" t="str">
        <f>INDEX(Mapping!$H:$H,MATCH($F31,Mapping!$B:$B,0))</f>
        <v>nvt</v>
      </c>
      <c r="Q31" s="283" t="str">
        <f>INDEX(Mapping!$K:$K,MATCH($D31&amp;$H31&amp;E31,Mapping!$B:$B,0))</f>
        <v>metro</v>
      </c>
      <c r="R31" s="179" t="str">
        <f>INDEX(Mapping!$I:$I,MATCH(D31&amp;H31&amp;$E31,Mapping!$B:$B,0))</f>
        <v>5 Mbps/5 Mbps</v>
      </c>
      <c r="S31" s="203"/>
      <c r="T31" s="283" t="str">
        <f>INDEX(Mapping!$L:$L,MATCH($D31&amp;$H31&amp;E31,Mapping!$B:$B,0))</f>
        <v>metro-nationaal</v>
      </c>
      <c r="U31" s="142" t="str">
        <f t="shared" si="3"/>
        <v>WBA ZM Ethernet5 Mbps/5 Mbpspremiummetro</v>
      </c>
      <c r="W31" s="160">
        <f>MATCH($J31,'Tarieven ZM'!$B:$B,0)</f>
        <v>88</v>
      </c>
      <c r="X31" s="148">
        <f>INDEX('Tarieven ZM'!$H:$H,$W31)</f>
        <v>1000</v>
      </c>
      <c r="Y31" s="161">
        <f>-INDEX(Parameters!$B:$B,MATCH(Y$3,Parameters!$A:$A,0))*$X31</f>
        <v>0</v>
      </c>
      <c r="Z31" s="149">
        <f>-INDEX(Parameters!$B:$B,MATCH(Z$3,Parameters!$A:$A,0))*$X31</f>
        <v>0</v>
      </c>
      <c r="AA31" s="148">
        <f t="shared" si="4"/>
        <v>1000</v>
      </c>
      <c r="AB31" s="148">
        <f>AA31/INDEX(Parameters!$B:$B,MATCH("AfschrijftermijnVVE"&amp;12*$C31,Parameters!$A:$A,0))</f>
        <v>27.777777777777779</v>
      </c>
      <c r="AC31" s="148">
        <f>INDEX('Tarieven ZM'!$G:$G,$W31)</f>
        <v>1000</v>
      </c>
      <c r="AD31" s="161">
        <f>-INDEX(Parameters!$B:$B,MATCH(AD$3,Parameters!$A:$A,0))*$AC31</f>
        <v>0</v>
      </c>
      <c r="AE31" s="161">
        <f>-INDEX(Parameters!$B:$B,MATCH(AE$3,Parameters!$A:$A,0))*$AC31</f>
        <v>0</v>
      </c>
      <c r="AF31" s="148">
        <f t="shared" si="5"/>
        <v>1000</v>
      </c>
      <c r="AG31" s="151">
        <f t="shared" si="6"/>
        <v>1027.7777777777778</v>
      </c>
      <c r="AH31" s="123"/>
      <c r="AI31" s="147">
        <f>IF(R31&lt;&gt;"n.a.",MATCH($U31,'Tarieven W&amp;O'!$B:$B,0),"nvt")</f>
        <v>140</v>
      </c>
      <c r="AJ31" s="148">
        <f>IF(AI31&lt;&gt;"nvt",INDEX('Tarieven W&amp;O'!$H:$H,$AI31),0)</f>
        <v>0</v>
      </c>
      <c r="AK31" s="148">
        <f>IF(AI31&lt;&gt;"nvt",INDEX('Tarieven W&amp;O'!$I:$I,$AI31),0)</f>
        <v>5</v>
      </c>
      <c r="AL31" s="277">
        <f>IF(AI31&lt;&gt;"nvt",-INDEX(Parameters!$B:$B,MATCH(AL$3&amp;$M31,Parameters!$A:$A,0))*(AJ31+AK31),0)</f>
        <v>0</v>
      </c>
      <c r="AM31" s="442"/>
      <c r="AN31" s="179">
        <f t="shared" si="7"/>
        <v>5</v>
      </c>
      <c r="AO31" s="262">
        <f>AN31/INDEX(Parameters!$B:$B,MATCH("AfschrijftermijnVVE"&amp;12*$C31,Parameters!$A:$A,0))</f>
        <v>0.1388888888888889</v>
      </c>
      <c r="AP31" s="179">
        <f t="shared" si="8"/>
        <v>140</v>
      </c>
      <c r="AQ31" s="202">
        <f>IF(AP31&lt;&gt;"nvt",INDEX('Tarieven W&amp;O'!$G:$G,$AP31),0)</f>
        <v>18.53</v>
      </c>
      <c r="AR31" s="463">
        <f>-INDEX(Parameters!$B:$B,MATCH(AR$3&amp;$M31&amp;O31,Parameters!$A:$A,0))*(AQ31)</f>
        <v>0</v>
      </c>
      <c r="AS31" s="262">
        <v>0</v>
      </c>
      <c r="AT31" s="442">
        <f>IF(M31="WBA CM Ethernet",0,'EDC Minus'!$H$27)</f>
        <v>1</v>
      </c>
      <c r="AU31" s="202">
        <f t="shared" si="9"/>
        <v>19.53</v>
      </c>
      <c r="AV31" s="202">
        <f t="shared" si="10"/>
        <v>19.66888888888889</v>
      </c>
      <c r="AW31" s="202"/>
      <c r="AX31" s="202">
        <f>Parameters!$B$6*AV31</f>
        <v>0.19668888888888891</v>
      </c>
      <c r="AY31" s="202">
        <v>0</v>
      </c>
      <c r="AZ31" s="202"/>
      <c r="BA31" s="150">
        <f t="shared" si="16"/>
        <v>0.19668888888888891</v>
      </c>
      <c r="BB31" s="150"/>
      <c r="BC31" s="151">
        <f t="shared" si="17"/>
        <v>19.86557777777778</v>
      </c>
      <c r="BD31" s="123"/>
      <c r="BE31" s="140">
        <f t="shared" si="11"/>
        <v>1007.9122000000001</v>
      </c>
      <c r="BF31" s="141">
        <f t="shared" si="12"/>
        <v>0.98067132972972981</v>
      </c>
      <c r="BG31" s="142" t="b">
        <f t="shared" si="13"/>
        <v>0</v>
      </c>
      <c r="BH31" s="148"/>
      <c r="BI31" s="188" t="s">
        <v>539</v>
      </c>
      <c r="BJ31" s="189"/>
      <c r="BK31">
        <f>VLOOKUP(J31,'Tarieven ZM'!$B$7:$I$146,8,0)</f>
        <v>0</v>
      </c>
      <c r="BL31" s="179" t="str">
        <f>INDEX(Mapping!$M:$M,MATCH($J31,Mapping!$B:$B,0))</f>
        <v>nvt</v>
      </c>
      <c r="BM31" s="282">
        <v>0</v>
      </c>
      <c r="BN31" s="262">
        <f>BM31/INDEX(Parameters!$B:$B,MATCH("AfschrijftermijnVVE"&amp;12*$C31,Parameters!$A:$A,0))</f>
        <v>0</v>
      </c>
      <c r="BO31" s="262">
        <f>AS31+INDEX('inkoop ULL tbv Epacity'!I:I,MATCH($BL31,'inkoop ULL tbv Epacity'!H:H,0))</f>
        <v>0</v>
      </c>
      <c r="BP31" s="263">
        <f t="shared" si="18"/>
        <v>0</v>
      </c>
      <c r="BQ31" s="203"/>
      <c r="BR31" s="262">
        <f>Parameters!$B$12*AG31</f>
        <v>102.77777777777779</v>
      </c>
      <c r="BS31" s="262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SUM(Distributievergoedingen!$F$12,Distributievergoedingen!$I$12,Distributievergoedingen!$L$12,Distributievergoedingen!$O$12)*AF31+SUM(Distributievergoedingen!$O$12*AA31+Distributievergoedingen!$R$12+Distributievergoedingen!$U$12+Distributievergoedingen!$X$12)/(MAX(36,12*L31))</f>
        <v>112.77777777777777</v>
      </c>
      <c r="BT31" s="262"/>
      <c r="BU31" s="150">
        <f t="shared" si="19"/>
        <v>215.55555555555554</v>
      </c>
      <c r="BW31" s="151">
        <f t="shared" si="20"/>
        <v>215.55555555555554</v>
      </c>
      <c r="BY31" s="140">
        <f t="shared" si="21"/>
        <v>812.22222222222229</v>
      </c>
      <c r="BZ31" s="141">
        <f t="shared" si="22"/>
        <v>0.7902702702702703</v>
      </c>
      <c r="CA31" s="142" t="b">
        <f t="shared" si="23"/>
        <v>0</v>
      </c>
    </row>
    <row r="32" spans="1:79">
      <c r="A32" s="160" t="str">
        <f t="shared" si="14"/>
        <v>1SA IPVPNAddnationaal4096/4096</v>
      </c>
      <c r="B32" s="142" t="str">
        <f t="shared" si="15"/>
        <v>1SA IPVPN4096/4096Add</v>
      </c>
      <c r="C32" s="198">
        <v>1</v>
      </c>
      <c r="D32" s="198" t="s">
        <v>93</v>
      </c>
      <c r="E32" s="198" t="s">
        <v>103</v>
      </c>
      <c r="F32" s="198" t="s">
        <v>115</v>
      </c>
      <c r="G32" s="199" t="s">
        <v>113</v>
      </c>
      <c r="H32" s="198" t="s">
        <v>83</v>
      </c>
      <c r="J32" s="142" t="str">
        <f t="shared" si="2"/>
        <v>SA IPVPN4096/4096Add</v>
      </c>
      <c r="L32" s="160">
        <f>INDEX(Mapping!$J:$J,MATCH(C$3&amp;C32,Mapping!$B:$B,0))</f>
        <v>1</v>
      </c>
      <c r="M32" s="179" t="str">
        <f>INDEX(Mapping!$H:$H,MATCH(D32&amp;H32&amp;$E32,Mapping!$B:$B,0))</f>
        <v>WBA ZM Ethernet</v>
      </c>
      <c r="N32" s="179" t="str">
        <f>INDEX(Mapping!$J:$J,MATCH(D32&amp;H32&amp;$E32,Mapping!$B:$B,0))</f>
        <v>premium</v>
      </c>
      <c r="O32" s="179" t="str">
        <f>INDEX(Mapping!$I:$I,MATCH($D32,Mapping!$B:$B,0))</f>
        <v>FttH</v>
      </c>
      <c r="P32" s="179" t="str">
        <f>INDEX(Mapping!$H:$H,MATCH($F32,Mapping!$B:$B,0))</f>
        <v>nvt</v>
      </c>
      <c r="Q32" s="283" t="str">
        <f>INDEX(Mapping!$K:$K,MATCH($D32&amp;$H32&amp;E32,Mapping!$B:$B,0))</f>
        <v>metro</v>
      </c>
      <c r="R32" s="179" t="str">
        <f>INDEX(Mapping!$I:$I,MATCH(D32&amp;H32&amp;$E32,Mapping!$B:$B,0))</f>
        <v>5 Mbps/5 Mbps</v>
      </c>
      <c r="S32" s="203"/>
      <c r="T32" s="283" t="str">
        <f>INDEX(Mapping!$L:$L,MATCH($D32&amp;$H32&amp;E32,Mapping!$B:$B,0))</f>
        <v>metro-nationaal</v>
      </c>
      <c r="U32" s="142" t="str">
        <f t="shared" si="3"/>
        <v>WBA ZM Ethernet5 Mbps/5 Mbpspremiummetro</v>
      </c>
      <c r="W32" s="160">
        <f>MATCH($J32,'Tarieven ZM'!$B:$B,0)</f>
        <v>89</v>
      </c>
      <c r="X32" s="148">
        <f>INDEX('Tarieven ZM'!$H:$H,$W32)</f>
        <v>1000</v>
      </c>
      <c r="Y32" s="161">
        <f>-INDEX(Parameters!$B:$B,MATCH(Y$3,Parameters!$A:$A,0))*$X32</f>
        <v>0</v>
      </c>
      <c r="Z32" s="149">
        <f>-INDEX(Parameters!$B:$B,MATCH(Z$3,Parameters!$A:$A,0))*$X32</f>
        <v>0</v>
      </c>
      <c r="AA32" s="148">
        <f t="shared" si="4"/>
        <v>1000</v>
      </c>
      <c r="AB32" s="148">
        <f>AA32/INDEX(Parameters!$B:$B,MATCH("AfschrijftermijnVVE"&amp;12*$C32,Parameters!$A:$A,0))</f>
        <v>27.777777777777779</v>
      </c>
      <c r="AC32" s="148">
        <f>INDEX('Tarieven ZM'!$G:$G,$W32)</f>
        <v>1000</v>
      </c>
      <c r="AD32" s="161">
        <f>-INDEX(Parameters!$B:$B,MATCH(AD$3,Parameters!$A:$A,0))*$AC32</f>
        <v>0</v>
      </c>
      <c r="AE32" s="161">
        <f>-INDEX(Parameters!$B:$B,MATCH(AE$3,Parameters!$A:$A,0))*$AC32</f>
        <v>0</v>
      </c>
      <c r="AF32" s="148">
        <f t="shared" si="5"/>
        <v>1000</v>
      </c>
      <c r="AG32" s="151">
        <f t="shared" si="6"/>
        <v>1027.7777777777778</v>
      </c>
      <c r="AH32" s="123"/>
      <c r="AI32" s="147">
        <f>IF(R32&lt;&gt;"n.a.",MATCH($U32,'Tarieven W&amp;O'!$B:$B,0),"nvt")</f>
        <v>140</v>
      </c>
      <c r="AJ32" s="148">
        <f>IF(AI32&lt;&gt;"nvt",INDEX('Tarieven W&amp;O'!$H:$H,$AI32),0)</f>
        <v>0</v>
      </c>
      <c r="AK32" s="148">
        <f>IF(AI32&lt;&gt;"nvt",INDEX('Tarieven W&amp;O'!$I:$I,$AI32),0)</f>
        <v>5</v>
      </c>
      <c r="AL32" s="277">
        <f>IF(AI32&lt;&gt;"nvt",-INDEX(Parameters!$B:$B,MATCH(AL$3&amp;$M32,Parameters!$A:$A,0))*(AJ32+AK32),0)</f>
        <v>0</v>
      </c>
      <c r="AM32" s="442"/>
      <c r="AN32" s="179">
        <f t="shared" si="7"/>
        <v>5</v>
      </c>
      <c r="AO32" s="262">
        <f>AN32/INDEX(Parameters!$B:$B,MATCH("AfschrijftermijnVVE"&amp;12*$C32,Parameters!$A:$A,0))</f>
        <v>0.1388888888888889</v>
      </c>
      <c r="AP32" s="179">
        <f t="shared" si="8"/>
        <v>140</v>
      </c>
      <c r="AQ32" s="202">
        <f>IF(AP32&lt;&gt;"nvt",INDEX('Tarieven W&amp;O'!$G:$G,$AP32),0)</f>
        <v>18.53</v>
      </c>
      <c r="AR32" s="463">
        <f>-INDEX(Parameters!$B:$B,MATCH(AR$3&amp;$M32&amp;O32,Parameters!$A:$A,0))*(AQ32)</f>
        <v>0</v>
      </c>
      <c r="AS32" s="262">
        <v>0</v>
      </c>
      <c r="AT32" s="442">
        <f>IF(M32="WBA CM Ethernet",0,'EDC Minus'!$H$27)</f>
        <v>1</v>
      </c>
      <c r="AU32" s="202">
        <f t="shared" si="9"/>
        <v>19.53</v>
      </c>
      <c r="AV32" s="202">
        <f t="shared" si="10"/>
        <v>19.66888888888889</v>
      </c>
      <c r="AW32" s="202"/>
      <c r="AX32" s="202">
        <f>Parameters!$B$6*AV32</f>
        <v>0.19668888888888891</v>
      </c>
      <c r="AY32" s="202">
        <v>0</v>
      </c>
      <c r="AZ32" s="202"/>
      <c r="BA32" s="150">
        <f t="shared" si="16"/>
        <v>0.19668888888888891</v>
      </c>
      <c r="BB32" s="150"/>
      <c r="BC32" s="151">
        <f t="shared" si="17"/>
        <v>19.86557777777778</v>
      </c>
      <c r="BD32" s="123"/>
      <c r="BE32" s="140">
        <f t="shared" si="11"/>
        <v>1007.9122000000001</v>
      </c>
      <c r="BF32" s="141">
        <f t="shared" si="12"/>
        <v>0.98067132972972981</v>
      </c>
      <c r="BG32" s="142" t="b">
        <f t="shared" si="13"/>
        <v>0</v>
      </c>
      <c r="BH32" s="148"/>
      <c r="BI32" s="188" t="s">
        <v>539</v>
      </c>
      <c r="BJ32" s="189"/>
      <c r="BK32">
        <f>VLOOKUP(J32,'Tarieven ZM'!$B$7:$I$146,8,0)</f>
        <v>0</v>
      </c>
      <c r="BL32" s="179" t="str">
        <f>INDEX(Mapping!$M:$M,MATCH($J32,Mapping!$B:$B,0))</f>
        <v>nvt</v>
      </c>
      <c r="BM32" s="282">
        <v>0</v>
      </c>
      <c r="BN32" s="262">
        <f>BM32/INDEX(Parameters!$B:$B,MATCH("AfschrijftermijnVVE"&amp;12*$C32,Parameters!$A:$A,0))</f>
        <v>0</v>
      </c>
      <c r="BO32" s="262">
        <f>AS32+INDEX('inkoop ULL tbv Epacity'!I:I,MATCH($BL32,'inkoop ULL tbv Epacity'!H:H,0))</f>
        <v>0</v>
      </c>
      <c r="BP32" s="263">
        <f t="shared" si="18"/>
        <v>0</v>
      </c>
      <c r="BQ32" s="203"/>
      <c r="BR32" s="262">
        <f>Parameters!$B$12*AG32</f>
        <v>102.77777777777779</v>
      </c>
      <c r="BS32" s="262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SUM(Distributievergoedingen!$F$12,Distributievergoedingen!$I$12,Distributievergoedingen!$L$12,Distributievergoedingen!$O$12)*AF32+SUM(Distributievergoedingen!$O$12*AA32+Distributievergoedingen!$R$12+Distributievergoedingen!$U$12+Distributievergoedingen!$X$12)/(MAX(36,12*L32))</f>
        <v>112.77777777777777</v>
      </c>
      <c r="BT32" s="262"/>
      <c r="BU32" s="150">
        <f t="shared" si="19"/>
        <v>215.55555555555554</v>
      </c>
      <c r="BW32" s="151">
        <f t="shared" si="20"/>
        <v>215.55555555555554</v>
      </c>
      <c r="BY32" s="140">
        <f t="shared" si="21"/>
        <v>812.22222222222229</v>
      </c>
      <c r="BZ32" s="141">
        <f t="shared" si="22"/>
        <v>0.7902702702702703</v>
      </c>
      <c r="CA32" s="142" t="b">
        <f t="shared" si="23"/>
        <v>0</v>
      </c>
    </row>
    <row r="33" spans="1:79">
      <c r="A33" s="160" t="str">
        <f t="shared" si="14"/>
        <v>1SA IPVPNAddnationaal8192/8192</v>
      </c>
      <c r="B33" s="142" t="str">
        <f t="shared" si="15"/>
        <v>1SA IPVPN8192/8192Add</v>
      </c>
      <c r="C33" s="198">
        <v>1</v>
      </c>
      <c r="D33" s="198" t="s">
        <v>93</v>
      </c>
      <c r="E33" s="198" t="s">
        <v>103</v>
      </c>
      <c r="F33" s="198" t="s">
        <v>115</v>
      </c>
      <c r="G33" s="199" t="s">
        <v>113</v>
      </c>
      <c r="H33" s="198" t="s">
        <v>94</v>
      </c>
      <c r="J33" s="142" t="str">
        <f t="shared" si="2"/>
        <v>SA IPVPN8192/8192Add</v>
      </c>
      <c r="L33" s="160">
        <f>INDEX(Mapping!$J:$J,MATCH(C$3&amp;C33,Mapping!$B:$B,0))</f>
        <v>1</v>
      </c>
      <c r="M33" s="179" t="str">
        <f>INDEX(Mapping!$H:$H,MATCH(D33&amp;H33&amp;$E33,Mapping!$B:$B,0))</f>
        <v>WBA ZM Ethernet</v>
      </c>
      <c r="N33" s="179" t="str">
        <f>INDEX(Mapping!$J:$J,MATCH(D33&amp;H33&amp;$E33,Mapping!$B:$B,0))</f>
        <v>premium</v>
      </c>
      <c r="O33" s="179" t="str">
        <f>INDEX(Mapping!$I:$I,MATCH($D33,Mapping!$B:$B,0))</f>
        <v>FttH</v>
      </c>
      <c r="P33" s="179" t="str">
        <f>INDEX(Mapping!$H:$H,MATCH($F33,Mapping!$B:$B,0))</f>
        <v>nvt</v>
      </c>
      <c r="Q33" s="283" t="str">
        <f>INDEX(Mapping!$K:$K,MATCH($D33&amp;$H33&amp;E33,Mapping!$B:$B,0))</f>
        <v>metro</v>
      </c>
      <c r="R33" s="179" t="str">
        <f>INDEX(Mapping!$I:$I,MATCH(D33&amp;H33&amp;$E33,Mapping!$B:$B,0))</f>
        <v>10 Mbps/10 Mbps</v>
      </c>
      <c r="S33" s="203"/>
      <c r="T33" s="283" t="str">
        <f>INDEX(Mapping!$L:$L,MATCH($D33&amp;$H33&amp;E33,Mapping!$B:$B,0))</f>
        <v>metro-nationaal</v>
      </c>
      <c r="U33" s="142" t="str">
        <f t="shared" si="3"/>
        <v>WBA ZM Ethernet10 Mbps/10 Mbpspremiummetro</v>
      </c>
      <c r="W33" s="160">
        <f>MATCH($J33,'Tarieven ZM'!$B:$B,0)</f>
        <v>90</v>
      </c>
      <c r="X33" s="148">
        <f>INDEX('Tarieven ZM'!$H:$H,$W33)</f>
        <v>1000</v>
      </c>
      <c r="Y33" s="161">
        <f>-INDEX(Parameters!$B:$B,MATCH(Y$3,Parameters!$A:$A,0))*$X33</f>
        <v>0</v>
      </c>
      <c r="Z33" s="149">
        <f>-INDEX(Parameters!$B:$B,MATCH(Z$3,Parameters!$A:$A,0))*$X33</f>
        <v>0</v>
      </c>
      <c r="AA33" s="148">
        <f t="shared" si="4"/>
        <v>1000</v>
      </c>
      <c r="AB33" s="148">
        <f>AA33/INDEX(Parameters!$B:$B,MATCH("AfschrijftermijnVVE"&amp;12*$C33,Parameters!$A:$A,0))</f>
        <v>27.777777777777779</v>
      </c>
      <c r="AC33" s="148">
        <f>INDEX('Tarieven ZM'!$G:$G,$W33)</f>
        <v>1000</v>
      </c>
      <c r="AD33" s="161">
        <f>-INDEX(Parameters!$B:$B,MATCH(AD$3,Parameters!$A:$A,0))*$AC33</f>
        <v>0</v>
      </c>
      <c r="AE33" s="161">
        <f>-INDEX(Parameters!$B:$B,MATCH(AE$3,Parameters!$A:$A,0))*$AC33</f>
        <v>0</v>
      </c>
      <c r="AF33" s="148">
        <f t="shared" si="5"/>
        <v>1000</v>
      </c>
      <c r="AG33" s="151">
        <f t="shared" si="6"/>
        <v>1027.7777777777778</v>
      </c>
      <c r="AH33" s="123"/>
      <c r="AI33" s="147">
        <f>IF(R33&lt;&gt;"n.a.",MATCH($U33,'Tarieven W&amp;O'!$B:$B,0),"nvt")</f>
        <v>141</v>
      </c>
      <c r="AJ33" s="148">
        <f>IF(AI33&lt;&gt;"nvt",INDEX('Tarieven W&amp;O'!$H:$H,$AI33),0)</f>
        <v>0</v>
      </c>
      <c r="AK33" s="148">
        <f>IF(AI33&lt;&gt;"nvt",INDEX('Tarieven W&amp;O'!$I:$I,$AI33),0)</f>
        <v>5</v>
      </c>
      <c r="AL33" s="277">
        <f>IF(AI33&lt;&gt;"nvt",-INDEX(Parameters!$B:$B,MATCH(AL$3&amp;$M33,Parameters!$A:$A,0))*(AJ33+AK33),0)</f>
        <v>0</v>
      </c>
      <c r="AM33" s="442"/>
      <c r="AN33" s="179">
        <f t="shared" si="7"/>
        <v>5</v>
      </c>
      <c r="AO33" s="262">
        <f>AN33/INDEX(Parameters!$B:$B,MATCH("AfschrijftermijnVVE"&amp;12*$C33,Parameters!$A:$A,0))</f>
        <v>0.1388888888888889</v>
      </c>
      <c r="AP33" s="179">
        <f t="shared" si="8"/>
        <v>141</v>
      </c>
      <c r="AQ33" s="202">
        <f>IF(AP33&lt;&gt;"nvt",INDEX('Tarieven W&amp;O'!$G:$G,$AP33),0)</f>
        <v>26.28</v>
      </c>
      <c r="AR33" s="463">
        <f>-INDEX(Parameters!$B:$B,MATCH(AR$3&amp;$M33&amp;O33,Parameters!$A:$A,0))*(AQ33)</f>
        <v>0</v>
      </c>
      <c r="AS33" s="262">
        <v>0</v>
      </c>
      <c r="AT33" s="442">
        <f>IF(M33="WBA CM Ethernet",0,'EDC Minus'!$H$27)</f>
        <v>1</v>
      </c>
      <c r="AU33" s="202">
        <f t="shared" si="9"/>
        <v>27.28</v>
      </c>
      <c r="AV33" s="202">
        <f t="shared" si="10"/>
        <v>27.41888888888889</v>
      </c>
      <c r="AW33" s="202"/>
      <c r="AX33" s="202">
        <f>Parameters!$B$6*AV33</f>
        <v>0.27418888888888893</v>
      </c>
      <c r="AY33" s="202">
        <v>0</v>
      </c>
      <c r="AZ33" s="202"/>
      <c r="BA33" s="150">
        <f t="shared" si="16"/>
        <v>0.27418888888888893</v>
      </c>
      <c r="BB33" s="150"/>
      <c r="BC33" s="151">
        <f t="shared" si="17"/>
        <v>27.693077777777781</v>
      </c>
      <c r="BD33" s="123"/>
      <c r="BE33" s="140">
        <f t="shared" si="11"/>
        <v>1000.0847</v>
      </c>
      <c r="BF33" s="141">
        <f t="shared" si="12"/>
        <v>0.97305538378378376</v>
      </c>
      <c r="BG33" s="142" t="b">
        <f t="shared" si="13"/>
        <v>0</v>
      </c>
      <c r="BH33" s="148"/>
      <c r="BI33" s="188" t="s">
        <v>539</v>
      </c>
      <c r="BJ33" s="189"/>
      <c r="BK33">
        <f>VLOOKUP(J33,'Tarieven ZM'!$B$7:$I$146,8,0)</f>
        <v>0</v>
      </c>
      <c r="BL33" s="179" t="str">
        <f>INDEX(Mapping!$M:$M,MATCH($J33,Mapping!$B:$B,0))</f>
        <v>nvt</v>
      </c>
      <c r="BM33" s="282">
        <v>0</v>
      </c>
      <c r="BN33" s="262">
        <f>BM33/INDEX(Parameters!$B:$B,MATCH("AfschrijftermijnVVE"&amp;12*$C33,Parameters!$A:$A,0))</f>
        <v>0</v>
      </c>
      <c r="BO33" s="262">
        <f>AS33+INDEX('inkoop ULL tbv Epacity'!I:I,MATCH($BL33,'inkoop ULL tbv Epacity'!H:H,0))</f>
        <v>0</v>
      </c>
      <c r="BP33" s="263">
        <f t="shared" si="18"/>
        <v>0</v>
      </c>
      <c r="BQ33" s="203"/>
      <c r="BR33" s="262">
        <f>Parameters!$B$12*AG33</f>
        <v>102.77777777777779</v>
      </c>
      <c r="BS33" s="262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SUM(Distributievergoedingen!$F$12,Distributievergoedingen!$I$12,Distributievergoedingen!$L$12,Distributievergoedingen!$O$12)*AF33+SUM(Distributievergoedingen!$O$12*AA33+Distributievergoedingen!$R$12+Distributievergoedingen!$U$12+Distributievergoedingen!$X$12)/(MAX(36,12*L33))</f>
        <v>112.77777777777777</v>
      </c>
      <c r="BT33" s="262"/>
      <c r="BU33" s="150">
        <f t="shared" si="19"/>
        <v>215.55555555555554</v>
      </c>
      <c r="BW33" s="151">
        <f t="shared" si="20"/>
        <v>215.55555555555554</v>
      </c>
      <c r="BY33" s="140">
        <f t="shared" si="21"/>
        <v>812.22222222222229</v>
      </c>
      <c r="BZ33" s="141">
        <f t="shared" si="22"/>
        <v>0.7902702702702703</v>
      </c>
      <c r="CA33" s="142" t="b">
        <f t="shared" si="23"/>
        <v>0</v>
      </c>
    </row>
    <row r="34" spans="1:79">
      <c r="A34" s="160" t="str">
        <f t="shared" ref="A34:A63" si="24">C34&amp;D34&amp;E34&amp;G34&amp;H34</f>
        <v>2ADSLAddnationaal128/128</v>
      </c>
      <c r="B34" s="142" t="str">
        <f t="shared" ref="B34:B63" si="25">C34&amp;D34&amp;H34&amp;E34</f>
        <v>2ADSL128/128Add</v>
      </c>
      <c r="C34" s="198">
        <v>2</v>
      </c>
      <c r="D34" s="198" t="s">
        <v>42</v>
      </c>
      <c r="E34" s="198" t="s">
        <v>103</v>
      </c>
      <c r="F34" s="198" t="s">
        <v>115</v>
      </c>
      <c r="G34" s="199" t="s">
        <v>113</v>
      </c>
      <c r="H34" s="198" t="s">
        <v>43</v>
      </c>
      <c r="J34" s="142" t="str">
        <f t="shared" ref="J34:J63" si="26">D34&amp;H34&amp;E34</f>
        <v>ADSL128/128Add</v>
      </c>
      <c r="L34" s="160">
        <f>INDEX(Mapping!$J:$J,MATCH(C$3&amp;C34,Mapping!$B:$B,0))</f>
        <v>1</v>
      </c>
      <c r="M34" s="179" t="str">
        <f>INDEX(Mapping!$H:$H,MATCH(D34&amp;H34&amp;$E34,Mapping!$B:$B,0))</f>
        <v>WBA CM Ethernet</v>
      </c>
      <c r="N34" s="179" t="str">
        <f>INDEX(Mapping!$J:$J,MATCH(D34&amp;H34&amp;$E34,Mapping!$B:$B,0))</f>
        <v>add</v>
      </c>
      <c r="O34" s="179" t="str">
        <f>INDEX(Mapping!$I:$I,MATCH($D34,Mapping!$B:$B,0))</f>
        <v>ADSL</v>
      </c>
      <c r="P34" s="179" t="str">
        <f>INDEX(Mapping!$H:$H,MATCH($F34,Mapping!$B:$B,0))</f>
        <v>nvt</v>
      </c>
      <c r="Q34" s="283" t="str">
        <f>INDEX(Mapping!$K:$K,MATCH($D34&amp;$H34&amp;E34,Mapping!$B:$B,0))</f>
        <v>national</v>
      </c>
      <c r="R34" s="179" t="str">
        <f>INDEX(Mapping!$I:$I,MATCH(D34&amp;H34&amp;$E34,Mapping!$B:$B,0))</f>
        <v>&lt;=256 kbps/&lt;=256 kbps</v>
      </c>
      <c r="S34" s="203"/>
      <c r="T34" s="283" t="str">
        <f>INDEX(Mapping!$L:$L,MATCH($D34&amp;$H34&amp;E34,Mapping!$B:$B,0))</f>
        <v>nvt</v>
      </c>
      <c r="U34" s="142" t="str">
        <f t="shared" ref="U34:U63" si="27">M34&amp;R34&amp;N34&amp;Q34</f>
        <v>WBA CM Ethernet&lt;=256 kbps/&lt;=256 kbpsaddnational</v>
      </c>
      <c r="W34" s="160">
        <f>MATCH($J34,'Tarieven ZM'!$B:$B,0)</f>
        <v>61</v>
      </c>
      <c r="X34" s="148">
        <f>INDEX('Tarieven ZM'!$H:$H,$W34)</f>
        <v>1000</v>
      </c>
      <c r="Y34" s="161">
        <f>-INDEX(Parameters!$B:$B,MATCH(Y$3,Parameters!$A:$A,0))*$X34</f>
        <v>0</v>
      </c>
      <c r="Z34" s="149">
        <f>-INDEX(Parameters!$B:$B,MATCH(Z$3,Parameters!$A:$A,0))*$X34</f>
        <v>0</v>
      </c>
      <c r="AA34" s="148">
        <f t="shared" ref="AA34:AA63" si="28">SUM(X34:Z34)</f>
        <v>1000</v>
      </c>
      <c r="AB34" s="148">
        <f>AA34/INDEX(Parameters!$B:$B,MATCH("AfschrijftermijnVVE"&amp;12*$C34,Parameters!$A:$A,0))</f>
        <v>27.777777777777779</v>
      </c>
      <c r="AC34" s="148">
        <f>INDEX('Tarieven ZM'!$G:$G,$W34)</f>
        <v>1000</v>
      </c>
      <c r="AD34" s="161">
        <f>-INDEX(Parameters!$B:$B,MATCH(AD$3,Parameters!$A:$A,0))*$AC34</f>
        <v>0</v>
      </c>
      <c r="AE34" s="161">
        <f>-INDEX(Parameters!$B:$B,MATCH(AE$3,Parameters!$A:$A,0))*$AC34</f>
        <v>0</v>
      </c>
      <c r="AF34" s="148">
        <f t="shared" ref="AF34:AF63" si="29">SUM(AC34:AE34)</f>
        <v>1000</v>
      </c>
      <c r="AG34" s="151">
        <f t="shared" ref="AG34:AG63" si="30">SUM(AB34,AF34)</f>
        <v>1027.7777777777778</v>
      </c>
      <c r="AH34" s="123"/>
      <c r="AI34" s="147">
        <f>IF(R34&lt;&gt;"n.a.",MATCH($U34,'Tarieven W&amp;O'!$B:$B,0),"nvt")</f>
        <v>134</v>
      </c>
      <c r="AJ34" s="148">
        <f>IF(AI34&lt;&gt;"nvt",INDEX('Tarieven W&amp;O'!$H:$H,$AI34),0)</f>
        <v>0</v>
      </c>
      <c r="AK34" s="148">
        <f>IF(AI34&lt;&gt;"nvt",INDEX('Tarieven W&amp;O'!$I:$I,$AI34),0)</f>
        <v>5</v>
      </c>
      <c r="AL34" s="277">
        <f>IF(AI34&lt;&gt;"nvt",-INDEX(Parameters!$B:$B,MATCH(AL$3&amp;$M34,Parameters!$A:$A,0))*(AJ34+AK34),0)</f>
        <v>0</v>
      </c>
      <c r="AM34" s="442"/>
      <c r="AN34" s="179">
        <f t="shared" ref="AN34:AN63" si="31">SUM(AJ34:AM34)</f>
        <v>5</v>
      </c>
      <c r="AO34" s="262">
        <f>AN34/INDEX(Parameters!$B:$B,MATCH("AfschrijftermijnVVE"&amp;12*$C34,Parameters!$A:$A,0))</f>
        <v>0.1388888888888889</v>
      </c>
      <c r="AP34" s="179">
        <f t="shared" ref="AP34:AP63" si="32">AI34</f>
        <v>134</v>
      </c>
      <c r="AQ34" s="202">
        <f>IF(AP34&lt;&gt;"nvt",INDEX('Tarieven W&amp;O'!$G:$G,$AP34),0)</f>
        <v>1E-4</v>
      </c>
      <c r="AR34" s="463">
        <f>-INDEX(Parameters!$B:$B,MATCH(AR$3&amp;$M34&amp;O34,Parameters!$A:$A,0))*(AQ34)</f>
        <v>-1.0000000000000001E-5</v>
      </c>
      <c r="AS34" s="262">
        <v>0</v>
      </c>
      <c r="AT34" s="442">
        <f>IF(M34="WBA CM Ethernet",0,'EDC Minus'!$H$27)</f>
        <v>0</v>
      </c>
      <c r="AU34" s="202">
        <f t="shared" ref="AU34:AU63" si="33">SUM(AQ34:AT34)</f>
        <v>9.0000000000000006E-5</v>
      </c>
      <c r="AV34" s="202">
        <f t="shared" ref="AV34:AV63" si="34">SUM(AO34,AU34)</f>
        <v>0.1389788888888889</v>
      </c>
      <c r="AW34" s="202"/>
      <c r="AX34" s="202">
        <f>Parameters!$B$6*AV34</f>
        <v>1.389788888888889E-3</v>
      </c>
      <c r="AY34" s="202">
        <v>0</v>
      </c>
      <c r="AZ34" s="202"/>
      <c r="BA34" s="150">
        <f t="shared" si="16"/>
        <v>1.389788888888889E-3</v>
      </c>
      <c r="BB34" s="150"/>
      <c r="BC34" s="151">
        <f t="shared" si="17"/>
        <v>0.14036867777777778</v>
      </c>
      <c r="BD34" s="123"/>
      <c r="BE34" s="140">
        <f t="shared" si="11"/>
        <v>1027.6374091</v>
      </c>
      <c r="BF34" s="141">
        <f t="shared" si="12"/>
        <v>0.99986342507027026</v>
      </c>
      <c r="BG34" s="142" t="b">
        <f t="shared" ref="BG34:BG63" si="35">BF34&lt;0</f>
        <v>0</v>
      </c>
      <c r="BH34" s="148"/>
      <c r="BI34" s="188" t="s">
        <v>539</v>
      </c>
      <c r="BJ34" s="189"/>
      <c r="BK34">
        <f>VLOOKUP(J34,'Tarieven ZM'!$B$7:$I$146,8,0)</f>
        <v>0</v>
      </c>
      <c r="BL34" s="179" t="str">
        <f>INDEX(Mapping!$M:$M,MATCH($J34,Mapping!$B:$B,0))</f>
        <v>nvt</v>
      </c>
      <c r="BM34" s="282">
        <v>0</v>
      </c>
      <c r="BN34" s="262">
        <f>BM34/INDEX(Parameters!$B:$B,MATCH("AfschrijftermijnVVE"&amp;12*$C34,Parameters!$A:$A,0))</f>
        <v>0</v>
      </c>
      <c r="BO34" s="262">
        <f>AS34+INDEX('inkoop ULL tbv Epacity'!I:I,MATCH($BL34,'inkoop ULL tbv Epacity'!H:H,0))</f>
        <v>0</v>
      </c>
      <c r="BP34" s="263">
        <f t="shared" si="18"/>
        <v>0</v>
      </c>
      <c r="BQ34" s="203"/>
      <c r="BR34" s="262">
        <f>Parameters!$B$12*AG34</f>
        <v>102.77777777777779</v>
      </c>
      <c r="BS34" s="262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SUM(Distributievergoedingen!$F$12,Distributievergoedingen!$I$12,Distributievergoedingen!$L$12,Distributievergoedingen!$O$12)*AF34+SUM(Distributievergoedingen!$O$12*AA34+Distributievergoedingen!$R$12+Distributievergoedingen!$U$12+Distributievergoedingen!$X$12)/(MAX(36,12*L34))</f>
        <v>112.77777777777777</v>
      </c>
      <c r="BT34" s="262"/>
      <c r="BU34" s="150">
        <f t="shared" si="19"/>
        <v>215.55555555555554</v>
      </c>
      <c r="BW34" s="151">
        <f t="shared" si="20"/>
        <v>215.55555555555554</v>
      </c>
      <c r="BY34" s="140">
        <f t="shared" si="21"/>
        <v>812.22222222222229</v>
      </c>
      <c r="BZ34" s="141">
        <f t="shared" si="22"/>
        <v>0.7902702702702703</v>
      </c>
      <c r="CA34" s="142" t="b">
        <f t="shared" si="23"/>
        <v>0</v>
      </c>
    </row>
    <row r="35" spans="1:79">
      <c r="A35" s="160" t="str">
        <f t="shared" si="24"/>
        <v>2ADSLAddnationaal200/200</v>
      </c>
      <c r="B35" s="142" t="str">
        <f t="shared" si="25"/>
        <v>2ADSL200/200Add</v>
      </c>
      <c r="C35" s="198">
        <v>2</v>
      </c>
      <c r="D35" s="198" t="s">
        <v>42</v>
      </c>
      <c r="E35" s="198" t="s">
        <v>103</v>
      </c>
      <c r="F35" s="198" t="s">
        <v>115</v>
      </c>
      <c r="G35" s="199" t="s">
        <v>113</v>
      </c>
      <c r="H35" s="198" t="s">
        <v>106</v>
      </c>
      <c r="J35" s="142" t="str">
        <f t="shared" si="26"/>
        <v>ADSL200/200Add</v>
      </c>
      <c r="L35" s="160">
        <f>INDEX(Mapping!$J:$J,MATCH(C$3&amp;C35,Mapping!$B:$B,0))</f>
        <v>1</v>
      </c>
      <c r="M35" s="179" t="str">
        <f>INDEX(Mapping!$H:$H,MATCH(D35&amp;H35&amp;$E35,Mapping!$B:$B,0))</f>
        <v>WBA CM Ethernet</v>
      </c>
      <c r="N35" s="179" t="str">
        <f>INDEX(Mapping!$J:$J,MATCH(D35&amp;H35&amp;$E35,Mapping!$B:$B,0))</f>
        <v>add</v>
      </c>
      <c r="O35" s="179" t="str">
        <f>INDEX(Mapping!$I:$I,MATCH($D35,Mapping!$B:$B,0))</f>
        <v>ADSL</v>
      </c>
      <c r="P35" s="179" t="str">
        <f>INDEX(Mapping!$H:$H,MATCH($F35,Mapping!$B:$B,0))</f>
        <v>nvt</v>
      </c>
      <c r="Q35" s="283" t="str">
        <f>INDEX(Mapping!$K:$K,MATCH($D35&amp;$H35&amp;E35,Mapping!$B:$B,0))</f>
        <v>national</v>
      </c>
      <c r="R35" s="179" t="str">
        <f>INDEX(Mapping!$I:$I,MATCH(D35&amp;H35&amp;$E35,Mapping!$B:$B,0))</f>
        <v>&lt;=256 kbps/&lt;=256 kbps</v>
      </c>
      <c r="S35" s="203"/>
      <c r="T35" s="283" t="str">
        <f>INDEX(Mapping!$L:$L,MATCH($D35&amp;$H35&amp;E35,Mapping!$B:$B,0))</f>
        <v>nvt</v>
      </c>
      <c r="U35" s="142" t="str">
        <f t="shared" si="27"/>
        <v>WBA CM Ethernet&lt;=256 kbps/&lt;=256 kbpsaddnational</v>
      </c>
      <c r="W35" s="160">
        <f>MATCH($J35,'Tarieven ZM'!$B:$B,0)</f>
        <v>62</v>
      </c>
      <c r="X35" s="148">
        <f>INDEX('Tarieven ZM'!$H:$H,$W35)</f>
        <v>1000</v>
      </c>
      <c r="Y35" s="161">
        <f>-INDEX(Parameters!$B:$B,MATCH(Y$3,Parameters!$A:$A,0))*$X35</f>
        <v>0</v>
      </c>
      <c r="Z35" s="149">
        <f>-INDEX(Parameters!$B:$B,MATCH(Z$3,Parameters!$A:$A,0))*$X35</f>
        <v>0</v>
      </c>
      <c r="AA35" s="148">
        <f t="shared" si="28"/>
        <v>1000</v>
      </c>
      <c r="AB35" s="148">
        <f>AA35/INDEX(Parameters!$B:$B,MATCH("AfschrijftermijnVVE"&amp;12*$C35,Parameters!$A:$A,0))</f>
        <v>27.777777777777779</v>
      </c>
      <c r="AC35" s="148">
        <f>INDEX('Tarieven ZM'!$G:$G,$W35)</f>
        <v>1000</v>
      </c>
      <c r="AD35" s="161">
        <f>-INDEX(Parameters!$B:$B,MATCH(AD$3,Parameters!$A:$A,0))*$AC35</f>
        <v>0</v>
      </c>
      <c r="AE35" s="161">
        <f>-INDEX(Parameters!$B:$B,MATCH(AE$3,Parameters!$A:$A,0))*$AC35</f>
        <v>0</v>
      </c>
      <c r="AF35" s="148">
        <f t="shared" si="29"/>
        <v>1000</v>
      </c>
      <c r="AG35" s="151">
        <f t="shared" si="30"/>
        <v>1027.7777777777778</v>
      </c>
      <c r="AH35" s="123"/>
      <c r="AI35" s="147">
        <f>IF(R35&lt;&gt;"n.a.",MATCH($U35,'Tarieven W&amp;O'!$B:$B,0),"nvt")</f>
        <v>134</v>
      </c>
      <c r="AJ35" s="148">
        <f>IF(AI35&lt;&gt;"nvt",INDEX('Tarieven W&amp;O'!$H:$H,$AI35),0)</f>
        <v>0</v>
      </c>
      <c r="AK35" s="148">
        <f>IF(AI35&lt;&gt;"nvt",INDEX('Tarieven W&amp;O'!$I:$I,$AI35),0)</f>
        <v>5</v>
      </c>
      <c r="AL35" s="277">
        <f>IF(AI35&lt;&gt;"nvt",-INDEX(Parameters!$B:$B,MATCH(AL$3&amp;$M35,Parameters!$A:$A,0))*(AJ35+AK35),0)</f>
        <v>0</v>
      </c>
      <c r="AM35" s="442"/>
      <c r="AN35" s="179">
        <f t="shared" si="31"/>
        <v>5</v>
      </c>
      <c r="AO35" s="262">
        <f>AN35/INDEX(Parameters!$B:$B,MATCH("AfschrijftermijnVVE"&amp;12*$C35,Parameters!$A:$A,0))</f>
        <v>0.1388888888888889</v>
      </c>
      <c r="AP35" s="179">
        <f t="shared" si="32"/>
        <v>134</v>
      </c>
      <c r="AQ35" s="202">
        <f>IF(AP35&lt;&gt;"nvt",INDEX('Tarieven W&amp;O'!$G:$G,$AP35),0)</f>
        <v>1E-4</v>
      </c>
      <c r="AR35" s="463">
        <f>-INDEX(Parameters!$B:$B,MATCH(AR$3&amp;$M35&amp;O35,Parameters!$A:$A,0))*(AQ35)</f>
        <v>-1.0000000000000001E-5</v>
      </c>
      <c r="AS35" s="262">
        <v>0</v>
      </c>
      <c r="AT35" s="442">
        <f>IF(M35="WBA CM Ethernet",0,'EDC Minus'!$H$27)</f>
        <v>0</v>
      </c>
      <c r="AU35" s="202">
        <f t="shared" si="33"/>
        <v>9.0000000000000006E-5</v>
      </c>
      <c r="AV35" s="202">
        <f t="shared" si="34"/>
        <v>0.1389788888888889</v>
      </c>
      <c r="AW35" s="202"/>
      <c r="AX35" s="202">
        <f>Parameters!$B$6*AV35</f>
        <v>1.389788888888889E-3</v>
      </c>
      <c r="AY35" s="202">
        <v>0</v>
      </c>
      <c r="AZ35" s="202"/>
      <c r="BA35" s="150">
        <f t="shared" si="16"/>
        <v>1.389788888888889E-3</v>
      </c>
      <c r="BB35" s="150"/>
      <c r="BC35" s="151">
        <f t="shared" si="17"/>
        <v>0.14036867777777778</v>
      </c>
      <c r="BD35" s="123"/>
      <c r="BE35" s="140">
        <f t="shared" si="11"/>
        <v>1027.6374091</v>
      </c>
      <c r="BF35" s="141">
        <f t="shared" si="12"/>
        <v>0.99986342507027026</v>
      </c>
      <c r="BG35" s="142" t="b">
        <f t="shared" si="35"/>
        <v>0</v>
      </c>
      <c r="BH35" s="148"/>
      <c r="BI35" s="188" t="s">
        <v>539</v>
      </c>
      <c r="BJ35" s="189"/>
      <c r="BK35">
        <f>VLOOKUP(J35,'Tarieven ZM'!$B$7:$I$146,8,0)</f>
        <v>0</v>
      </c>
      <c r="BL35" s="179" t="str">
        <f>INDEX(Mapping!$M:$M,MATCH($J35,Mapping!$B:$B,0))</f>
        <v>nvt</v>
      </c>
      <c r="BM35" s="282">
        <v>0</v>
      </c>
      <c r="BN35" s="262">
        <f>BM35/INDEX(Parameters!$B:$B,MATCH("AfschrijftermijnVVE"&amp;12*$C35,Parameters!$A:$A,0))</f>
        <v>0</v>
      </c>
      <c r="BO35" s="262">
        <f>AS35+INDEX('inkoop ULL tbv Epacity'!I:I,MATCH($BL35,'inkoop ULL tbv Epacity'!H:H,0))</f>
        <v>0</v>
      </c>
      <c r="BP35" s="263">
        <f t="shared" si="18"/>
        <v>0</v>
      </c>
      <c r="BQ35" s="203"/>
      <c r="BR35" s="262">
        <f>Parameters!$B$12*AG35</f>
        <v>102.77777777777779</v>
      </c>
      <c r="BS35" s="262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SUM(Distributievergoedingen!$F$12,Distributievergoedingen!$I$12,Distributievergoedingen!$L$12,Distributievergoedingen!$O$12)*AF35+SUM(Distributievergoedingen!$O$12*AA35+Distributievergoedingen!$R$12+Distributievergoedingen!$U$12+Distributievergoedingen!$X$12)/(MAX(36,12*L35))</f>
        <v>112.77777777777777</v>
      </c>
      <c r="BT35" s="262"/>
      <c r="BU35" s="150">
        <f t="shared" si="19"/>
        <v>215.55555555555554</v>
      </c>
      <c r="BW35" s="151">
        <f t="shared" si="20"/>
        <v>215.55555555555554</v>
      </c>
      <c r="BY35" s="140">
        <f t="shared" si="21"/>
        <v>812.22222222222229</v>
      </c>
      <c r="BZ35" s="141">
        <f t="shared" si="22"/>
        <v>0.7902702702702703</v>
      </c>
      <c r="CA35" s="142" t="b">
        <f t="shared" si="23"/>
        <v>0</v>
      </c>
    </row>
    <row r="36" spans="1:79">
      <c r="A36" s="160" t="str">
        <f t="shared" si="24"/>
        <v>2ADSLAddnationaal224/224</v>
      </c>
      <c r="B36" s="142" t="str">
        <f t="shared" si="25"/>
        <v>2ADSL224/224Add</v>
      </c>
      <c r="C36" s="198">
        <v>2</v>
      </c>
      <c r="D36" s="198" t="s">
        <v>42</v>
      </c>
      <c r="E36" s="198" t="s">
        <v>103</v>
      </c>
      <c r="F36" s="198" t="s">
        <v>115</v>
      </c>
      <c r="G36" s="199" t="s">
        <v>113</v>
      </c>
      <c r="H36" s="198" t="s">
        <v>107</v>
      </c>
      <c r="J36" s="142" t="str">
        <f t="shared" si="26"/>
        <v>ADSL224/224Add</v>
      </c>
      <c r="L36" s="160">
        <f>INDEX(Mapping!$J:$J,MATCH(C$3&amp;C36,Mapping!$B:$B,0))</f>
        <v>1</v>
      </c>
      <c r="M36" s="179" t="str">
        <f>INDEX(Mapping!$H:$H,MATCH(D36&amp;H36&amp;$E36,Mapping!$B:$B,0))</f>
        <v>WBA CM Ethernet</v>
      </c>
      <c r="N36" s="179" t="str">
        <f>INDEX(Mapping!$J:$J,MATCH(D36&amp;H36&amp;$E36,Mapping!$B:$B,0))</f>
        <v>add</v>
      </c>
      <c r="O36" s="179" t="str">
        <f>INDEX(Mapping!$I:$I,MATCH($D36,Mapping!$B:$B,0))</f>
        <v>ADSL</v>
      </c>
      <c r="P36" s="179" t="str">
        <f>INDEX(Mapping!$H:$H,MATCH($F36,Mapping!$B:$B,0))</f>
        <v>nvt</v>
      </c>
      <c r="Q36" s="283" t="str">
        <f>INDEX(Mapping!$K:$K,MATCH($D36&amp;$H36&amp;E36,Mapping!$B:$B,0))</f>
        <v>national</v>
      </c>
      <c r="R36" s="179" t="str">
        <f>INDEX(Mapping!$I:$I,MATCH(D36&amp;H36&amp;$E36,Mapping!$B:$B,0))</f>
        <v>&lt;=256 kbps/&lt;=256 kbps</v>
      </c>
      <c r="S36" s="203"/>
      <c r="T36" s="283" t="str">
        <f>INDEX(Mapping!$L:$L,MATCH($D36&amp;$H36&amp;E36,Mapping!$B:$B,0))</f>
        <v>nvt</v>
      </c>
      <c r="U36" s="142" t="str">
        <f t="shared" si="27"/>
        <v>WBA CM Ethernet&lt;=256 kbps/&lt;=256 kbpsaddnational</v>
      </c>
      <c r="W36" s="160">
        <f>MATCH($J36,'Tarieven ZM'!$B:$B,0)</f>
        <v>63</v>
      </c>
      <c r="X36" s="148">
        <f>INDEX('Tarieven ZM'!$H:$H,$W36)</f>
        <v>1000</v>
      </c>
      <c r="Y36" s="161">
        <f>-INDEX(Parameters!$B:$B,MATCH(Y$3,Parameters!$A:$A,0))*$X36</f>
        <v>0</v>
      </c>
      <c r="Z36" s="149">
        <f>-INDEX(Parameters!$B:$B,MATCH(Z$3,Parameters!$A:$A,0))*$X36</f>
        <v>0</v>
      </c>
      <c r="AA36" s="148">
        <f t="shared" si="28"/>
        <v>1000</v>
      </c>
      <c r="AB36" s="148">
        <f>AA36/INDEX(Parameters!$B:$B,MATCH("AfschrijftermijnVVE"&amp;12*$C36,Parameters!$A:$A,0))</f>
        <v>27.777777777777779</v>
      </c>
      <c r="AC36" s="148">
        <f>INDEX('Tarieven ZM'!$G:$G,$W36)</f>
        <v>1000</v>
      </c>
      <c r="AD36" s="161">
        <f>-INDEX(Parameters!$B:$B,MATCH(AD$3,Parameters!$A:$A,0))*$AC36</f>
        <v>0</v>
      </c>
      <c r="AE36" s="161">
        <f>-INDEX(Parameters!$B:$B,MATCH(AE$3,Parameters!$A:$A,0))*$AC36</f>
        <v>0</v>
      </c>
      <c r="AF36" s="148">
        <f t="shared" si="29"/>
        <v>1000</v>
      </c>
      <c r="AG36" s="151">
        <f t="shared" si="30"/>
        <v>1027.7777777777778</v>
      </c>
      <c r="AH36" s="123"/>
      <c r="AI36" s="147">
        <f>IF(R36&lt;&gt;"n.a.",MATCH($U36,'Tarieven W&amp;O'!$B:$B,0),"nvt")</f>
        <v>134</v>
      </c>
      <c r="AJ36" s="148">
        <f>IF(AI36&lt;&gt;"nvt",INDEX('Tarieven W&amp;O'!$H:$H,$AI36),0)</f>
        <v>0</v>
      </c>
      <c r="AK36" s="148">
        <f>IF(AI36&lt;&gt;"nvt",INDEX('Tarieven W&amp;O'!$I:$I,$AI36),0)</f>
        <v>5</v>
      </c>
      <c r="AL36" s="277">
        <f>IF(AI36&lt;&gt;"nvt",-INDEX(Parameters!$B:$B,MATCH(AL$3&amp;$M36,Parameters!$A:$A,0))*(AJ36+AK36),0)</f>
        <v>0</v>
      </c>
      <c r="AM36" s="442"/>
      <c r="AN36" s="179">
        <f t="shared" si="31"/>
        <v>5</v>
      </c>
      <c r="AO36" s="262">
        <f>AN36/INDEX(Parameters!$B:$B,MATCH("AfschrijftermijnVVE"&amp;12*$C36,Parameters!$A:$A,0))</f>
        <v>0.1388888888888889</v>
      </c>
      <c r="AP36" s="179">
        <f t="shared" si="32"/>
        <v>134</v>
      </c>
      <c r="AQ36" s="202">
        <f>IF(AP36&lt;&gt;"nvt",INDEX('Tarieven W&amp;O'!$G:$G,$AP36),0)</f>
        <v>1E-4</v>
      </c>
      <c r="AR36" s="463">
        <f>-INDEX(Parameters!$B:$B,MATCH(AR$3&amp;$M36&amp;O36,Parameters!$A:$A,0))*(AQ36)</f>
        <v>-1.0000000000000001E-5</v>
      </c>
      <c r="AS36" s="262">
        <v>0</v>
      </c>
      <c r="AT36" s="442">
        <f>IF(M36="WBA CM Ethernet",0,'EDC Minus'!$H$27)</f>
        <v>0</v>
      </c>
      <c r="AU36" s="202">
        <f t="shared" si="33"/>
        <v>9.0000000000000006E-5</v>
      </c>
      <c r="AV36" s="202">
        <f t="shared" si="34"/>
        <v>0.1389788888888889</v>
      </c>
      <c r="AW36" s="202"/>
      <c r="AX36" s="202">
        <f>Parameters!$B$6*AV36</f>
        <v>1.389788888888889E-3</v>
      </c>
      <c r="AY36" s="202">
        <v>0</v>
      </c>
      <c r="AZ36" s="202"/>
      <c r="BA36" s="150">
        <f t="shared" si="16"/>
        <v>1.389788888888889E-3</v>
      </c>
      <c r="BB36" s="150"/>
      <c r="BC36" s="151">
        <f t="shared" si="17"/>
        <v>0.14036867777777778</v>
      </c>
      <c r="BD36" s="123"/>
      <c r="BE36" s="140">
        <f t="shared" ref="BE36:BE67" si="36">AG36-BC36</f>
        <v>1027.6374091</v>
      </c>
      <c r="BF36" s="141">
        <f t="shared" ref="BF36:BF67" si="37">IF(AG36=0,-999%,BE36/AG36)</f>
        <v>0.99986342507027026</v>
      </c>
      <c r="BG36" s="142" t="b">
        <f t="shared" si="35"/>
        <v>0</v>
      </c>
      <c r="BH36" s="148"/>
      <c r="BI36" s="188" t="s">
        <v>539</v>
      </c>
      <c r="BJ36" s="189"/>
      <c r="BK36">
        <f>VLOOKUP(J36,'Tarieven ZM'!$B$7:$I$146,8,0)</f>
        <v>0</v>
      </c>
      <c r="BL36" s="179" t="str">
        <f>INDEX(Mapping!$M:$M,MATCH($J36,Mapping!$B:$B,0))</f>
        <v>nvt</v>
      </c>
      <c r="BM36" s="282">
        <v>0</v>
      </c>
      <c r="BN36" s="262">
        <f>BM36/INDEX(Parameters!$B:$B,MATCH("AfschrijftermijnVVE"&amp;12*$C36,Parameters!$A:$A,0))</f>
        <v>0</v>
      </c>
      <c r="BO36" s="262">
        <f>AS36+INDEX('inkoop ULL tbv Epacity'!I:I,MATCH($BL36,'inkoop ULL tbv Epacity'!H:H,0))</f>
        <v>0</v>
      </c>
      <c r="BP36" s="263">
        <f t="shared" si="18"/>
        <v>0</v>
      </c>
      <c r="BQ36" s="203"/>
      <c r="BR36" s="262">
        <f>Parameters!$B$12*AG36</f>
        <v>102.77777777777779</v>
      </c>
      <c r="BS36" s="262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SUM(Distributievergoedingen!$F$12,Distributievergoedingen!$I$12,Distributievergoedingen!$L$12,Distributievergoedingen!$O$12)*AF36+SUM(Distributievergoedingen!$O$12*AA36+Distributievergoedingen!$R$12+Distributievergoedingen!$U$12+Distributievergoedingen!$X$12)/(MAX(36,12*L36))</f>
        <v>112.77777777777777</v>
      </c>
      <c r="BT36" s="262"/>
      <c r="BU36" s="150">
        <f t="shared" si="19"/>
        <v>215.55555555555554</v>
      </c>
      <c r="BW36" s="151">
        <f t="shared" si="20"/>
        <v>215.55555555555554</v>
      </c>
      <c r="BY36" s="140">
        <f t="shared" si="21"/>
        <v>812.22222222222229</v>
      </c>
      <c r="BZ36" s="141">
        <f t="shared" si="22"/>
        <v>0.7902702702702703</v>
      </c>
      <c r="CA36" s="142" t="b">
        <f t="shared" si="23"/>
        <v>0</v>
      </c>
    </row>
    <row r="37" spans="1:79">
      <c r="A37" s="160" t="str">
        <f t="shared" si="24"/>
        <v>2ADSLAddnationaal256/256</v>
      </c>
      <c r="B37" s="142" t="str">
        <f t="shared" si="25"/>
        <v>2ADSL256/256Add</v>
      </c>
      <c r="C37" s="198">
        <v>2</v>
      </c>
      <c r="D37" s="198" t="s">
        <v>42</v>
      </c>
      <c r="E37" s="198" t="s">
        <v>103</v>
      </c>
      <c r="F37" s="198" t="s">
        <v>115</v>
      </c>
      <c r="G37" s="199" t="s">
        <v>113</v>
      </c>
      <c r="H37" s="198" t="s">
        <v>48</v>
      </c>
      <c r="J37" s="142" t="str">
        <f t="shared" si="26"/>
        <v>ADSL256/256Add</v>
      </c>
      <c r="L37" s="160">
        <f>INDEX(Mapping!$J:$J,MATCH(C$3&amp;C37,Mapping!$B:$B,0))</f>
        <v>1</v>
      </c>
      <c r="M37" s="179" t="str">
        <f>INDEX(Mapping!$H:$H,MATCH(D37&amp;H37&amp;$E37,Mapping!$B:$B,0))</f>
        <v>WBA CM Ethernet</v>
      </c>
      <c r="N37" s="179" t="str">
        <f>INDEX(Mapping!$J:$J,MATCH(D37&amp;H37&amp;$E37,Mapping!$B:$B,0))</f>
        <v>add</v>
      </c>
      <c r="O37" s="179" t="str">
        <f>INDEX(Mapping!$I:$I,MATCH($D37,Mapping!$B:$B,0))</f>
        <v>ADSL</v>
      </c>
      <c r="P37" s="179" t="str">
        <f>INDEX(Mapping!$H:$H,MATCH($F37,Mapping!$B:$B,0))</f>
        <v>nvt</v>
      </c>
      <c r="Q37" s="283" t="str">
        <f>INDEX(Mapping!$K:$K,MATCH($D37&amp;$H37&amp;E37,Mapping!$B:$B,0))</f>
        <v>national</v>
      </c>
      <c r="R37" s="179" t="str">
        <f>INDEX(Mapping!$I:$I,MATCH(D37&amp;H37&amp;$E37,Mapping!$B:$B,0))</f>
        <v>&lt;=256 kbps/&lt;=256 kbps</v>
      </c>
      <c r="S37" s="203"/>
      <c r="T37" s="283" t="str">
        <f>INDEX(Mapping!$L:$L,MATCH($D37&amp;$H37&amp;E37,Mapping!$B:$B,0))</f>
        <v>nvt</v>
      </c>
      <c r="U37" s="142" t="str">
        <f t="shared" si="27"/>
        <v>WBA CM Ethernet&lt;=256 kbps/&lt;=256 kbpsaddnational</v>
      </c>
      <c r="W37" s="160">
        <f>MATCH($J37,'Tarieven ZM'!$B:$B,0)</f>
        <v>64</v>
      </c>
      <c r="X37" s="148">
        <f>INDEX('Tarieven ZM'!$H:$H,$W37)</f>
        <v>1000</v>
      </c>
      <c r="Y37" s="161">
        <f>-INDEX(Parameters!$B:$B,MATCH(Y$3,Parameters!$A:$A,0))*$X37</f>
        <v>0</v>
      </c>
      <c r="Z37" s="149">
        <f>-INDEX(Parameters!$B:$B,MATCH(Z$3,Parameters!$A:$A,0))*$X37</f>
        <v>0</v>
      </c>
      <c r="AA37" s="148">
        <f t="shared" si="28"/>
        <v>1000</v>
      </c>
      <c r="AB37" s="148">
        <f>AA37/INDEX(Parameters!$B:$B,MATCH("AfschrijftermijnVVE"&amp;12*$C37,Parameters!$A:$A,0))</f>
        <v>27.777777777777779</v>
      </c>
      <c r="AC37" s="148">
        <f>INDEX('Tarieven ZM'!$G:$G,$W37)</f>
        <v>1000</v>
      </c>
      <c r="AD37" s="161">
        <f>-INDEX(Parameters!$B:$B,MATCH(AD$3,Parameters!$A:$A,0))*$AC37</f>
        <v>0</v>
      </c>
      <c r="AE37" s="161">
        <f>-INDEX(Parameters!$B:$B,MATCH(AE$3,Parameters!$A:$A,0))*$AC37</f>
        <v>0</v>
      </c>
      <c r="AF37" s="148">
        <f t="shared" si="29"/>
        <v>1000</v>
      </c>
      <c r="AG37" s="151">
        <f t="shared" si="30"/>
        <v>1027.7777777777778</v>
      </c>
      <c r="AH37" s="123"/>
      <c r="AI37" s="147">
        <f>IF(R37&lt;&gt;"n.a.",MATCH($U37,'Tarieven W&amp;O'!$B:$B,0),"nvt")</f>
        <v>134</v>
      </c>
      <c r="AJ37" s="148">
        <f>IF(AI37&lt;&gt;"nvt",INDEX('Tarieven W&amp;O'!$H:$H,$AI37),0)</f>
        <v>0</v>
      </c>
      <c r="AK37" s="148">
        <f>IF(AI37&lt;&gt;"nvt",INDEX('Tarieven W&amp;O'!$I:$I,$AI37),0)</f>
        <v>5</v>
      </c>
      <c r="AL37" s="277">
        <f>IF(AI37&lt;&gt;"nvt",-INDEX(Parameters!$B:$B,MATCH(AL$3&amp;$M37,Parameters!$A:$A,0))*(AJ37+AK37),0)</f>
        <v>0</v>
      </c>
      <c r="AM37" s="442"/>
      <c r="AN37" s="179">
        <f t="shared" si="31"/>
        <v>5</v>
      </c>
      <c r="AO37" s="262">
        <f>AN37/INDEX(Parameters!$B:$B,MATCH("AfschrijftermijnVVE"&amp;12*$C37,Parameters!$A:$A,0))</f>
        <v>0.1388888888888889</v>
      </c>
      <c r="AP37" s="179">
        <f t="shared" si="32"/>
        <v>134</v>
      </c>
      <c r="AQ37" s="202">
        <f>IF(AP37&lt;&gt;"nvt",INDEX('Tarieven W&amp;O'!$G:$G,$AP37),0)</f>
        <v>1E-4</v>
      </c>
      <c r="AR37" s="463">
        <f>-INDEX(Parameters!$B:$B,MATCH(AR$3&amp;$M37&amp;O37,Parameters!$A:$A,0))*(AQ37)</f>
        <v>-1.0000000000000001E-5</v>
      </c>
      <c r="AS37" s="262">
        <v>0</v>
      </c>
      <c r="AT37" s="442">
        <f>IF(M37="WBA CM Ethernet",0,'EDC Minus'!$H$27)</f>
        <v>0</v>
      </c>
      <c r="AU37" s="202">
        <f t="shared" si="33"/>
        <v>9.0000000000000006E-5</v>
      </c>
      <c r="AV37" s="202">
        <f t="shared" si="34"/>
        <v>0.1389788888888889</v>
      </c>
      <c r="AW37" s="202"/>
      <c r="AX37" s="202">
        <f>Parameters!$B$6*AV37</f>
        <v>1.389788888888889E-3</v>
      </c>
      <c r="AY37" s="202">
        <v>0</v>
      </c>
      <c r="AZ37" s="202"/>
      <c r="BA37" s="150">
        <f t="shared" si="16"/>
        <v>1.389788888888889E-3</v>
      </c>
      <c r="BB37" s="150"/>
      <c r="BC37" s="151">
        <f t="shared" si="17"/>
        <v>0.14036867777777778</v>
      </c>
      <c r="BD37" s="123"/>
      <c r="BE37" s="140">
        <f t="shared" si="36"/>
        <v>1027.6374091</v>
      </c>
      <c r="BF37" s="141">
        <f t="shared" si="37"/>
        <v>0.99986342507027026</v>
      </c>
      <c r="BG37" s="142" t="b">
        <f t="shared" si="35"/>
        <v>0</v>
      </c>
      <c r="BH37" s="148"/>
      <c r="BI37" s="188" t="s">
        <v>539</v>
      </c>
      <c r="BJ37" s="189"/>
      <c r="BK37">
        <f>VLOOKUP(J37,'Tarieven ZM'!$B$7:$I$146,8,0)</f>
        <v>0</v>
      </c>
      <c r="BL37" s="179" t="str">
        <f>INDEX(Mapping!$M:$M,MATCH($J37,Mapping!$B:$B,0))</f>
        <v>nvt</v>
      </c>
      <c r="BM37" s="282">
        <v>0</v>
      </c>
      <c r="BN37" s="262">
        <f>BM37/INDEX(Parameters!$B:$B,MATCH("AfschrijftermijnVVE"&amp;12*$C37,Parameters!$A:$A,0))</f>
        <v>0</v>
      </c>
      <c r="BO37" s="262">
        <f>AS37+INDEX('inkoop ULL tbv Epacity'!I:I,MATCH($BL37,'inkoop ULL tbv Epacity'!H:H,0))</f>
        <v>0</v>
      </c>
      <c r="BP37" s="263">
        <f t="shared" si="18"/>
        <v>0</v>
      </c>
      <c r="BQ37" s="203"/>
      <c r="BR37" s="262">
        <f>Parameters!$B$12*AG37</f>
        <v>102.77777777777779</v>
      </c>
      <c r="BS37" s="262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SUM(Distributievergoedingen!$F$12,Distributievergoedingen!$I$12,Distributievergoedingen!$L$12,Distributievergoedingen!$O$12)*AF37+SUM(Distributievergoedingen!$O$12*AA37+Distributievergoedingen!$R$12+Distributievergoedingen!$U$12+Distributievergoedingen!$X$12)/(MAX(36,12*L37))</f>
        <v>112.77777777777777</v>
      </c>
      <c r="BT37" s="262"/>
      <c r="BU37" s="150">
        <f t="shared" si="19"/>
        <v>215.55555555555554</v>
      </c>
      <c r="BW37" s="151">
        <f t="shared" si="20"/>
        <v>215.55555555555554</v>
      </c>
      <c r="BY37" s="140">
        <f t="shared" si="21"/>
        <v>812.22222222222229</v>
      </c>
      <c r="BZ37" s="141">
        <f t="shared" si="22"/>
        <v>0.7902702702702703</v>
      </c>
      <c r="CA37" s="142" t="b">
        <f t="shared" si="23"/>
        <v>0</v>
      </c>
    </row>
    <row r="38" spans="1:79">
      <c r="A38" s="160" t="str">
        <f t="shared" si="24"/>
        <v>2ADSLAddnationaal352/352</v>
      </c>
      <c r="B38" s="142" t="str">
        <f t="shared" si="25"/>
        <v>2ADSL352/352Add</v>
      </c>
      <c r="C38" s="198">
        <v>2</v>
      </c>
      <c r="D38" s="198" t="s">
        <v>42</v>
      </c>
      <c r="E38" s="198" t="s">
        <v>103</v>
      </c>
      <c r="F38" s="198" t="s">
        <v>115</v>
      </c>
      <c r="G38" s="199" t="s">
        <v>113</v>
      </c>
      <c r="H38" s="198" t="s">
        <v>108</v>
      </c>
      <c r="J38" s="142" t="str">
        <f t="shared" si="26"/>
        <v>ADSL352/352Add</v>
      </c>
      <c r="L38" s="160">
        <f>INDEX(Mapping!$J:$J,MATCH(C$3&amp;C38,Mapping!$B:$B,0))</f>
        <v>1</v>
      </c>
      <c r="M38" s="179" t="str">
        <f>INDEX(Mapping!$H:$H,MATCH(D38&amp;H38&amp;$E38,Mapping!$B:$B,0))</f>
        <v>WBA ZM Ethernet</v>
      </c>
      <c r="N38" s="179" t="str">
        <f>INDEX(Mapping!$J:$J,MATCH(D38&amp;H38&amp;$E38,Mapping!$B:$B,0))</f>
        <v>premium</v>
      </c>
      <c r="O38" s="179" t="str">
        <f>INDEX(Mapping!$I:$I,MATCH($D38,Mapping!$B:$B,0))</f>
        <v>ADSL</v>
      </c>
      <c r="P38" s="179" t="str">
        <f>INDEX(Mapping!$H:$H,MATCH($F38,Mapping!$B:$B,0))</f>
        <v>nvt</v>
      </c>
      <c r="Q38" s="283" t="str">
        <f>INDEX(Mapping!$K:$K,MATCH($D38&amp;$H38&amp;E38,Mapping!$B:$B,0))</f>
        <v>metro</v>
      </c>
      <c r="R38" s="179" t="str">
        <f>INDEX(Mapping!$I:$I,MATCH(D38&amp;H38&amp;$E38,Mapping!$B:$B,0))</f>
        <v>1 Mbps/1 Mbps</v>
      </c>
      <c r="S38" s="203"/>
      <c r="T38" s="283" t="str">
        <f>INDEX(Mapping!$L:$L,MATCH($D38&amp;$H38&amp;E38,Mapping!$B:$B,0))</f>
        <v>metro-nationaal</v>
      </c>
      <c r="U38" s="142" t="str">
        <f t="shared" si="27"/>
        <v>WBA ZM Ethernet1 Mbps/1 Mbpspremiummetro</v>
      </c>
      <c r="W38" s="160">
        <f>MATCH($J38,'Tarieven ZM'!$B:$B,0)</f>
        <v>65</v>
      </c>
      <c r="X38" s="148">
        <f>INDEX('Tarieven ZM'!$H:$H,$W38)</f>
        <v>1000</v>
      </c>
      <c r="Y38" s="161">
        <f>-INDEX(Parameters!$B:$B,MATCH(Y$3,Parameters!$A:$A,0))*$X38</f>
        <v>0</v>
      </c>
      <c r="Z38" s="149">
        <f>-INDEX(Parameters!$B:$B,MATCH(Z$3,Parameters!$A:$A,0))*$X38</f>
        <v>0</v>
      </c>
      <c r="AA38" s="148">
        <f t="shared" si="28"/>
        <v>1000</v>
      </c>
      <c r="AB38" s="148">
        <f>AA38/INDEX(Parameters!$B:$B,MATCH("AfschrijftermijnVVE"&amp;12*$C38,Parameters!$A:$A,0))</f>
        <v>27.777777777777779</v>
      </c>
      <c r="AC38" s="148">
        <f>INDEX('Tarieven ZM'!$G:$G,$W38)</f>
        <v>1000</v>
      </c>
      <c r="AD38" s="161">
        <f>-INDEX(Parameters!$B:$B,MATCH(AD$3,Parameters!$A:$A,0))*$AC38</f>
        <v>0</v>
      </c>
      <c r="AE38" s="161">
        <f>-INDEX(Parameters!$B:$B,MATCH(AE$3,Parameters!$A:$A,0))*$AC38</f>
        <v>0</v>
      </c>
      <c r="AF38" s="148">
        <f t="shared" si="29"/>
        <v>1000</v>
      </c>
      <c r="AG38" s="151">
        <f t="shared" si="30"/>
        <v>1027.7777777777778</v>
      </c>
      <c r="AH38" s="123"/>
      <c r="AI38" s="147">
        <f>IF(R38&lt;&gt;"n.a.",MATCH($U38,'Tarieven W&amp;O'!$B:$B,0),"nvt")</f>
        <v>138</v>
      </c>
      <c r="AJ38" s="148">
        <f>IF(AI38&lt;&gt;"nvt",INDEX('Tarieven W&amp;O'!$H:$H,$AI38),0)</f>
        <v>0</v>
      </c>
      <c r="AK38" s="148">
        <f>IF(AI38&lt;&gt;"nvt",INDEX('Tarieven W&amp;O'!$I:$I,$AI38),0)</f>
        <v>5</v>
      </c>
      <c r="AL38" s="277">
        <f>IF(AI38&lt;&gt;"nvt",-INDEX(Parameters!$B:$B,MATCH(AL$3&amp;$M38,Parameters!$A:$A,0))*(AJ38+AK38),0)</f>
        <v>0</v>
      </c>
      <c r="AM38" s="442"/>
      <c r="AN38" s="179">
        <f t="shared" si="31"/>
        <v>5</v>
      </c>
      <c r="AO38" s="262">
        <f>AN38/INDEX(Parameters!$B:$B,MATCH("AfschrijftermijnVVE"&amp;12*$C38,Parameters!$A:$A,0))</f>
        <v>0.1388888888888889</v>
      </c>
      <c r="AP38" s="179">
        <f t="shared" si="32"/>
        <v>138</v>
      </c>
      <c r="AQ38" s="202">
        <f>IF(AP38&lt;&gt;"nvt",INDEX('Tarieven W&amp;O'!$G:$G,$AP38),0)</f>
        <v>7.41</v>
      </c>
      <c r="AR38" s="463">
        <f>-INDEX(Parameters!$B:$B,MATCH(AR$3&amp;$M38&amp;O38,Parameters!$A:$A,0))*(AQ38)</f>
        <v>0</v>
      </c>
      <c r="AS38" s="262">
        <v>0</v>
      </c>
      <c r="AT38" s="442">
        <f>IF(M38="WBA CM Ethernet",0,'EDC Minus'!$H$27)</f>
        <v>1</v>
      </c>
      <c r="AU38" s="202">
        <f t="shared" si="33"/>
        <v>8.41</v>
      </c>
      <c r="AV38" s="202">
        <f t="shared" si="34"/>
        <v>8.5488888888888894</v>
      </c>
      <c r="AW38" s="202"/>
      <c r="AX38" s="202">
        <f>Parameters!$B$6*AV38</f>
        <v>8.5488888888888892E-2</v>
      </c>
      <c r="AY38" s="202">
        <v>0</v>
      </c>
      <c r="AZ38" s="202"/>
      <c r="BA38" s="150">
        <f t="shared" si="16"/>
        <v>8.5488888888888892E-2</v>
      </c>
      <c r="BB38" s="150"/>
      <c r="BC38" s="151">
        <f t="shared" si="17"/>
        <v>8.6343777777777788</v>
      </c>
      <c r="BD38" s="123"/>
      <c r="BE38" s="140">
        <f t="shared" si="36"/>
        <v>1019.1434</v>
      </c>
      <c r="BF38" s="141">
        <f t="shared" si="37"/>
        <v>0.99159898378378375</v>
      </c>
      <c r="BG38" s="142" t="b">
        <f t="shared" si="35"/>
        <v>0</v>
      </c>
      <c r="BH38" s="148"/>
      <c r="BI38" s="188" t="s">
        <v>539</v>
      </c>
      <c r="BJ38" s="189"/>
      <c r="BK38">
        <f>VLOOKUP(J38,'Tarieven ZM'!$B$7:$I$146,8,0)</f>
        <v>0</v>
      </c>
      <c r="BL38" s="179" t="str">
        <f>INDEX(Mapping!$M:$M,MATCH($J38,Mapping!$B:$B,0))</f>
        <v>nvt</v>
      </c>
      <c r="BM38" s="282">
        <v>0</v>
      </c>
      <c r="BN38" s="262">
        <f>BM38/INDEX(Parameters!$B:$B,MATCH("AfschrijftermijnVVE"&amp;12*$C38,Parameters!$A:$A,0))</f>
        <v>0</v>
      </c>
      <c r="BO38" s="262">
        <f>AS38+INDEX('inkoop ULL tbv Epacity'!I:I,MATCH($BL38,'inkoop ULL tbv Epacity'!H:H,0))</f>
        <v>0</v>
      </c>
      <c r="BP38" s="263">
        <f t="shared" si="18"/>
        <v>0</v>
      </c>
      <c r="BQ38" s="203"/>
      <c r="BR38" s="262">
        <f>Parameters!$B$12*AG38</f>
        <v>102.77777777777779</v>
      </c>
      <c r="BS38" s="262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SUM(Distributievergoedingen!$F$12,Distributievergoedingen!$I$12,Distributievergoedingen!$L$12,Distributievergoedingen!$O$12)*AF38+SUM(Distributievergoedingen!$O$12*AA38+Distributievergoedingen!$R$12+Distributievergoedingen!$U$12+Distributievergoedingen!$X$12)/(MAX(36,12*L38))</f>
        <v>112.77777777777777</v>
      </c>
      <c r="BT38" s="262"/>
      <c r="BU38" s="150">
        <f t="shared" si="19"/>
        <v>215.55555555555554</v>
      </c>
      <c r="BW38" s="151">
        <f t="shared" si="20"/>
        <v>215.55555555555554</v>
      </c>
      <c r="BY38" s="140">
        <f t="shared" si="21"/>
        <v>812.22222222222229</v>
      </c>
      <c r="BZ38" s="141">
        <f t="shared" si="22"/>
        <v>0.7902702702702703</v>
      </c>
      <c r="CA38" s="142" t="b">
        <f t="shared" si="23"/>
        <v>0</v>
      </c>
    </row>
    <row r="39" spans="1:79">
      <c r="A39" s="160" t="str">
        <f t="shared" si="24"/>
        <v>2ADSLAddnationaal448/448</v>
      </c>
      <c r="B39" s="142" t="str">
        <f t="shared" si="25"/>
        <v>2ADSL448/448Add</v>
      </c>
      <c r="C39" s="198">
        <v>2</v>
      </c>
      <c r="D39" s="198" t="s">
        <v>42</v>
      </c>
      <c r="E39" s="198" t="s">
        <v>103</v>
      </c>
      <c r="F39" s="198" t="s">
        <v>115</v>
      </c>
      <c r="G39" s="199" t="s">
        <v>113</v>
      </c>
      <c r="H39" s="198" t="s">
        <v>79</v>
      </c>
      <c r="J39" s="142" t="str">
        <f t="shared" si="26"/>
        <v>ADSL448/448Add</v>
      </c>
      <c r="L39" s="160">
        <f>INDEX(Mapping!$J:$J,MATCH(C$3&amp;C39,Mapping!$B:$B,0))</f>
        <v>1</v>
      </c>
      <c r="M39" s="179" t="str">
        <f>INDEX(Mapping!$H:$H,MATCH(D39&amp;H39&amp;$E39,Mapping!$B:$B,0))</f>
        <v>WBA ZM Ethernet</v>
      </c>
      <c r="N39" s="179" t="str">
        <f>INDEX(Mapping!$J:$J,MATCH(D39&amp;H39&amp;$E39,Mapping!$B:$B,0))</f>
        <v>premium</v>
      </c>
      <c r="O39" s="179" t="str">
        <f>INDEX(Mapping!$I:$I,MATCH($D39,Mapping!$B:$B,0))</f>
        <v>ADSL</v>
      </c>
      <c r="P39" s="179" t="str">
        <f>INDEX(Mapping!$H:$H,MATCH($F39,Mapping!$B:$B,0))</f>
        <v>nvt</v>
      </c>
      <c r="Q39" s="283" t="str">
        <f>INDEX(Mapping!$K:$K,MATCH($D39&amp;$H39&amp;E39,Mapping!$B:$B,0))</f>
        <v>metro</v>
      </c>
      <c r="R39" s="179" t="str">
        <f>INDEX(Mapping!$I:$I,MATCH(D39&amp;H39&amp;$E39,Mapping!$B:$B,0))</f>
        <v>1 Mbps/1 Mbps</v>
      </c>
      <c r="S39" s="203"/>
      <c r="T39" s="283" t="str">
        <f>INDEX(Mapping!$L:$L,MATCH($D39&amp;$H39&amp;E39,Mapping!$B:$B,0))</f>
        <v>metro-nationaal</v>
      </c>
      <c r="U39" s="142" t="str">
        <f t="shared" si="27"/>
        <v>WBA ZM Ethernet1 Mbps/1 Mbpspremiummetro</v>
      </c>
      <c r="W39" s="160">
        <f>MATCH($J39,'Tarieven ZM'!$B:$B,0)</f>
        <v>66</v>
      </c>
      <c r="X39" s="148">
        <f>INDEX('Tarieven ZM'!$H:$H,$W39)</f>
        <v>1000</v>
      </c>
      <c r="Y39" s="161">
        <f>-INDEX(Parameters!$B:$B,MATCH(Y$3,Parameters!$A:$A,0))*$X39</f>
        <v>0</v>
      </c>
      <c r="Z39" s="149">
        <f>-INDEX(Parameters!$B:$B,MATCH(Z$3,Parameters!$A:$A,0))*$X39</f>
        <v>0</v>
      </c>
      <c r="AA39" s="148">
        <f t="shared" si="28"/>
        <v>1000</v>
      </c>
      <c r="AB39" s="148">
        <f>AA39/INDEX(Parameters!$B:$B,MATCH("AfschrijftermijnVVE"&amp;12*$C39,Parameters!$A:$A,0))</f>
        <v>27.777777777777779</v>
      </c>
      <c r="AC39" s="148">
        <f>INDEX('Tarieven ZM'!$G:$G,$W39)</f>
        <v>1000</v>
      </c>
      <c r="AD39" s="161">
        <f>-INDEX(Parameters!$B:$B,MATCH(AD$3,Parameters!$A:$A,0))*$AC39</f>
        <v>0</v>
      </c>
      <c r="AE39" s="161">
        <f>-INDEX(Parameters!$B:$B,MATCH(AE$3,Parameters!$A:$A,0))*$AC39</f>
        <v>0</v>
      </c>
      <c r="AF39" s="148">
        <f t="shared" si="29"/>
        <v>1000</v>
      </c>
      <c r="AG39" s="151">
        <f t="shared" si="30"/>
        <v>1027.7777777777778</v>
      </c>
      <c r="AH39" s="123"/>
      <c r="AI39" s="147">
        <f>IF(R39&lt;&gt;"n.a.",MATCH($U39,'Tarieven W&amp;O'!$B:$B,0),"nvt")</f>
        <v>138</v>
      </c>
      <c r="AJ39" s="148">
        <f>IF(AI39&lt;&gt;"nvt",INDEX('Tarieven W&amp;O'!$H:$H,$AI39),0)</f>
        <v>0</v>
      </c>
      <c r="AK39" s="148">
        <f>IF(AI39&lt;&gt;"nvt",INDEX('Tarieven W&amp;O'!$I:$I,$AI39),0)</f>
        <v>5</v>
      </c>
      <c r="AL39" s="277">
        <f>IF(AI39&lt;&gt;"nvt",-INDEX(Parameters!$B:$B,MATCH(AL$3&amp;$M39,Parameters!$A:$A,0))*(AJ39+AK39),0)</f>
        <v>0</v>
      </c>
      <c r="AM39" s="442"/>
      <c r="AN39" s="179">
        <f t="shared" si="31"/>
        <v>5</v>
      </c>
      <c r="AO39" s="262">
        <f>AN39/INDEX(Parameters!$B:$B,MATCH("AfschrijftermijnVVE"&amp;12*$C39,Parameters!$A:$A,0))</f>
        <v>0.1388888888888889</v>
      </c>
      <c r="AP39" s="179">
        <f t="shared" si="32"/>
        <v>138</v>
      </c>
      <c r="AQ39" s="202">
        <f>IF(AP39&lt;&gt;"nvt",INDEX('Tarieven W&amp;O'!$G:$G,$AP39),0)</f>
        <v>7.41</v>
      </c>
      <c r="AR39" s="463">
        <f>-INDEX(Parameters!$B:$B,MATCH(AR$3&amp;$M39&amp;O39,Parameters!$A:$A,0))*(AQ39)</f>
        <v>0</v>
      </c>
      <c r="AS39" s="262">
        <v>0</v>
      </c>
      <c r="AT39" s="442">
        <f>IF(M39="WBA CM Ethernet",0,'EDC Minus'!$H$27)</f>
        <v>1</v>
      </c>
      <c r="AU39" s="202">
        <f t="shared" si="33"/>
        <v>8.41</v>
      </c>
      <c r="AV39" s="202">
        <f t="shared" si="34"/>
        <v>8.5488888888888894</v>
      </c>
      <c r="AW39" s="202"/>
      <c r="AX39" s="202">
        <f>Parameters!$B$6*AV39</f>
        <v>8.5488888888888892E-2</v>
      </c>
      <c r="AY39" s="202">
        <v>0</v>
      </c>
      <c r="AZ39" s="202"/>
      <c r="BA39" s="150">
        <f t="shared" si="16"/>
        <v>8.5488888888888892E-2</v>
      </c>
      <c r="BB39" s="150"/>
      <c r="BC39" s="151">
        <f t="shared" si="17"/>
        <v>8.6343777777777788</v>
      </c>
      <c r="BD39" s="123"/>
      <c r="BE39" s="140">
        <f t="shared" si="36"/>
        <v>1019.1434</v>
      </c>
      <c r="BF39" s="141">
        <f t="shared" si="37"/>
        <v>0.99159898378378375</v>
      </c>
      <c r="BG39" s="142" t="b">
        <f t="shared" si="35"/>
        <v>0</v>
      </c>
      <c r="BH39" s="148"/>
      <c r="BI39" s="188" t="s">
        <v>539</v>
      </c>
      <c r="BJ39" s="189"/>
      <c r="BK39">
        <f>VLOOKUP(J39,'Tarieven ZM'!$B$7:$I$146,8,0)</f>
        <v>0</v>
      </c>
      <c r="BL39" s="179" t="str">
        <f>INDEX(Mapping!$M:$M,MATCH($J39,Mapping!$B:$B,0))</f>
        <v>nvt</v>
      </c>
      <c r="BM39" s="282">
        <v>0</v>
      </c>
      <c r="BN39" s="262">
        <f>BM39/INDEX(Parameters!$B:$B,MATCH("AfschrijftermijnVVE"&amp;12*$C39,Parameters!$A:$A,0))</f>
        <v>0</v>
      </c>
      <c r="BO39" s="262">
        <f>AS39+INDEX('inkoop ULL tbv Epacity'!I:I,MATCH($BL39,'inkoop ULL tbv Epacity'!H:H,0))</f>
        <v>0</v>
      </c>
      <c r="BP39" s="263">
        <f t="shared" si="18"/>
        <v>0</v>
      </c>
      <c r="BQ39" s="203"/>
      <c r="BR39" s="262">
        <f>Parameters!$B$12*AG39</f>
        <v>102.77777777777779</v>
      </c>
      <c r="BS39" s="262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SUM(Distributievergoedingen!$F$12,Distributievergoedingen!$I$12,Distributievergoedingen!$L$12,Distributievergoedingen!$O$12)*AF39+SUM(Distributievergoedingen!$O$12*AA39+Distributievergoedingen!$R$12+Distributievergoedingen!$U$12+Distributievergoedingen!$X$12)/(MAX(36,12*L39))</f>
        <v>112.77777777777777</v>
      </c>
      <c r="BT39" s="262"/>
      <c r="BU39" s="150">
        <f t="shared" si="19"/>
        <v>215.55555555555554</v>
      </c>
      <c r="BW39" s="151">
        <f t="shared" si="20"/>
        <v>215.55555555555554</v>
      </c>
      <c r="BY39" s="140">
        <f t="shared" si="21"/>
        <v>812.22222222222229</v>
      </c>
      <c r="BZ39" s="141">
        <f t="shared" si="22"/>
        <v>0.7902702702702703</v>
      </c>
      <c r="CA39" s="142" t="b">
        <f t="shared" si="23"/>
        <v>0</v>
      </c>
    </row>
    <row r="40" spans="1:79">
      <c r="A40" s="160" t="str">
        <f t="shared" si="24"/>
        <v>2ADSLAddnationaal512/512</v>
      </c>
      <c r="B40" s="142" t="str">
        <f t="shared" si="25"/>
        <v>2ADSL512/512Add</v>
      </c>
      <c r="C40" s="198">
        <v>2</v>
      </c>
      <c r="D40" s="198" t="s">
        <v>42</v>
      </c>
      <c r="E40" s="198" t="s">
        <v>103</v>
      </c>
      <c r="F40" s="198" t="s">
        <v>115</v>
      </c>
      <c r="G40" s="199" t="s">
        <v>113</v>
      </c>
      <c r="H40" s="198" t="s">
        <v>50</v>
      </c>
      <c r="J40" s="142" t="str">
        <f t="shared" si="26"/>
        <v>ADSL512/512Add</v>
      </c>
      <c r="L40" s="160">
        <f>INDEX(Mapping!$J:$J,MATCH(C$3&amp;C40,Mapping!$B:$B,0))</f>
        <v>1</v>
      </c>
      <c r="M40" s="179" t="str">
        <f>INDEX(Mapping!$H:$H,MATCH(D40&amp;H40&amp;$E40,Mapping!$B:$B,0))</f>
        <v>WBA ZM Ethernet</v>
      </c>
      <c r="N40" s="179" t="str">
        <f>INDEX(Mapping!$J:$J,MATCH(D40&amp;H40&amp;$E40,Mapping!$B:$B,0))</f>
        <v>premium</v>
      </c>
      <c r="O40" s="179" t="str">
        <f>INDEX(Mapping!$I:$I,MATCH($D40,Mapping!$B:$B,0))</f>
        <v>ADSL</v>
      </c>
      <c r="P40" s="179" t="str">
        <f>INDEX(Mapping!$H:$H,MATCH($F40,Mapping!$B:$B,0))</f>
        <v>nvt</v>
      </c>
      <c r="Q40" s="283" t="str">
        <f>INDEX(Mapping!$K:$K,MATCH($D40&amp;$H40&amp;E40,Mapping!$B:$B,0))</f>
        <v>metro</v>
      </c>
      <c r="R40" s="179" t="str">
        <f>INDEX(Mapping!$I:$I,MATCH(D40&amp;H40&amp;$E40,Mapping!$B:$B,0))</f>
        <v>1 Mbps/1 Mbps</v>
      </c>
      <c r="S40" s="203"/>
      <c r="T40" s="283" t="str">
        <f>INDEX(Mapping!$L:$L,MATCH($D40&amp;$H40&amp;E40,Mapping!$B:$B,0))</f>
        <v>metro-nationaal</v>
      </c>
      <c r="U40" s="142" t="str">
        <f t="shared" si="27"/>
        <v>WBA ZM Ethernet1 Mbps/1 Mbpspremiummetro</v>
      </c>
      <c r="W40" s="160">
        <f>MATCH($J40,'Tarieven ZM'!$B:$B,0)</f>
        <v>67</v>
      </c>
      <c r="X40" s="148">
        <f>INDEX('Tarieven ZM'!$H:$H,$W40)</f>
        <v>1000</v>
      </c>
      <c r="Y40" s="161">
        <f>-INDEX(Parameters!$B:$B,MATCH(Y$3,Parameters!$A:$A,0))*$X40</f>
        <v>0</v>
      </c>
      <c r="Z40" s="149">
        <f>-INDEX(Parameters!$B:$B,MATCH(Z$3,Parameters!$A:$A,0))*$X40</f>
        <v>0</v>
      </c>
      <c r="AA40" s="148">
        <f t="shared" si="28"/>
        <v>1000</v>
      </c>
      <c r="AB40" s="148">
        <f>AA40/INDEX(Parameters!$B:$B,MATCH("AfschrijftermijnVVE"&amp;12*$C40,Parameters!$A:$A,0))</f>
        <v>27.777777777777779</v>
      </c>
      <c r="AC40" s="148">
        <f>INDEX('Tarieven ZM'!$G:$G,$W40)</f>
        <v>1000</v>
      </c>
      <c r="AD40" s="161">
        <f>-INDEX(Parameters!$B:$B,MATCH(AD$3,Parameters!$A:$A,0))*$AC40</f>
        <v>0</v>
      </c>
      <c r="AE40" s="161">
        <f>-INDEX(Parameters!$B:$B,MATCH(AE$3,Parameters!$A:$A,0))*$AC40</f>
        <v>0</v>
      </c>
      <c r="AF40" s="148">
        <f t="shared" si="29"/>
        <v>1000</v>
      </c>
      <c r="AG40" s="151">
        <f t="shared" si="30"/>
        <v>1027.7777777777778</v>
      </c>
      <c r="AH40" s="123"/>
      <c r="AI40" s="147">
        <f>IF(R40&lt;&gt;"n.a.",MATCH($U40,'Tarieven W&amp;O'!$B:$B,0),"nvt")</f>
        <v>138</v>
      </c>
      <c r="AJ40" s="148">
        <f>IF(AI40&lt;&gt;"nvt",INDEX('Tarieven W&amp;O'!$H:$H,$AI40),0)</f>
        <v>0</v>
      </c>
      <c r="AK40" s="148">
        <f>IF(AI40&lt;&gt;"nvt",INDEX('Tarieven W&amp;O'!$I:$I,$AI40),0)</f>
        <v>5</v>
      </c>
      <c r="AL40" s="277">
        <f>IF(AI40&lt;&gt;"nvt",-INDEX(Parameters!$B:$B,MATCH(AL$3&amp;$M40,Parameters!$A:$A,0))*(AJ40+AK40),0)</f>
        <v>0</v>
      </c>
      <c r="AM40" s="442"/>
      <c r="AN40" s="179">
        <f t="shared" si="31"/>
        <v>5</v>
      </c>
      <c r="AO40" s="262">
        <f>AN40/INDEX(Parameters!$B:$B,MATCH("AfschrijftermijnVVE"&amp;12*$C40,Parameters!$A:$A,0))</f>
        <v>0.1388888888888889</v>
      </c>
      <c r="AP40" s="179">
        <f t="shared" si="32"/>
        <v>138</v>
      </c>
      <c r="AQ40" s="202">
        <f>IF(AP40&lt;&gt;"nvt",INDEX('Tarieven W&amp;O'!$G:$G,$AP40),0)</f>
        <v>7.41</v>
      </c>
      <c r="AR40" s="463">
        <f>-INDEX(Parameters!$B:$B,MATCH(AR$3&amp;$M40&amp;O40,Parameters!$A:$A,0))*(AQ40)</f>
        <v>0</v>
      </c>
      <c r="AS40" s="262">
        <v>0</v>
      </c>
      <c r="AT40" s="442">
        <f>IF(M40="WBA CM Ethernet",0,'EDC Minus'!$H$27)</f>
        <v>1</v>
      </c>
      <c r="AU40" s="202">
        <f t="shared" si="33"/>
        <v>8.41</v>
      </c>
      <c r="AV40" s="202">
        <f t="shared" si="34"/>
        <v>8.5488888888888894</v>
      </c>
      <c r="AW40" s="202"/>
      <c r="AX40" s="202">
        <f>Parameters!$B$6*AV40</f>
        <v>8.5488888888888892E-2</v>
      </c>
      <c r="AY40" s="202">
        <v>0</v>
      </c>
      <c r="AZ40" s="202"/>
      <c r="BA40" s="150">
        <f t="shared" si="16"/>
        <v>8.5488888888888892E-2</v>
      </c>
      <c r="BB40" s="150"/>
      <c r="BC40" s="151">
        <f t="shared" si="17"/>
        <v>8.6343777777777788</v>
      </c>
      <c r="BD40" s="123"/>
      <c r="BE40" s="140">
        <f t="shared" si="36"/>
        <v>1019.1434</v>
      </c>
      <c r="BF40" s="141">
        <f t="shared" si="37"/>
        <v>0.99159898378378375</v>
      </c>
      <c r="BG40" s="142" t="b">
        <f t="shared" si="35"/>
        <v>0</v>
      </c>
      <c r="BH40" s="148"/>
      <c r="BI40" s="188" t="s">
        <v>539</v>
      </c>
      <c r="BJ40" s="189"/>
      <c r="BK40">
        <f>VLOOKUP(J40,'Tarieven ZM'!$B$7:$I$146,8,0)</f>
        <v>0</v>
      </c>
      <c r="BL40" s="179" t="str">
        <f>INDEX(Mapping!$M:$M,MATCH($J40,Mapping!$B:$B,0))</f>
        <v>nvt</v>
      </c>
      <c r="BM40" s="282">
        <v>0</v>
      </c>
      <c r="BN40" s="262">
        <f>BM40/INDEX(Parameters!$B:$B,MATCH("AfschrijftermijnVVE"&amp;12*$C40,Parameters!$A:$A,0))</f>
        <v>0</v>
      </c>
      <c r="BO40" s="262">
        <f>AS40+INDEX('inkoop ULL tbv Epacity'!I:I,MATCH($BL40,'inkoop ULL tbv Epacity'!H:H,0))</f>
        <v>0</v>
      </c>
      <c r="BP40" s="263">
        <f t="shared" si="18"/>
        <v>0</v>
      </c>
      <c r="BQ40" s="203"/>
      <c r="BR40" s="262">
        <f>Parameters!$B$12*AG40</f>
        <v>102.77777777777779</v>
      </c>
      <c r="BS40" s="262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SUM(Distributievergoedingen!$F$12,Distributievergoedingen!$I$12,Distributievergoedingen!$L$12,Distributievergoedingen!$O$12)*AF40+SUM(Distributievergoedingen!$O$12*AA40+Distributievergoedingen!$R$12+Distributievergoedingen!$U$12+Distributievergoedingen!$X$12)/(MAX(36,12*L40))</f>
        <v>112.77777777777777</v>
      </c>
      <c r="BT40" s="262"/>
      <c r="BU40" s="150">
        <f t="shared" si="19"/>
        <v>215.55555555555554</v>
      </c>
      <c r="BW40" s="151">
        <f t="shared" si="20"/>
        <v>215.55555555555554</v>
      </c>
      <c r="BY40" s="140">
        <f t="shared" si="21"/>
        <v>812.22222222222229</v>
      </c>
      <c r="BZ40" s="141">
        <f t="shared" si="22"/>
        <v>0.7902702702702703</v>
      </c>
      <c r="CA40" s="142" t="b">
        <f t="shared" si="23"/>
        <v>0</v>
      </c>
    </row>
    <row r="41" spans="1:79">
      <c r="A41" s="160" t="str">
        <f t="shared" si="24"/>
        <v>2SDSLAddnationaal224/224</v>
      </c>
      <c r="B41" s="142" t="str">
        <f t="shared" si="25"/>
        <v>2SDSL224/224Add</v>
      </c>
      <c r="C41" s="198">
        <v>2</v>
      </c>
      <c r="D41" s="198" t="s">
        <v>64</v>
      </c>
      <c r="E41" s="198" t="s">
        <v>103</v>
      </c>
      <c r="F41" s="198" t="s">
        <v>115</v>
      </c>
      <c r="G41" s="199" t="s">
        <v>113</v>
      </c>
      <c r="H41" s="198" t="s">
        <v>107</v>
      </c>
      <c r="J41" s="142" t="str">
        <f t="shared" si="26"/>
        <v>SDSL224/224Add</v>
      </c>
      <c r="L41" s="160">
        <f>INDEX(Mapping!$J:$J,MATCH(C$3&amp;C41,Mapping!$B:$B,0))</f>
        <v>1</v>
      </c>
      <c r="M41" s="179" t="str">
        <f>INDEX(Mapping!$H:$H,MATCH(D41&amp;H41&amp;$E41,Mapping!$B:$B,0))</f>
        <v>WBA CM Ethernet</v>
      </c>
      <c r="N41" s="179" t="str">
        <f>INDEX(Mapping!$J:$J,MATCH(D41&amp;H41&amp;$E41,Mapping!$B:$B,0))</f>
        <v>add</v>
      </c>
      <c r="O41" s="179" t="str">
        <f>INDEX(Mapping!$I:$I,MATCH($D41,Mapping!$B:$B,0))</f>
        <v>SDSL</v>
      </c>
      <c r="P41" s="179" t="str">
        <f>INDEX(Mapping!$H:$H,MATCH($F41,Mapping!$B:$B,0))</f>
        <v>nvt</v>
      </c>
      <c r="Q41" s="283" t="str">
        <f>INDEX(Mapping!$K:$K,MATCH($D41&amp;$H41&amp;E41,Mapping!$B:$B,0))</f>
        <v>national</v>
      </c>
      <c r="R41" s="179" t="str">
        <f>INDEX(Mapping!$I:$I,MATCH(D41&amp;H41&amp;$E41,Mapping!$B:$B,0))</f>
        <v>&lt;=256 kbps/&lt;=256 kbps</v>
      </c>
      <c r="S41" s="203"/>
      <c r="T41" s="283" t="str">
        <f>INDEX(Mapping!$L:$L,MATCH($D41&amp;$H41&amp;E41,Mapping!$B:$B,0))</f>
        <v>nvt</v>
      </c>
      <c r="U41" s="142" t="str">
        <f t="shared" si="27"/>
        <v>WBA CM Ethernet&lt;=256 kbps/&lt;=256 kbpsaddnational</v>
      </c>
      <c r="W41" s="160">
        <f>MATCH($J41,'Tarieven ZM'!$B:$B,0)</f>
        <v>68</v>
      </c>
      <c r="X41" s="148">
        <f>INDEX('Tarieven ZM'!$H:$H,$W41)</f>
        <v>1000</v>
      </c>
      <c r="Y41" s="161">
        <f>-INDEX(Parameters!$B:$B,MATCH(Y$3,Parameters!$A:$A,0))*$X41</f>
        <v>0</v>
      </c>
      <c r="Z41" s="149">
        <f>-INDEX(Parameters!$B:$B,MATCH(Z$3,Parameters!$A:$A,0))*$X41</f>
        <v>0</v>
      </c>
      <c r="AA41" s="148">
        <f t="shared" si="28"/>
        <v>1000</v>
      </c>
      <c r="AB41" s="148">
        <f>AA41/INDEX(Parameters!$B:$B,MATCH("AfschrijftermijnVVE"&amp;12*$C41,Parameters!$A:$A,0))</f>
        <v>27.777777777777779</v>
      </c>
      <c r="AC41" s="148">
        <f>INDEX('Tarieven ZM'!$G:$G,$W41)</f>
        <v>1000</v>
      </c>
      <c r="AD41" s="161">
        <f>-INDEX(Parameters!$B:$B,MATCH(AD$3,Parameters!$A:$A,0))*$AC41</f>
        <v>0</v>
      </c>
      <c r="AE41" s="161">
        <f>-INDEX(Parameters!$B:$B,MATCH(AE$3,Parameters!$A:$A,0))*$AC41</f>
        <v>0</v>
      </c>
      <c r="AF41" s="148">
        <f t="shared" si="29"/>
        <v>1000</v>
      </c>
      <c r="AG41" s="151">
        <f t="shared" si="30"/>
        <v>1027.7777777777778</v>
      </c>
      <c r="AH41" s="123"/>
      <c r="AI41" s="147">
        <f>IF(R41&lt;&gt;"n.a.",MATCH($U41,'Tarieven W&amp;O'!$B:$B,0),"nvt")</f>
        <v>134</v>
      </c>
      <c r="AJ41" s="148">
        <f>IF(AI41&lt;&gt;"nvt",INDEX('Tarieven W&amp;O'!$H:$H,$AI41),0)</f>
        <v>0</v>
      </c>
      <c r="AK41" s="148">
        <f>IF(AI41&lt;&gt;"nvt",INDEX('Tarieven W&amp;O'!$I:$I,$AI41),0)</f>
        <v>5</v>
      </c>
      <c r="AL41" s="277">
        <f>IF(AI41&lt;&gt;"nvt",-INDEX(Parameters!$B:$B,MATCH(AL$3&amp;$M41,Parameters!$A:$A,0))*(AJ41+AK41),0)</f>
        <v>0</v>
      </c>
      <c r="AM41" s="442"/>
      <c r="AN41" s="179">
        <f t="shared" si="31"/>
        <v>5</v>
      </c>
      <c r="AO41" s="262">
        <f>AN41/INDEX(Parameters!$B:$B,MATCH("AfschrijftermijnVVE"&amp;12*$C41,Parameters!$A:$A,0))</f>
        <v>0.1388888888888889</v>
      </c>
      <c r="AP41" s="179">
        <f t="shared" si="32"/>
        <v>134</v>
      </c>
      <c r="AQ41" s="202">
        <f>IF(AP41&lt;&gt;"nvt",INDEX('Tarieven W&amp;O'!$G:$G,$AP41),0)</f>
        <v>1E-4</v>
      </c>
      <c r="AR41" s="463">
        <f>-INDEX(Parameters!$B:$B,MATCH(AR$3&amp;$M41&amp;O41,Parameters!$A:$A,0))*(AQ41)</f>
        <v>-1.0000000000000001E-5</v>
      </c>
      <c r="AS41" s="262">
        <v>0</v>
      </c>
      <c r="AT41" s="442">
        <f>IF(M41="WBA CM Ethernet",0,'EDC Minus'!$H$27)</f>
        <v>0</v>
      </c>
      <c r="AU41" s="202">
        <f t="shared" si="33"/>
        <v>9.0000000000000006E-5</v>
      </c>
      <c r="AV41" s="202">
        <f t="shared" si="34"/>
        <v>0.1389788888888889</v>
      </c>
      <c r="AW41" s="202"/>
      <c r="AX41" s="202">
        <f>Parameters!$B$6*AV41</f>
        <v>1.389788888888889E-3</v>
      </c>
      <c r="AY41" s="202">
        <v>0</v>
      </c>
      <c r="AZ41" s="202"/>
      <c r="BA41" s="150">
        <f t="shared" si="16"/>
        <v>1.389788888888889E-3</v>
      </c>
      <c r="BB41" s="150"/>
      <c r="BC41" s="151">
        <f t="shared" si="17"/>
        <v>0.14036867777777778</v>
      </c>
      <c r="BD41" s="123"/>
      <c r="BE41" s="140">
        <f t="shared" si="36"/>
        <v>1027.6374091</v>
      </c>
      <c r="BF41" s="141">
        <f t="shared" si="37"/>
        <v>0.99986342507027026</v>
      </c>
      <c r="BG41" s="142" t="b">
        <f t="shared" si="35"/>
        <v>0</v>
      </c>
      <c r="BH41" s="148"/>
      <c r="BI41" s="188" t="s">
        <v>539</v>
      </c>
      <c r="BJ41" s="189"/>
      <c r="BK41">
        <f>VLOOKUP(J41,'Tarieven ZM'!$B$7:$I$146,8,0)</f>
        <v>0</v>
      </c>
      <c r="BL41" s="179" t="str">
        <f>INDEX(Mapping!$M:$M,MATCH($J41,Mapping!$B:$B,0))</f>
        <v>nvt</v>
      </c>
      <c r="BM41" s="282">
        <v>0</v>
      </c>
      <c r="BN41" s="262">
        <f>BM41/INDEX(Parameters!$B:$B,MATCH("AfschrijftermijnVVE"&amp;12*$C41,Parameters!$A:$A,0))</f>
        <v>0</v>
      </c>
      <c r="BO41" s="262">
        <f>AS41+INDEX('inkoop ULL tbv Epacity'!I:I,MATCH($BL41,'inkoop ULL tbv Epacity'!H:H,0))</f>
        <v>0</v>
      </c>
      <c r="BP41" s="263">
        <f t="shared" si="18"/>
        <v>0</v>
      </c>
      <c r="BQ41" s="203"/>
      <c r="BR41" s="262">
        <f>Parameters!$B$12*AG41</f>
        <v>102.77777777777779</v>
      </c>
      <c r="BS41" s="262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SUM(Distributievergoedingen!$F$12,Distributievergoedingen!$I$12,Distributievergoedingen!$L$12,Distributievergoedingen!$O$12)*AF41+SUM(Distributievergoedingen!$O$12*AA41+Distributievergoedingen!$R$12+Distributievergoedingen!$U$12+Distributievergoedingen!$X$12)/(MAX(36,12*L41))</f>
        <v>112.77777777777777</v>
      </c>
      <c r="BT41" s="262"/>
      <c r="BU41" s="150">
        <f t="shared" si="19"/>
        <v>215.55555555555554</v>
      </c>
      <c r="BW41" s="151">
        <f t="shared" si="20"/>
        <v>215.55555555555554</v>
      </c>
      <c r="BY41" s="140">
        <f t="shared" si="21"/>
        <v>812.22222222222229</v>
      </c>
      <c r="BZ41" s="141">
        <f t="shared" si="22"/>
        <v>0.7902702702702703</v>
      </c>
      <c r="CA41" s="142" t="b">
        <f t="shared" si="23"/>
        <v>0</v>
      </c>
    </row>
    <row r="42" spans="1:79">
      <c r="A42" s="160" t="str">
        <f t="shared" si="24"/>
        <v>2SDSLAddnationaal256/256</v>
      </c>
      <c r="B42" s="142" t="str">
        <f t="shared" si="25"/>
        <v>2SDSL256/256Add</v>
      </c>
      <c r="C42" s="198">
        <v>2</v>
      </c>
      <c r="D42" s="198" t="s">
        <v>64</v>
      </c>
      <c r="E42" s="198" t="s">
        <v>103</v>
      </c>
      <c r="F42" s="198" t="s">
        <v>115</v>
      </c>
      <c r="G42" s="199" t="s">
        <v>113</v>
      </c>
      <c r="H42" s="198" t="s">
        <v>48</v>
      </c>
      <c r="J42" s="142" t="str">
        <f t="shared" si="26"/>
        <v>SDSL256/256Add</v>
      </c>
      <c r="L42" s="160">
        <f>INDEX(Mapping!$J:$J,MATCH(C$3&amp;C42,Mapping!$B:$B,0))</f>
        <v>1</v>
      </c>
      <c r="M42" s="179" t="str">
        <f>INDEX(Mapping!$H:$H,MATCH(D42&amp;H42&amp;$E42,Mapping!$B:$B,0))</f>
        <v>WBA CM Ethernet</v>
      </c>
      <c r="N42" s="179" t="str">
        <f>INDEX(Mapping!$J:$J,MATCH(D42&amp;H42&amp;$E42,Mapping!$B:$B,0))</f>
        <v>add</v>
      </c>
      <c r="O42" s="179" t="str">
        <f>INDEX(Mapping!$I:$I,MATCH($D42,Mapping!$B:$B,0))</f>
        <v>SDSL</v>
      </c>
      <c r="P42" s="179" t="str">
        <f>INDEX(Mapping!$H:$H,MATCH($F42,Mapping!$B:$B,0))</f>
        <v>nvt</v>
      </c>
      <c r="Q42" s="283" t="str">
        <f>INDEX(Mapping!$K:$K,MATCH($D42&amp;$H42&amp;E42,Mapping!$B:$B,0))</f>
        <v>national</v>
      </c>
      <c r="R42" s="179" t="str">
        <f>INDEX(Mapping!$I:$I,MATCH(D42&amp;H42&amp;$E42,Mapping!$B:$B,0))</f>
        <v>&lt;=256 kbps/&lt;=256 kbps</v>
      </c>
      <c r="S42" s="203"/>
      <c r="T42" s="283" t="str">
        <f>INDEX(Mapping!$L:$L,MATCH($D42&amp;$H42&amp;E42,Mapping!$B:$B,0))</f>
        <v>nvt</v>
      </c>
      <c r="U42" s="142" t="str">
        <f t="shared" si="27"/>
        <v>WBA CM Ethernet&lt;=256 kbps/&lt;=256 kbpsaddnational</v>
      </c>
      <c r="W42" s="160">
        <f>MATCH($J42,'Tarieven ZM'!$B:$B,0)</f>
        <v>69</v>
      </c>
      <c r="X42" s="148">
        <f>INDEX('Tarieven ZM'!$H:$H,$W42)</f>
        <v>1000</v>
      </c>
      <c r="Y42" s="161">
        <f>-INDEX(Parameters!$B:$B,MATCH(Y$3,Parameters!$A:$A,0))*$X42</f>
        <v>0</v>
      </c>
      <c r="Z42" s="149">
        <f>-INDEX(Parameters!$B:$B,MATCH(Z$3,Parameters!$A:$A,0))*$X42</f>
        <v>0</v>
      </c>
      <c r="AA42" s="148">
        <f t="shared" si="28"/>
        <v>1000</v>
      </c>
      <c r="AB42" s="148">
        <f>AA42/INDEX(Parameters!$B:$B,MATCH("AfschrijftermijnVVE"&amp;12*$C42,Parameters!$A:$A,0))</f>
        <v>27.777777777777779</v>
      </c>
      <c r="AC42" s="148">
        <f>INDEX('Tarieven ZM'!$G:$G,$W42)</f>
        <v>1000</v>
      </c>
      <c r="AD42" s="161">
        <f>-INDEX(Parameters!$B:$B,MATCH(AD$3,Parameters!$A:$A,0))*$AC42</f>
        <v>0</v>
      </c>
      <c r="AE42" s="161">
        <f>-INDEX(Parameters!$B:$B,MATCH(AE$3,Parameters!$A:$A,0))*$AC42</f>
        <v>0</v>
      </c>
      <c r="AF42" s="148">
        <f t="shared" si="29"/>
        <v>1000</v>
      </c>
      <c r="AG42" s="151">
        <f t="shared" si="30"/>
        <v>1027.7777777777778</v>
      </c>
      <c r="AH42" s="123"/>
      <c r="AI42" s="147">
        <f>IF(R42&lt;&gt;"n.a.",MATCH($U42,'Tarieven W&amp;O'!$B:$B,0),"nvt")</f>
        <v>134</v>
      </c>
      <c r="AJ42" s="148">
        <f>IF(AI42&lt;&gt;"nvt",INDEX('Tarieven W&amp;O'!$H:$H,$AI42),0)</f>
        <v>0</v>
      </c>
      <c r="AK42" s="148">
        <f>IF(AI42&lt;&gt;"nvt",INDEX('Tarieven W&amp;O'!$I:$I,$AI42),0)</f>
        <v>5</v>
      </c>
      <c r="AL42" s="277">
        <f>IF(AI42&lt;&gt;"nvt",-INDEX(Parameters!$B:$B,MATCH(AL$3&amp;$M42,Parameters!$A:$A,0))*(AJ42+AK42),0)</f>
        <v>0</v>
      </c>
      <c r="AM42" s="442"/>
      <c r="AN42" s="179">
        <f t="shared" si="31"/>
        <v>5</v>
      </c>
      <c r="AO42" s="262">
        <f>AN42/INDEX(Parameters!$B:$B,MATCH("AfschrijftermijnVVE"&amp;12*$C42,Parameters!$A:$A,0))</f>
        <v>0.1388888888888889</v>
      </c>
      <c r="AP42" s="179">
        <f t="shared" si="32"/>
        <v>134</v>
      </c>
      <c r="AQ42" s="202">
        <f>IF(AP42&lt;&gt;"nvt",INDEX('Tarieven W&amp;O'!$G:$G,$AP42),0)</f>
        <v>1E-4</v>
      </c>
      <c r="AR42" s="463">
        <f>-INDEX(Parameters!$B:$B,MATCH(AR$3&amp;$M42&amp;O42,Parameters!$A:$A,0))*(AQ42)</f>
        <v>-1.0000000000000001E-5</v>
      </c>
      <c r="AS42" s="262">
        <v>0</v>
      </c>
      <c r="AT42" s="442">
        <f>IF(M42="WBA CM Ethernet",0,'EDC Minus'!$H$27)</f>
        <v>0</v>
      </c>
      <c r="AU42" s="202">
        <f t="shared" si="33"/>
        <v>9.0000000000000006E-5</v>
      </c>
      <c r="AV42" s="202">
        <f t="shared" si="34"/>
        <v>0.1389788888888889</v>
      </c>
      <c r="AW42" s="202"/>
      <c r="AX42" s="202">
        <f>Parameters!$B$6*AV42</f>
        <v>1.389788888888889E-3</v>
      </c>
      <c r="AY42" s="202">
        <v>0</v>
      </c>
      <c r="AZ42" s="202"/>
      <c r="BA42" s="150">
        <f t="shared" si="16"/>
        <v>1.389788888888889E-3</v>
      </c>
      <c r="BB42" s="150"/>
      <c r="BC42" s="151">
        <f t="shared" si="17"/>
        <v>0.14036867777777778</v>
      </c>
      <c r="BD42" s="123"/>
      <c r="BE42" s="140">
        <f t="shared" si="36"/>
        <v>1027.6374091</v>
      </c>
      <c r="BF42" s="141">
        <f t="shared" si="37"/>
        <v>0.99986342507027026</v>
      </c>
      <c r="BG42" s="142" t="b">
        <f t="shared" si="35"/>
        <v>0</v>
      </c>
      <c r="BH42" s="148"/>
      <c r="BI42" s="188" t="s">
        <v>539</v>
      </c>
      <c r="BJ42" s="189"/>
      <c r="BK42">
        <f>VLOOKUP(J42,'Tarieven ZM'!$B$7:$I$146,8,0)</f>
        <v>0</v>
      </c>
      <c r="BL42" s="179" t="str">
        <f>INDEX(Mapping!$M:$M,MATCH($J42,Mapping!$B:$B,0))</f>
        <v>nvt</v>
      </c>
      <c r="BM42" s="282">
        <v>0</v>
      </c>
      <c r="BN42" s="262">
        <f>BM42/INDEX(Parameters!$B:$B,MATCH("AfschrijftermijnVVE"&amp;12*$C42,Parameters!$A:$A,0))</f>
        <v>0</v>
      </c>
      <c r="BO42" s="262">
        <f>AS42+INDEX('inkoop ULL tbv Epacity'!I:I,MATCH($BL42,'inkoop ULL tbv Epacity'!H:H,0))</f>
        <v>0</v>
      </c>
      <c r="BP42" s="263">
        <f t="shared" si="18"/>
        <v>0</v>
      </c>
      <c r="BQ42" s="203"/>
      <c r="BR42" s="262">
        <f>Parameters!$B$12*AG42</f>
        <v>102.77777777777779</v>
      </c>
      <c r="BS42" s="262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SUM(Distributievergoedingen!$F$12,Distributievergoedingen!$I$12,Distributievergoedingen!$L$12,Distributievergoedingen!$O$12)*AF42+SUM(Distributievergoedingen!$O$12*AA42+Distributievergoedingen!$R$12+Distributievergoedingen!$U$12+Distributievergoedingen!$X$12)/(MAX(36,12*L42))</f>
        <v>112.77777777777777</v>
      </c>
      <c r="BT42" s="262"/>
      <c r="BU42" s="150">
        <f t="shared" si="19"/>
        <v>215.55555555555554</v>
      </c>
      <c r="BW42" s="151">
        <f t="shared" si="20"/>
        <v>215.55555555555554</v>
      </c>
      <c r="BY42" s="140">
        <f t="shared" si="21"/>
        <v>812.22222222222229</v>
      </c>
      <c r="BZ42" s="141">
        <f t="shared" si="22"/>
        <v>0.7902702702702703</v>
      </c>
      <c r="CA42" s="142" t="b">
        <f t="shared" si="23"/>
        <v>0</v>
      </c>
    </row>
    <row r="43" spans="1:79">
      <c r="A43" s="160" t="str">
        <f t="shared" si="24"/>
        <v>2SDSLAddnationaal448/448</v>
      </c>
      <c r="B43" s="142" t="str">
        <f t="shared" si="25"/>
        <v>2SDSL448/448Add</v>
      </c>
      <c r="C43" s="198">
        <v>2</v>
      </c>
      <c r="D43" s="198" t="s">
        <v>64</v>
      </c>
      <c r="E43" s="198" t="s">
        <v>103</v>
      </c>
      <c r="F43" s="198" t="s">
        <v>115</v>
      </c>
      <c r="G43" s="199" t="s">
        <v>113</v>
      </c>
      <c r="H43" s="198" t="s">
        <v>79</v>
      </c>
      <c r="J43" s="142" t="str">
        <f t="shared" si="26"/>
        <v>SDSL448/448Add</v>
      </c>
      <c r="L43" s="160">
        <f>INDEX(Mapping!$J:$J,MATCH(C$3&amp;C43,Mapping!$B:$B,0))</f>
        <v>1</v>
      </c>
      <c r="M43" s="179" t="str">
        <f>INDEX(Mapping!$H:$H,MATCH(D43&amp;H43&amp;$E43,Mapping!$B:$B,0))</f>
        <v>WBA ZM Ethernet</v>
      </c>
      <c r="N43" s="179" t="str">
        <f>INDEX(Mapping!$J:$J,MATCH(D43&amp;H43&amp;$E43,Mapping!$B:$B,0))</f>
        <v>premium</v>
      </c>
      <c r="O43" s="179" t="str">
        <f>INDEX(Mapping!$I:$I,MATCH($D43,Mapping!$B:$B,0))</f>
        <v>SDSL</v>
      </c>
      <c r="P43" s="179" t="str">
        <f>INDEX(Mapping!$H:$H,MATCH($F43,Mapping!$B:$B,0))</f>
        <v>nvt</v>
      </c>
      <c r="Q43" s="283" t="str">
        <f>INDEX(Mapping!$K:$K,MATCH($D43&amp;$H43&amp;E43,Mapping!$B:$B,0))</f>
        <v>metro</v>
      </c>
      <c r="R43" s="179" t="str">
        <f>INDEX(Mapping!$I:$I,MATCH(D43&amp;H43&amp;$E43,Mapping!$B:$B,0))</f>
        <v>1 Mbps/1 Mbps</v>
      </c>
      <c r="S43" s="203"/>
      <c r="T43" s="283" t="str">
        <f>INDEX(Mapping!$L:$L,MATCH($D43&amp;$H43&amp;E43,Mapping!$B:$B,0))</f>
        <v>metro-nationaal</v>
      </c>
      <c r="U43" s="142" t="str">
        <f t="shared" si="27"/>
        <v>WBA ZM Ethernet1 Mbps/1 Mbpspremiummetro</v>
      </c>
      <c r="W43" s="160">
        <f>MATCH($J43,'Tarieven ZM'!$B:$B,0)</f>
        <v>70</v>
      </c>
      <c r="X43" s="148">
        <f>INDEX('Tarieven ZM'!$H:$H,$W43)</f>
        <v>1000</v>
      </c>
      <c r="Y43" s="161">
        <f>-INDEX(Parameters!$B:$B,MATCH(Y$3,Parameters!$A:$A,0))*$X43</f>
        <v>0</v>
      </c>
      <c r="Z43" s="149">
        <f>-INDEX(Parameters!$B:$B,MATCH(Z$3,Parameters!$A:$A,0))*$X43</f>
        <v>0</v>
      </c>
      <c r="AA43" s="148">
        <f t="shared" si="28"/>
        <v>1000</v>
      </c>
      <c r="AB43" s="148">
        <f>AA43/INDEX(Parameters!$B:$B,MATCH("AfschrijftermijnVVE"&amp;12*$C43,Parameters!$A:$A,0))</f>
        <v>27.777777777777779</v>
      </c>
      <c r="AC43" s="148">
        <f>INDEX('Tarieven ZM'!$G:$G,$W43)</f>
        <v>1000</v>
      </c>
      <c r="AD43" s="161">
        <f>-INDEX(Parameters!$B:$B,MATCH(AD$3,Parameters!$A:$A,0))*$AC43</f>
        <v>0</v>
      </c>
      <c r="AE43" s="161">
        <f>-INDEX(Parameters!$B:$B,MATCH(AE$3,Parameters!$A:$A,0))*$AC43</f>
        <v>0</v>
      </c>
      <c r="AF43" s="148">
        <f t="shared" si="29"/>
        <v>1000</v>
      </c>
      <c r="AG43" s="151">
        <f t="shared" si="30"/>
        <v>1027.7777777777778</v>
      </c>
      <c r="AH43" s="123"/>
      <c r="AI43" s="147">
        <f>IF(R43&lt;&gt;"n.a.",MATCH($U43,'Tarieven W&amp;O'!$B:$B,0),"nvt")</f>
        <v>138</v>
      </c>
      <c r="AJ43" s="148">
        <f>IF(AI43&lt;&gt;"nvt",INDEX('Tarieven W&amp;O'!$H:$H,$AI43),0)</f>
        <v>0</v>
      </c>
      <c r="AK43" s="148">
        <f>IF(AI43&lt;&gt;"nvt",INDEX('Tarieven W&amp;O'!$I:$I,$AI43),0)</f>
        <v>5</v>
      </c>
      <c r="AL43" s="277">
        <f>IF(AI43&lt;&gt;"nvt",-INDEX(Parameters!$B:$B,MATCH(AL$3&amp;$M43,Parameters!$A:$A,0))*(AJ43+AK43),0)</f>
        <v>0</v>
      </c>
      <c r="AM43" s="442"/>
      <c r="AN43" s="179">
        <f t="shared" si="31"/>
        <v>5</v>
      </c>
      <c r="AO43" s="262">
        <f>AN43/INDEX(Parameters!$B:$B,MATCH("AfschrijftermijnVVE"&amp;12*$C43,Parameters!$A:$A,0))</f>
        <v>0.1388888888888889</v>
      </c>
      <c r="AP43" s="179">
        <f t="shared" si="32"/>
        <v>138</v>
      </c>
      <c r="AQ43" s="202">
        <f>IF(AP43&lt;&gt;"nvt",INDEX('Tarieven W&amp;O'!$G:$G,$AP43),0)</f>
        <v>7.41</v>
      </c>
      <c r="AR43" s="463">
        <f>-INDEX(Parameters!$B:$B,MATCH(AR$3&amp;$M43&amp;O43,Parameters!$A:$A,0))*(AQ43)</f>
        <v>0</v>
      </c>
      <c r="AS43" s="262">
        <v>0</v>
      </c>
      <c r="AT43" s="442">
        <f>IF(M43="WBA CM Ethernet",0,'EDC Minus'!$H$27)</f>
        <v>1</v>
      </c>
      <c r="AU43" s="202">
        <f t="shared" si="33"/>
        <v>8.41</v>
      </c>
      <c r="AV43" s="202">
        <f t="shared" si="34"/>
        <v>8.5488888888888894</v>
      </c>
      <c r="AW43" s="202"/>
      <c r="AX43" s="202">
        <f>Parameters!$B$6*AV43</f>
        <v>8.5488888888888892E-2</v>
      </c>
      <c r="AY43" s="202">
        <v>0</v>
      </c>
      <c r="AZ43" s="202"/>
      <c r="BA43" s="150">
        <f t="shared" si="16"/>
        <v>8.5488888888888892E-2</v>
      </c>
      <c r="BB43" s="150"/>
      <c r="BC43" s="151">
        <f t="shared" si="17"/>
        <v>8.6343777777777788</v>
      </c>
      <c r="BD43" s="123"/>
      <c r="BE43" s="140">
        <f t="shared" si="36"/>
        <v>1019.1434</v>
      </c>
      <c r="BF43" s="141">
        <f t="shared" si="37"/>
        <v>0.99159898378378375</v>
      </c>
      <c r="BG43" s="142" t="b">
        <f t="shared" si="35"/>
        <v>0</v>
      </c>
      <c r="BH43" s="148"/>
      <c r="BI43" s="188" t="s">
        <v>539</v>
      </c>
      <c r="BJ43" s="189"/>
      <c r="BK43">
        <f>VLOOKUP(J43,'Tarieven ZM'!$B$7:$I$146,8,0)</f>
        <v>0</v>
      </c>
      <c r="BL43" s="179" t="str">
        <f>INDEX(Mapping!$M:$M,MATCH($J43,Mapping!$B:$B,0))</f>
        <v>nvt</v>
      </c>
      <c r="BM43" s="282">
        <v>0</v>
      </c>
      <c r="BN43" s="262">
        <f>BM43/INDEX(Parameters!$B:$B,MATCH("AfschrijftermijnVVE"&amp;12*$C43,Parameters!$A:$A,0))</f>
        <v>0</v>
      </c>
      <c r="BO43" s="262">
        <f>AS43+INDEX('inkoop ULL tbv Epacity'!I:I,MATCH($BL43,'inkoop ULL tbv Epacity'!H:H,0))</f>
        <v>0</v>
      </c>
      <c r="BP43" s="263">
        <f t="shared" si="18"/>
        <v>0</v>
      </c>
      <c r="BQ43" s="203"/>
      <c r="BR43" s="262">
        <f>Parameters!$B$12*AG43</f>
        <v>102.77777777777779</v>
      </c>
      <c r="BS43" s="262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SUM(Distributievergoedingen!$F$12,Distributievergoedingen!$I$12,Distributievergoedingen!$L$12,Distributievergoedingen!$O$12)*AF43+SUM(Distributievergoedingen!$O$12*AA43+Distributievergoedingen!$R$12+Distributievergoedingen!$U$12+Distributievergoedingen!$X$12)/(MAX(36,12*L43))</f>
        <v>112.77777777777777</v>
      </c>
      <c r="BT43" s="262"/>
      <c r="BU43" s="150">
        <f t="shared" si="19"/>
        <v>215.55555555555554</v>
      </c>
      <c r="BW43" s="151">
        <f t="shared" si="20"/>
        <v>215.55555555555554</v>
      </c>
      <c r="BY43" s="140">
        <f t="shared" si="21"/>
        <v>812.22222222222229</v>
      </c>
      <c r="BZ43" s="141">
        <f t="shared" si="22"/>
        <v>0.7902702702702703</v>
      </c>
      <c r="CA43" s="142" t="b">
        <f t="shared" si="23"/>
        <v>0</v>
      </c>
    </row>
    <row r="44" spans="1:79">
      <c r="A44" s="160" t="str">
        <f t="shared" si="24"/>
        <v>2SDSLAddnationaal512/512</v>
      </c>
      <c r="B44" s="142" t="str">
        <f t="shared" si="25"/>
        <v>2SDSL512/512Add</v>
      </c>
      <c r="C44" s="198">
        <v>2</v>
      </c>
      <c r="D44" s="198" t="s">
        <v>64</v>
      </c>
      <c r="E44" s="198" t="s">
        <v>103</v>
      </c>
      <c r="F44" s="198" t="s">
        <v>115</v>
      </c>
      <c r="G44" s="199" t="s">
        <v>113</v>
      </c>
      <c r="H44" s="198" t="s">
        <v>50</v>
      </c>
      <c r="J44" s="142" t="str">
        <f t="shared" si="26"/>
        <v>SDSL512/512Add</v>
      </c>
      <c r="L44" s="160">
        <f>INDEX(Mapping!$J:$J,MATCH(C$3&amp;C44,Mapping!$B:$B,0))</f>
        <v>1</v>
      </c>
      <c r="M44" s="179" t="str">
        <f>INDEX(Mapping!$H:$H,MATCH(D44&amp;H44&amp;$E44,Mapping!$B:$B,0))</f>
        <v>WBA ZM Ethernet</v>
      </c>
      <c r="N44" s="179" t="str">
        <f>INDEX(Mapping!$J:$J,MATCH(D44&amp;H44&amp;$E44,Mapping!$B:$B,0))</f>
        <v>premium</v>
      </c>
      <c r="O44" s="179" t="str">
        <f>INDEX(Mapping!$I:$I,MATCH($D44,Mapping!$B:$B,0))</f>
        <v>SDSL</v>
      </c>
      <c r="P44" s="179" t="str">
        <f>INDEX(Mapping!$H:$H,MATCH($F44,Mapping!$B:$B,0))</f>
        <v>nvt</v>
      </c>
      <c r="Q44" s="283" t="str">
        <f>INDEX(Mapping!$K:$K,MATCH($D44&amp;$H44&amp;E44,Mapping!$B:$B,0))</f>
        <v>metro</v>
      </c>
      <c r="R44" s="179" t="str">
        <f>INDEX(Mapping!$I:$I,MATCH(D44&amp;H44&amp;$E44,Mapping!$B:$B,0))</f>
        <v>1 Mbps/1 Mbps</v>
      </c>
      <c r="S44" s="203"/>
      <c r="T44" s="283" t="str">
        <f>INDEX(Mapping!$L:$L,MATCH($D44&amp;$H44&amp;E44,Mapping!$B:$B,0))</f>
        <v>metro-nationaal</v>
      </c>
      <c r="U44" s="142" t="str">
        <f t="shared" si="27"/>
        <v>WBA ZM Ethernet1 Mbps/1 Mbpspremiummetro</v>
      </c>
      <c r="W44" s="160">
        <f>MATCH($J44,'Tarieven ZM'!$B:$B,0)</f>
        <v>71</v>
      </c>
      <c r="X44" s="148">
        <f>INDEX('Tarieven ZM'!$H:$H,$W44)</f>
        <v>1000</v>
      </c>
      <c r="Y44" s="161">
        <f>-INDEX(Parameters!$B:$B,MATCH(Y$3,Parameters!$A:$A,0))*$X44</f>
        <v>0</v>
      </c>
      <c r="Z44" s="149">
        <f>-INDEX(Parameters!$B:$B,MATCH(Z$3,Parameters!$A:$A,0))*$X44</f>
        <v>0</v>
      </c>
      <c r="AA44" s="148">
        <f t="shared" si="28"/>
        <v>1000</v>
      </c>
      <c r="AB44" s="148">
        <f>AA44/INDEX(Parameters!$B:$B,MATCH("AfschrijftermijnVVE"&amp;12*$C44,Parameters!$A:$A,0))</f>
        <v>27.777777777777779</v>
      </c>
      <c r="AC44" s="148">
        <f>INDEX('Tarieven ZM'!$G:$G,$W44)</f>
        <v>1000</v>
      </c>
      <c r="AD44" s="161">
        <f>-INDEX(Parameters!$B:$B,MATCH(AD$3,Parameters!$A:$A,0))*$AC44</f>
        <v>0</v>
      </c>
      <c r="AE44" s="161">
        <f>-INDEX(Parameters!$B:$B,MATCH(AE$3,Parameters!$A:$A,0))*$AC44</f>
        <v>0</v>
      </c>
      <c r="AF44" s="148">
        <f t="shared" si="29"/>
        <v>1000</v>
      </c>
      <c r="AG44" s="151">
        <f t="shared" si="30"/>
        <v>1027.7777777777778</v>
      </c>
      <c r="AH44" s="123"/>
      <c r="AI44" s="147">
        <f>IF(R44&lt;&gt;"n.a.",MATCH($U44,'Tarieven W&amp;O'!$B:$B,0),"nvt")</f>
        <v>138</v>
      </c>
      <c r="AJ44" s="148">
        <f>IF(AI44&lt;&gt;"nvt",INDEX('Tarieven W&amp;O'!$H:$H,$AI44),0)</f>
        <v>0</v>
      </c>
      <c r="AK44" s="148">
        <f>IF(AI44&lt;&gt;"nvt",INDEX('Tarieven W&amp;O'!$I:$I,$AI44),0)</f>
        <v>5</v>
      </c>
      <c r="AL44" s="277">
        <f>IF(AI44&lt;&gt;"nvt",-INDEX(Parameters!$B:$B,MATCH(AL$3&amp;$M44,Parameters!$A:$A,0))*(AJ44+AK44),0)</f>
        <v>0</v>
      </c>
      <c r="AM44" s="442"/>
      <c r="AN44" s="179">
        <f t="shared" si="31"/>
        <v>5</v>
      </c>
      <c r="AO44" s="262">
        <f>AN44/INDEX(Parameters!$B:$B,MATCH("AfschrijftermijnVVE"&amp;12*$C44,Parameters!$A:$A,0))</f>
        <v>0.1388888888888889</v>
      </c>
      <c r="AP44" s="179">
        <f t="shared" si="32"/>
        <v>138</v>
      </c>
      <c r="AQ44" s="202">
        <f>IF(AP44&lt;&gt;"nvt",INDEX('Tarieven W&amp;O'!$G:$G,$AP44),0)</f>
        <v>7.41</v>
      </c>
      <c r="AR44" s="463">
        <f>-INDEX(Parameters!$B:$B,MATCH(AR$3&amp;$M44&amp;O44,Parameters!$A:$A,0))*(AQ44)</f>
        <v>0</v>
      </c>
      <c r="AS44" s="262">
        <v>0</v>
      </c>
      <c r="AT44" s="442">
        <f>IF(M44="WBA CM Ethernet",0,'EDC Minus'!$H$27)</f>
        <v>1</v>
      </c>
      <c r="AU44" s="202">
        <f t="shared" si="33"/>
        <v>8.41</v>
      </c>
      <c r="AV44" s="202">
        <f t="shared" si="34"/>
        <v>8.5488888888888894</v>
      </c>
      <c r="AW44" s="202"/>
      <c r="AX44" s="202">
        <f>Parameters!$B$6*AV44</f>
        <v>8.5488888888888892E-2</v>
      </c>
      <c r="AY44" s="202">
        <v>0</v>
      </c>
      <c r="AZ44" s="202"/>
      <c r="BA44" s="150">
        <f t="shared" si="16"/>
        <v>8.5488888888888892E-2</v>
      </c>
      <c r="BB44" s="150"/>
      <c r="BC44" s="151">
        <f t="shared" si="17"/>
        <v>8.6343777777777788</v>
      </c>
      <c r="BD44" s="123"/>
      <c r="BE44" s="140">
        <f t="shared" si="36"/>
        <v>1019.1434</v>
      </c>
      <c r="BF44" s="141">
        <f t="shared" si="37"/>
        <v>0.99159898378378375</v>
      </c>
      <c r="BG44" s="142" t="b">
        <f t="shared" si="35"/>
        <v>0</v>
      </c>
      <c r="BH44" s="148"/>
      <c r="BI44" s="188" t="s">
        <v>539</v>
      </c>
      <c r="BJ44" s="189"/>
      <c r="BK44">
        <f>VLOOKUP(J44,'Tarieven ZM'!$B$7:$I$146,8,0)</f>
        <v>0</v>
      </c>
      <c r="BL44" s="179" t="str">
        <f>INDEX(Mapping!$M:$M,MATCH($J44,Mapping!$B:$B,0))</f>
        <v>nvt</v>
      </c>
      <c r="BM44" s="282">
        <v>0</v>
      </c>
      <c r="BN44" s="262">
        <f>BM44/INDEX(Parameters!$B:$B,MATCH("AfschrijftermijnVVE"&amp;12*$C44,Parameters!$A:$A,0))</f>
        <v>0</v>
      </c>
      <c r="BO44" s="262">
        <f>AS44+INDEX('inkoop ULL tbv Epacity'!I:I,MATCH($BL44,'inkoop ULL tbv Epacity'!H:H,0))</f>
        <v>0</v>
      </c>
      <c r="BP44" s="263">
        <f t="shared" si="18"/>
        <v>0</v>
      </c>
      <c r="BQ44" s="203"/>
      <c r="BR44" s="262">
        <f>Parameters!$B$12*AG44</f>
        <v>102.77777777777779</v>
      </c>
      <c r="BS44" s="262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SUM(Distributievergoedingen!$F$12,Distributievergoedingen!$I$12,Distributievergoedingen!$L$12,Distributievergoedingen!$O$12)*AF44+SUM(Distributievergoedingen!$O$12*AA44+Distributievergoedingen!$R$12+Distributievergoedingen!$U$12+Distributievergoedingen!$X$12)/(MAX(36,12*L44))</f>
        <v>112.77777777777777</v>
      </c>
      <c r="BT44" s="262"/>
      <c r="BU44" s="150">
        <f t="shared" si="19"/>
        <v>215.55555555555554</v>
      </c>
      <c r="BW44" s="151">
        <f t="shared" si="20"/>
        <v>215.55555555555554</v>
      </c>
      <c r="BY44" s="140">
        <f t="shared" si="21"/>
        <v>812.22222222222229</v>
      </c>
      <c r="BZ44" s="141">
        <f t="shared" si="22"/>
        <v>0.7902702702702703</v>
      </c>
      <c r="CA44" s="142" t="b">
        <f t="shared" si="23"/>
        <v>0</v>
      </c>
    </row>
    <row r="45" spans="1:79">
      <c r="A45" s="160" t="str">
        <f t="shared" si="24"/>
        <v>2SDSLAddnationaal1024/1024</v>
      </c>
      <c r="B45" s="142" t="str">
        <f t="shared" si="25"/>
        <v>2SDSL1024/1024Add</v>
      </c>
      <c r="C45" s="198">
        <v>2</v>
      </c>
      <c r="D45" s="198" t="s">
        <v>64</v>
      </c>
      <c r="E45" s="198" t="s">
        <v>103</v>
      </c>
      <c r="F45" s="198" t="s">
        <v>115</v>
      </c>
      <c r="G45" s="199" t="s">
        <v>113</v>
      </c>
      <c r="H45" s="198" t="s">
        <v>66</v>
      </c>
      <c r="J45" s="142" t="str">
        <f t="shared" si="26"/>
        <v>SDSL1024/1024Add</v>
      </c>
      <c r="L45" s="160">
        <f>INDEX(Mapping!$J:$J,MATCH(C$3&amp;C45,Mapping!$B:$B,0))</f>
        <v>1</v>
      </c>
      <c r="M45" s="179" t="str">
        <f>INDEX(Mapping!$H:$H,MATCH(D45&amp;H45&amp;$E45,Mapping!$B:$B,0))</f>
        <v>WBA ZM Ethernet</v>
      </c>
      <c r="N45" s="179" t="str">
        <f>INDEX(Mapping!$J:$J,MATCH(D45&amp;H45&amp;$E45,Mapping!$B:$B,0))</f>
        <v>premium</v>
      </c>
      <c r="O45" s="179" t="str">
        <f>INDEX(Mapping!$I:$I,MATCH($D45,Mapping!$B:$B,0))</f>
        <v>SDSL</v>
      </c>
      <c r="P45" s="179" t="str">
        <f>INDEX(Mapping!$H:$H,MATCH($F45,Mapping!$B:$B,0))</f>
        <v>nvt</v>
      </c>
      <c r="Q45" s="283" t="str">
        <f>INDEX(Mapping!$K:$K,MATCH($D45&amp;$H45&amp;E45,Mapping!$B:$B,0))</f>
        <v>metro</v>
      </c>
      <c r="R45" s="179" t="str">
        <f>INDEX(Mapping!$I:$I,MATCH(D45&amp;H45&amp;$E45,Mapping!$B:$B,0))</f>
        <v>1 Mbps/1 Mbps</v>
      </c>
      <c r="S45" s="203"/>
      <c r="T45" s="283" t="str">
        <f>INDEX(Mapping!$L:$L,MATCH($D45&amp;$H45&amp;E45,Mapping!$B:$B,0))</f>
        <v>metro-nationaal</v>
      </c>
      <c r="U45" s="142" t="str">
        <f t="shared" si="27"/>
        <v>WBA ZM Ethernet1 Mbps/1 Mbpspremiummetro</v>
      </c>
      <c r="W45" s="160">
        <f>MATCH($J45,'Tarieven ZM'!$B:$B,0)</f>
        <v>72</v>
      </c>
      <c r="X45" s="148">
        <f>INDEX('Tarieven ZM'!$H:$H,$W45)</f>
        <v>1000</v>
      </c>
      <c r="Y45" s="161">
        <f>-INDEX(Parameters!$B:$B,MATCH(Y$3,Parameters!$A:$A,0))*$X45</f>
        <v>0</v>
      </c>
      <c r="Z45" s="149">
        <f>-INDEX(Parameters!$B:$B,MATCH(Z$3,Parameters!$A:$A,0))*$X45</f>
        <v>0</v>
      </c>
      <c r="AA45" s="148">
        <f t="shared" si="28"/>
        <v>1000</v>
      </c>
      <c r="AB45" s="148">
        <f>AA45/INDEX(Parameters!$B:$B,MATCH("AfschrijftermijnVVE"&amp;12*$C45,Parameters!$A:$A,0))</f>
        <v>27.777777777777779</v>
      </c>
      <c r="AC45" s="148">
        <f>INDEX('Tarieven ZM'!$G:$G,$W45)</f>
        <v>1000</v>
      </c>
      <c r="AD45" s="161">
        <f>-INDEX(Parameters!$B:$B,MATCH(AD$3,Parameters!$A:$A,0))*$AC45</f>
        <v>0</v>
      </c>
      <c r="AE45" s="161">
        <f>-INDEX(Parameters!$B:$B,MATCH(AE$3,Parameters!$A:$A,0))*$AC45</f>
        <v>0</v>
      </c>
      <c r="AF45" s="148">
        <f t="shared" si="29"/>
        <v>1000</v>
      </c>
      <c r="AG45" s="151">
        <f t="shared" si="30"/>
        <v>1027.7777777777778</v>
      </c>
      <c r="AH45" s="123"/>
      <c r="AI45" s="147">
        <f>IF(R45&lt;&gt;"n.a.",MATCH($U45,'Tarieven W&amp;O'!$B:$B,0),"nvt")</f>
        <v>138</v>
      </c>
      <c r="AJ45" s="148">
        <f>IF(AI45&lt;&gt;"nvt",INDEX('Tarieven W&amp;O'!$H:$H,$AI45),0)</f>
        <v>0</v>
      </c>
      <c r="AK45" s="148">
        <f>IF(AI45&lt;&gt;"nvt",INDEX('Tarieven W&amp;O'!$I:$I,$AI45),0)</f>
        <v>5</v>
      </c>
      <c r="AL45" s="277">
        <f>IF(AI45&lt;&gt;"nvt",-INDEX(Parameters!$B:$B,MATCH(AL$3&amp;$M45,Parameters!$A:$A,0))*(AJ45+AK45),0)</f>
        <v>0</v>
      </c>
      <c r="AM45" s="442"/>
      <c r="AN45" s="179">
        <f t="shared" si="31"/>
        <v>5</v>
      </c>
      <c r="AO45" s="262">
        <f>AN45/INDEX(Parameters!$B:$B,MATCH("AfschrijftermijnVVE"&amp;12*$C45,Parameters!$A:$A,0))</f>
        <v>0.1388888888888889</v>
      </c>
      <c r="AP45" s="179">
        <f t="shared" si="32"/>
        <v>138</v>
      </c>
      <c r="AQ45" s="202">
        <f>IF(AP45&lt;&gt;"nvt",INDEX('Tarieven W&amp;O'!$G:$G,$AP45),0)</f>
        <v>7.41</v>
      </c>
      <c r="AR45" s="463">
        <f>-INDEX(Parameters!$B:$B,MATCH(AR$3&amp;$M45&amp;O45,Parameters!$A:$A,0))*(AQ45)</f>
        <v>0</v>
      </c>
      <c r="AS45" s="262">
        <v>0</v>
      </c>
      <c r="AT45" s="442">
        <f>IF(M45="WBA CM Ethernet",0,'EDC Minus'!$H$27)</f>
        <v>1</v>
      </c>
      <c r="AU45" s="202">
        <f t="shared" si="33"/>
        <v>8.41</v>
      </c>
      <c r="AV45" s="202">
        <f t="shared" si="34"/>
        <v>8.5488888888888894</v>
      </c>
      <c r="AW45" s="202"/>
      <c r="AX45" s="202">
        <f>Parameters!$B$6*AV45</f>
        <v>8.5488888888888892E-2</v>
      </c>
      <c r="AY45" s="202">
        <v>0</v>
      </c>
      <c r="AZ45" s="202"/>
      <c r="BA45" s="150">
        <f t="shared" si="16"/>
        <v>8.5488888888888892E-2</v>
      </c>
      <c r="BB45" s="150"/>
      <c r="BC45" s="151">
        <f t="shared" si="17"/>
        <v>8.6343777777777788</v>
      </c>
      <c r="BD45" s="123"/>
      <c r="BE45" s="140">
        <f t="shared" si="36"/>
        <v>1019.1434</v>
      </c>
      <c r="BF45" s="141">
        <f t="shared" si="37"/>
        <v>0.99159898378378375</v>
      </c>
      <c r="BG45" s="142" t="b">
        <f t="shared" si="35"/>
        <v>0</v>
      </c>
      <c r="BH45" s="148"/>
      <c r="BI45" s="188" t="s">
        <v>539</v>
      </c>
      <c r="BJ45" s="189"/>
      <c r="BK45">
        <f>VLOOKUP(J45,'Tarieven ZM'!$B$7:$I$146,8,0)</f>
        <v>0</v>
      </c>
      <c r="BL45" s="179" t="str">
        <f>INDEX(Mapping!$M:$M,MATCH($J45,Mapping!$B:$B,0))</f>
        <v>nvt</v>
      </c>
      <c r="BM45" s="282">
        <v>0</v>
      </c>
      <c r="BN45" s="262">
        <f>BM45/INDEX(Parameters!$B:$B,MATCH("AfschrijftermijnVVE"&amp;12*$C45,Parameters!$A:$A,0))</f>
        <v>0</v>
      </c>
      <c r="BO45" s="262">
        <f>AS45+INDEX('inkoop ULL tbv Epacity'!I:I,MATCH($BL45,'inkoop ULL tbv Epacity'!H:H,0))</f>
        <v>0</v>
      </c>
      <c r="BP45" s="263">
        <f t="shared" si="18"/>
        <v>0</v>
      </c>
      <c r="BQ45" s="203"/>
      <c r="BR45" s="262">
        <f>Parameters!$B$12*AG45</f>
        <v>102.77777777777779</v>
      </c>
      <c r="BS45" s="262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SUM(Distributievergoedingen!$F$12,Distributievergoedingen!$I$12,Distributievergoedingen!$L$12,Distributievergoedingen!$O$12)*AF45+SUM(Distributievergoedingen!$O$12*AA45+Distributievergoedingen!$R$12+Distributievergoedingen!$U$12+Distributievergoedingen!$X$12)/(MAX(36,12*L45))</f>
        <v>112.77777777777777</v>
      </c>
      <c r="BT45" s="262"/>
      <c r="BU45" s="150">
        <f t="shared" si="19"/>
        <v>215.55555555555554</v>
      </c>
      <c r="BW45" s="151">
        <f t="shared" si="20"/>
        <v>215.55555555555554</v>
      </c>
      <c r="BY45" s="140">
        <f t="shared" si="21"/>
        <v>812.22222222222229</v>
      </c>
      <c r="BZ45" s="141">
        <f t="shared" si="22"/>
        <v>0.7902702702702703</v>
      </c>
      <c r="CA45" s="142" t="b">
        <f t="shared" si="23"/>
        <v>0</v>
      </c>
    </row>
    <row r="46" spans="1:79">
      <c r="A46" s="160" t="str">
        <f t="shared" si="24"/>
        <v>2SDSLAddnationaal1536/1536</v>
      </c>
      <c r="B46" s="142" t="str">
        <f t="shared" si="25"/>
        <v>2SDSL1536/1536Add</v>
      </c>
      <c r="C46" s="198">
        <v>2</v>
      </c>
      <c r="D46" s="198" t="s">
        <v>64</v>
      </c>
      <c r="E46" s="198" t="s">
        <v>103</v>
      </c>
      <c r="F46" s="198" t="s">
        <v>115</v>
      </c>
      <c r="G46" s="199" t="s">
        <v>113</v>
      </c>
      <c r="H46" s="198" t="s">
        <v>67</v>
      </c>
      <c r="J46" s="142" t="str">
        <f t="shared" si="26"/>
        <v>SDSL1536/1536Add</v>
      </c>
      <c r="L46" s="160">
        <f>INDEX(Mapping!$J:$J,MATCH(C$3&amp;C46,Mapping!$B:$B,0))</f>
        <v>1</v>
      </c>
      <c r="M46" s="179" t="str">
        <f>INDEX(Mapping!$H:$H,MATCH(D46&amp;H46&amp;$E46,Mapping!$B:$B,0))</f>
        <v>WBA ZM Ethernet</v>
      </c>
      <c r="N46" s="179" t="str">
        <f>INDEX(Mapping!$J:$J,MATCH(D46&amp;H46&amp;$E46,Mapping!$B:$B,0))</f>
        <v>premium</v>
      </c>
      <c r="O46" s="179" t="str">
        <f>INDEX(Mapping!$I:$I,MATCH($D46,Mapping!$B:$B,0))</f>
        <v>SDSL</v>
      </c>
      <c r="P46" s="179" t="str">
        <f>INDEX(Mapping!$H:$H,MATCH($F46,Mapping!$B:$B,0))</f>
        <v>nvt</v>
      </c>
      <c r="Q46" s="283" t="str">
        <f>INDEX(Mapping!$K:$K,MATCH($D46&amp;$H46&amp;E46,Mapping!$B:$B,0))</f>
        <v>metro</v>
      </c>
      <c r="R46" s="179" t="str">
        <f>INDEX(Mapping!$I:$I,MATCH(D46&amp;H46&amp;$E46,Mapping!$B:$B,0))</f>
        <v>2 Mbps/2 Mbps</v>
      </c>
      <c r="S46" s="203"/>
      <c r="T46" s="283" t="str">
        <f>INDEX(Mapping!$L:$L,MATCH($D46&amp;$H46&amp;E46,Mapping!$B:$B,0))</f>
        <v>metro-nationaal</v>
      </c>
      <c r="U46" s="142" t="str">
        <f t="shared" si="27"/>
        <v>WBA ZM Ethernet2 Mbps/2 Mbpspremiummetro</v>
      </c>
      <c r="W46" s="160">
        <f>MATCH($J46,'Tarieven ZM'!$B:$B,0)</f>
        <v>73</v>
      </c>
      <c r="X46" s="148">
        <f>INDEX('Tarieven ZM'!$H:$H,$W46)</f>
        <v>1000</v>
      </c>
      <c r="Y46" s="161">
        <f>-INDEX(Parameters!$B:$B,MATCH(Y$3,Parameters!$A:$A,0))*$X46</f>
        <v>0</v>
      </c>
      <c r="Z46" s="149">
        <f>-INDEX(Parameters!$B:$B,MATCH(Z$3,Parameters!$A:$A,0))*$X46</f>
        <v>0</v>
      </c>
      <c r="AA46" s="148">
        <f t="shared" si="28"/>
        <v>1000</v>
      </c>
      <c r="AB46" s="148">
        <f>AA46/INDEX(Parameters!$B:$B,MATCH("AfschrijftermijnVVE"&amp;12*$C46,Parameters!$A:$A,0))</f>
        <v>27.777777777777779</v>
      </c>
      <c r="AC46" s="148">
        <f>INDEX('Tarieven ZM'!$G:$G,$W46)</f>
        <v>1000</v>
      </c>
      <c r="AD46" s="161">
        <f>-INDEX(Parameters!$B:$B,MATCH(AD$3,Parameters!$A:$A,0))*$AC46</f>
        <v>0</v>
      </c>
      <c r="AE46" s="161">
        <f>-INDEX(Parameters!$B:$B,MATCH(AE$3,Parameters!$A:$A,0))*$AC46</f>
        <v>0</v>
      </c>
      <c r="AF46" s="148">
        <f t="shared" si="29"/>
        <v>1000</v>
      </c>
      <c r="AG46" s="151">
        <f t="shared" si="30"/>
        <v>1027.7777777777778</v>
      </c>
      <c r="AH46" s="123"/>
      <c r="AI46" s="147">
        <f>IF(R46&lt;&gt;"n.a.",MATCH($U46,'Tarieven W&amp;O'!$B:$B,0),"nvt")</f>
        <v>139</v>
      </c>
      <c r="AJ46" s="148">
        <f>IF(AI46&lt;&gt;"nvt",INDEX('Tarieven W&amp;O'!$H:$H,$AI46),0)</f>
        <v>0</v>
      </c>
      <c r="AK46" s="148">
        <f>IF(AI46&lt;&gt;"nvt",INDEX('Tarieven W&amp;O'!$I:$I,$AI46),0)</f>
        <v>5</v>
      </c>
      <c r="AL46" s="277">
        <f>IF(AI46&lt;&gt;"nvt",-INDEX(Parameters!$B:$B,MATCH(AL$3&amp;$M46,Parameters!$A:$A,0))*(AJ46+AK46),0)</f>
        <v>0</v>
      </c>
      <c r="AM46" s="442"/>
      <c r="AN46" s="179">
        <f t="shared" si="31"/>
        <v>5</v>
      </c>
      <c r="AO46" s="262">
        <f>AN46/INDEX(Parameters!$B:$B,MATCH("AfschrijftermijnVVE"&amp;12*$C46,Parameters!$A:$A,0))</f>
        <v>0.1388888888888889</v>
      </c>
      <c r="AP46" s="179">
        <f t="shared" si="32"/>
        <v>139</v>
      </c>
      <c r="AQ46" s="202">
        <f>IF(AP46&lt;&gt;"nvt",INDEX('Tarieven W&amp;O'!$G:$G,$AP46),0)</f>
        <v>14.82</v>
      </c>
      <c r="AR46" s="463">
        <f>-INDEX(Parameters!$B:$B,MATCH(AR$3&amp;$M46&amp;O46,Parameters!$A:$A,0))*(AQ46)</f>
        <v>0</v>
      </c>
      <c r="AS46" s="262">
        <v>0</v>
      </c>
      <c r="AT46" s="442">
        <f>IF(M46="WBA CM Ethernet",0,'EDC Minus'!$H$27)</f>
        <v>1</v>
      </c>
      <c r="AU46" s="202">
        <f t="shared" si="33"/>
        <v>15.82</v>
      </c>
      <c r="AV46" s="202">
        <f t="shared" si="34"/>
        <v>15.95888888888889</v>
      </c>
      <c r="AW46" s="202"/>
      <c r="AX46" s="202">
        <f>Parameters!$B$6*AV46</f>
        <v>0.15958888888888889</v>
      </c>
      <c r="AY46" s="202">
        <v>0</v>
      </c>
      <c r="AZ46" s="202"/>
      <c r="BA46" s="150">
        <f t="shared" si="16"/>
        <v>0.15958888888888889</v>
      </c>
      <c r="BB46" s="150"/>
      <c r="BC46" s="151">
        <f t="shared" si="17"/>
        <v>16.118477777777777</v>
      </c>
      <c r="BD46" s="123"/>
      <c r="BE46" s="140">
        <f t="shared" si="36"/>
        <v>1011.6593</v>
      </c>
      <c r="BF46" s="141">
        <f t="shared" si="37"/>
        <v>0.98431715675675668</v>
      </c>
      <c r="BG46" s="142" t="b">
        <f t="shared" si="35"/>
        <v>0</v>
      </c>
      <c r="BH46" s="148"/>
      <c r="BI46" s="188" t="s">
        <v>539</v>
      </c>
      <c r="BJ46" s="189"/>
      <c r="BK46">
        <f>VLOOKUP(J46,'Tarieven ZM'!$B$7:$I$146,8,0)</f>
        <v>0</v>
      </c>
      <c r="BL46" s="179" t="str">
        <f>INDEX(Mapping!$M:$M,MATCH($J46,Mapping!$B:$B,0))</f>
        <v>nvt</v>
      </c>
      <c r="BM46" s="282">
        <v>0</v>
      </c>
      <c r="BN46" s="262">
        <f>BM46/INDEX(Parameters!$B:$B,MATCH("AfschrijftermijnVVE"&amp;12*$C46,Parameters!$A:$A,0))</f>
        <v>0</v>
      </c>
      <c r="BO46" s="262">
        <f>AS46+INDEX('inkoop ULL tbv Epacity'!I:I,MATCH($BL46,'inkoop ULL tbv Epacity'!H:H,0))</f>
        <v>0</v>
      </c>
      <c r="BP46" s="263">
        <f t="shared" si="18"/>
        <v>0</v>
      </c>
      <c r="BQ46" s="203"/>
      <c r="BR46" s="262">
        <f>Parameters!$B$12*AG46</f>
        <v>102.77777777777779</v>
      </c>
      <c r="BS46" s="262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SUM(Distributievergoedingen!$F$12,Distributievergoedingen!$I$12,Distributievergoedingen!$L$12,Distributievergoedingen!$O$12)*AF46+SUM(Distributievergoedingen!$O$12*AA46+Distributievergoedingen!$R$12+Distributievergoedingen!$U$12+Distributievergoedingen!$X$12)/(MAX(36,12*L46))</f>
        <v>112.77777777777777</v>
      </c>
      <c r="BT46" s="262"/>
      <c r="BU46" s="150">
        <f t="shared" si="19"/>
        <v>215.55555555555554</v>
      </c>
      <c r="BW46" s="151">
        <f t="shared" si="20"/>
        <v>215.55555555555554</v>
      </c>
      <c r="BY46" s="140">
        <f t="shared" si="21"/>
        <v>812.22222222222229</v>
      </c>
      <c r="BZ46" s="141">
        <f t="shared" si="22"/>
        <v>0.7902702702702703</v>
      </c>
      <c r="CA46" s="142" t="b">
        <f t="shared" si="23"/>
        <v>0</v>
      </c>
    </row>
    <row r="47" spans="1:79">
      <c r="A47" s="160" t="str">
        <f t="shared" si="24"/>
        <v>2SDSLAddnationaal2048/2048</v>
      </c>
      <c r="B47" s="142" t="str">
        <f t="shared" si="25"/>
        <v>2SDSL2048/2048Add</v>
      </c>
      <c r="C47" s="198">
        <v>2</v>
      </c>
      <c r="D47" s="198" t="s">
        <v>64</v>
      </c>
      <c r="E47" s="198" t="s">
        <v>103</v>
      </c>
      <c r="F47" s="198" t="s">
        <v>115</v>
      </c>
      <c r="G47" s="199" t="s">
        <v>113</v>
      </c>
      <c r="H47" s="198" t="s">
        <v>68</v>
      </c>
      <c r="J47" s="142" t="str">
        <f t="shared" si="26"/>
        <v>SDSL2048/2048Add</v>
      </c>
      <c r="L47" s="160">
        <f>INDEX(Mapping!$J:$J,MATCH(C$3&amp;C47,Mapping!$B:$B,0))</f>
        <v>1</v>
      </c>
      <c r="M47" s="179" t="str">
        <f>INDEX(Mapping!$H:$H,MATCH(D47&amp;H47&amp;$E47,Mapping!$B:$B,0))</f>
        <v>WBA ZM Ethernet</v>
      </c>
      <c r="N47" s="179" t="str">
        <f>INDEX(Mapping!$J:$J,MATCH(D47&amp;H47&amp;$E47,Mapping!$B:$B,0))</f>
        <v>premium</v>
      </c>
      <c r="O47" s="179" t="str">
        <f>INDEX(Mapping!$I:$I,MATCH($D47,Mapping!$B:$B,0))</f>
        <v>SDSL</v>
      </c>
      <c r="P47" s="179" t="str">
        <f>INDEX(Mapping!$H:$H,MATCH($F47,Mapping!$B:$B,0))</f>
        <v>nvt</v>
      </c>
      <c r="Q47" s="283" t="str">
        <f>INDEX(Mapping!$K:$K,MATCH($D47&amp;$H47&amp;E47,Mapping!$B:$B,0))</f>
        <v>metro</v>
      </c>
      <c r="R47" s="179" t="str">
        <f>INDEX(Mapping!$I:$I,MATCH(D47&amp;H47&amp;$E47,Mapping!$B:$B,0))</f>
        <v>2 Mbps/2 Mbps</v>
      </c>
      <c r="S47" s="203"/>
      <c r="T47" s="283" t="str">
        <f>INDEX(Mapping!$L:$L,MATCH($D47&amp;$H47&amp;E47,Mapping!$B:$B,0))</f>
        <v>metro-nationaal</v>
      </c>
      <c r="U47" s="142" t="str">
        <f t="shared" si="27"/>
        <v>WBA ZM Ethernet2 Mbps/2 Mbpspremiummetro</v>
      </c>
      <c r="W47" s="160">
        <f>MATCH($J47,'Tarieven ZM'!$B:$B,0)</f>
        <v>74</v>
      </c>
      <c r="X47" s="148">
        <f>INDEX('Tarieven ZM'!$H:$H,$W47)</f>
        <v>1000</v>
      </c>
      <c r="Y47" s="161">
        <f>-INDEX(Parameters!$B:$B,MATCH(Y$3,Parameters!$A:$A,0))*$X47</f>
        <v>0</v>
      </c>
      <c r="Z47" s="149">
        <f>-INDEX(Parameters!$B:$B,MATCH(Z$3,Parameters!$A:$A,0))*$X47</f>
        <v>0</v>
      </c>
      <c r="AA47" s="148">
        <f t="shared" si="28"/>
        <v>1000</v>
      </c>
      <c r="AB47" s="148">
        <f>AA47/INDEX(Parameters!$B:$B,MATCH("AfschrijftermijnVVE"&amp;12*$C47,Parameters!$A:$A,0))</f>
        <v>27.777777777777779</v>
      </c>
      <c r="AC47" s="148">
        <f>INDEX('Tarieven ZM'!$G:$G,$W47)</f>
        <v>1000</v>
      </c>
      <c r="AD47" s="161">
        <f>-INDEX(Parameters!$B:$B,MATCH(AD$3,Parameters!$A:$A,0))*$AC47</f>
        <v>0</v>
      </c>
      <c r="AE47" s="161">
        <f>-INDEX(Parameters!$B:$B,MATCH(AE$3,Parameters!$A:$A,0))*$AC47</f>
        <v>0</v>
      </c>
      <c r="AF47" s="148">
        <f t="shared" si="29"/>
        <v>1000</v>
      </c>
      <c r="AG47" s="151">
        <f t="shared" si="30"/>
        <v>1027.7777777777778</v>
      </c>
      <c r="AH47" s="123"/>
      <c r="AI47" s="147">
        <f>IF(R47&lt;&gt;"n.a.",MATCH($U47,'Tarieven W&amp;O'!$B:$B,0),"nvt")</f>
        <v>139</v>
      </c>
      <c r="AJ47" s="148">
        <f>IF(AI47&lt;&gt;"nvt",INDEX('Tarieven W&amp;O'!$H:$H,$AI47),0)</f>
        <v>0</v>
      </c>
      <c r="AK47" s="148">
        <f>IF(AI47&lt;&gt;"nvt",INDEX('Tarieven W&amp;O'!$I:$I,$AI47),0)</f>
        <v>5</v>
      </c>
      <c r="AL47" s="277">
        <f>IF(AI47&lt;&gt;"nvt",-INDEX(Parameters!$B:$B,MATCH(AL$3&amp;$M47,Parameters!$A:$A,0))*(AJ47+AK47),0)</f>
        <v>0</v>
      </c>
      <c r="AM47" s="442"/>
      <c r="AN47" s="179">
        <f t="shared" si="31"/>
        <v>5</v>
      </c>
      <c r="AO47" s="262">
        <f>AN47/INDEX(Parameters!$B:$B,MATCH("AfschrijftermijnVVE"&amp;12*$C47,Parameters!$A:$A,0))</f>
        <v>0.1388888888888889</v>
      </c>
      <c r="AP47" s="179">
        <f t="shared" si="32"/>
        <v>139</v>
      </c>
      <c r="AQ47" s="202">
        <f>IF(AP47&lt;&gt;"nvt",INDEX('Tarieven W&amp;O'!$G:$G,$AP47),0)</f>
        <v>14.82</v>
      </c>
      <c r="AR47" s="463">
        <f>-INDEX(Parameters!$B:$B,MATCH(AR$3&amp;$M47&amp;O47,Parameters!$A:$A,0))*(AQ47)</f>
        <v>0</v>
      </c>
      <c r="AS47" s="262">
        <v>0</v>
      </c>
      <c r="AT47" s="442">
        <f>IF(M47="WBA CM Ethernet",0,'EDC Minus'!$H$27)</f>
        <v>1</v>
      </c>
      <c r="AU47" s="202">
        <f t="shared" si="33"/>
        <v>15.82</v>
      </c>
      <c r="AV47" s="202">
        <f t="shared" si="34"/>
        <v>15.95888888888889</v>
      </c>
      <c r="AW47" s="202"/>
      <c r="AX47" s="202">
        <f>Parameters!$B$6*AV47</f>
        <v>0.15958888888888889</v>
      </c>
      <c r="AY47" s="202">
        <v>0</v>
      </c>
      <c r="AZ47" s="202"/>
      <c r="BA47" s="150">
        <f t="shared" si="16"/>
        <v>0.15958888888888889</v>
      </c>
      <c r="BB47" s="150"/>
      <c r="BC47" s="151">
        <f t="shared" si="17"/>
        <v>16.118477777777777</v>
      </c>
      <c r="BD47" s="123"/>
      <c r="BE47" s="140">
        <f t="shared" si="36"/>
        <v>1011.6593</v>
      </c>
      <c r="BF47" s="141">
        <f t="shared" si="37"/>
        <v>0.98431715675675668</v>
      </c>
      <c r="BG47" s="142" t="b">
        <f t="shared" si="35"/>
        <v>0</v>
      </c>
      <c r="BH47" s="148"/>
      <c r="BI47" s="188" t="s">
        <v>539</v>
      </c>
      <c r="BJ47" s="189"/>
      <c r="BK47">
        <f>VLOOKUP(J47,'Tarieven ZM'!$B$7:$I$146,8,0)</f>
        <v>0</v>
      </c>
      <c r="BL47" s="179" t="str">
        <f>INDEX(Mapping!$M:$M,MATCH($J47,Mapping!$B:$B,0))</f>
        <v>nvt</v>
      </c>
      <c r="BM47" s="282">
        <v>0</v>
      </c>
      <c r="BN47" s="262">
        <f>BM47/INDEX(Parameters!$B:$B,MATCH("AfschrijftermijnVVE"&amp;12*$C47,Parameters!$A:$A,0))</f>
        <v>0</v>
      </c>
      <c r="BO47" s="262">
        <f>AS47+INDEX('inkoop ULL tbv Epacity'!I:I,MATCH($BL47,'inkoop ULL tbv Epacity'!H:H,0))</f>
        <v>0</v>
      </c>
      <c r="BP47" s="263">
        <f t="shared" si="18"/>
        <v>0</v>
      </c>
      <c r="BQ47" s="203"/>
      <c r="BR47" s="262">
        <f>Parameters!$B$12*AG47</f>
        <v>102.77777777777779</v>
      </c>
      <c r="BS47" s="262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SUM(Distributievergoedingen!$F$12,Distributievergoedingen!$I$12,Distributievergoedingen!$L$12,Distributievergoedingen!$O$12)*AF47+SUM(Distributievergoedingen!$O$12*AA47+Distributievergoedingen!$R$12+Distributievergoedingen!$U$12+Distributievergoedingen!$X$12)/(MAX(36,12*L47))</f>
        <v>112.77777777777777</v>
      </c>
      <c r="BT47" s="262"/>
      <c r="BU47" s="150">
        <f t="shared" si="19"/>
        <v>215.55555555555554</v>
      </c>
      <c r="BW47" s="151">
        <f t="shared" si="20"/>
        <v>215.55555555555554</v>
      </c>
      <c r="BY47" s="140">
        <f t="shared" si="21"/>
        <v>812.22222222222229</v>
      </c>
      <c r="BZ47" s="141">
        <f t="shared" si="22"/>
        <v>0.7902702702702703</v>
      </c>
      <c r="CA47" s="142" t="b">
        <f t="shared" si="23"/>
        <v>0</v>
      </c>
    </row>
    <row r="48" spans="1:79">
      <c r="A48" s="160" t="str">
        <f t="shared" si="24"/>
        <v>2VDSLAddnationaal128/128</v>
      </c>
      <c r="B48" s="142" t="str">
        <f t="shared" si="25"/>
        <v>2VDSL128/128Add</v>
      </c>
      <c r="C48" s="198">
        <v>2</v>
      </c>
      <c r="D48" s="198" t="s">
        <v>77</v>
      </c>
      <c r="E48" s="198" t="s">
        <v>103</v>
      </c>
      <c r="F48" s="198" t="s">
        <v>115</v>
      </c>
      <c r="G48" s="199" t="s">
        <v>113</v>
      </c>
      <c r="H48" s="198" t="s">
        <v>43</v>
      </c>
      <c r="J48" s="142" t="str">
        <f t="shared" si="26"/>
        <v>VDSL128/128Add</v>
      </c>
      <c r="L48" s="160">
        <f>INDEX(Mapping!$J:$J,MATCH(C$3&amp;C48,Mapping!$B:$B,0))</f>
        <v>1</v>
      </c>
      <c r="M48" s="179" t="str">
        <f>INDEX(Mapping!$H:$H,MATCH(D48&amp;H48&amp;$E48,Mapping!$B:$B,0))</f>
        <v>WBA CM Ethernet</v>
      </c>
      <c r="N48" s="179" t="str">
        <f>INDEX(Mapping!$J:$J,MATCH(D48&amp;H48&amp;$E48,Mapping!$B:$B,0))</f>
        <v>add</v>
      </c>
      <c r="O48" s="179" t="str">
        <f>INDEX(Mapping!$I:$I,MATCH($D48,Mapping!$B:$B,0))</f>
        <v>VDSL</v>
      </c>
      <c r="P48" s="179" t="str">
        <f>INDEX(Mapping!$H:$H,MATCH($F48,Mapping!$B:$B,0))</f>
        <v>nvt</v>
      </c>
      <c r="Q48" s="283" t="str">
        <f>INDEX(Mapping!$K:$K,MATCH($D48&amp;$H48&amp;E48,Mapping!$B:$B,0))</f>
        <v>national</v>
      </c>
      <c r="R48" s="179" t="str">
        <f>INDEX(Mapping!$I:$I,MATCH(D48&amp;H48&amp;$E48,Mapping!$B:$B,0))</f>
        <v>&lt;=256 kbps/&lt;=256 kbps</v>
      </c>
      <c r="S48" s="203"/>
      <c r="T48" s="283" t="str">
        <f>INDEX(Mapping!$L:$L,MATCH($D48&amp;$H48&amp;E48,Mapping!$B:$B,0))</f>
        <v>nvt</v>
      </c>
      <c r="U48" s="142" t="str">
        <f t="shared" si="27"/>
        <v>WBA CM Ethernet&lt;=256 kbps/&lt;=256 kbpsaddnational</v>
      </c>
      <c r="W48" s="160">
        <f>MATCH($J48,'Tarieven ZM'!$B:$B,0)</f>
        <v>75</v>
      </c>
      <c r="X48" s="148">
        <f>INDEX('Tarieven ZM'!$H:$H,$W48)</f>
        <v>1000</v>
      </c>
      <c r="Y48" s="161">
        <f>-INDEX(Parameters!$B:$B,MATCH(Y$3,Parameters!$A:$A,0))*$X48</f>
        <v>0</v>
      </c>
      <c r="Z48" s="149">
        <f>-INDEX(Parameters!$B:$B,MATCH(Z$3,Parameters!$A:$A,0))*$X48</f>
        <v>0</v>
      </c>
      <c r="AA48" s="148">
        <f t="shared" si="28"/>
        <v>1000</v>
      </c>
      <c r="AB48" s="148">
        <f>AA48/INDEX(Parameters!$B:$B,MATCH("AfschrijftermijnVVE"&amp;12*$C48,Parameters!$A:$A,0))</f>
        <v>27.777777777777779</v>
      </c>
      <c r="AC48" s="148">
        <f>INDEX('Tarieven ZM'!$G:$G,$W48)</f>
        <v>1000</v>
      </c>
      <c r="AD48" s="161">
        <f>-INDEX(Parameters!$B:$B,MATCH(AD$3,Parameters!$A:$A,0))*$AC48</f>
        <v>0</v>
      </c>
      <c r="AE48" s="161">
        <f>-INDEX(Parameters!$B:$B,MATCH(AE$3,Parameters!$A:$A,0))*$AC48</f>
        <v>0</v>
      </c>
      <c r="AF48" s="148">
        <f t="shared" si="29"/>
        <v>1000</v>
      </c>
      <c r="AG48" s="151">
        <f t="shared" si="30"/>
        <v>1027.7777777777778</v>
      </c>
      <c r="AH48" s="123"/>
      <c r="AI48" s="147">
        <f>IF(R48&lt;&gt;"n.a.",MATCH($U48,'Tarieven W&amp;O'!$B:$B,0),"nvt")</f>
        <v>134</v>
      </c>
      <c r="AJ48" s="148">
        <f>IF(AI48&lt;&gt;"nvt",INDEX('Tarieven W&amp;O'!$H:$H,$AI48),0)</f>
        <v>0</v>
      </c>
      <c r="AK48" s="148">
        <f>IF(AI48&lt;&gt;"nvt",INDEX('Tarieven W&amp;O'!$I:$I,$AI48),0)</f>
        <v>5</v>
      </c>
      <c r="AL48" s="277">
        <f>IF(AI48&lt;&gt;"nvt",-INDEX(Parameters!$B:$B,MATCH(AL$3&amp;$M48,Parameters!$A:$A,0))*(AJ48+AK48),0)</f>
        <v>0</v>
      </c>
      <c r="AM48" s="442"/>
      <c r="AN48" s="179">
        <f t="shared" si="31"/>
        <v>5</v>
      </c>
      <c r="AO48" s="262">
        <f>AN48/INDEX(Parameters!$B:$B,MATCH("AfschrijftermijnVVE"&amp;12*$C48,Parameters!$A:$A,0))</f>
        <v>0.1388888888888889</v>
      </c>
      <c r="AP48" s="179">
        <f t="shared" si="32"/>
        <v>134</v>
      </c>
      <c r="AQ48" s="202">
        <f>IF(AP48&lt;&gt;"nvt",INDEX('Tarieven W&amp;O'!$G:$G,$AP48),0)</f>
        <v>1E-4</v>
      </c>
      <c r="AR48" s="463">
        <f>-INDEX(Parameters!$B:$B,MATCH(AR$3&amp;$M48&amp;O48,Parameters!$A:$A,0))*(AQ48)</f>
        <v>-1.0000000000000001E-5</v>
      </c>
      <c r="AS48" s="262">
        <v>0</v>
      </c>
      <c r="AT48" s="442">
        <f>IF(M48="WBA CM Ethernet",0,'EDC Minus'!$H$27)</f>
        <v>0</v>
      </c>
      <c r="AU48" s="202">
        <f t="shared" si="33"/>
        <v>9.0000000000000006E-5</v>
      </c>
      <c r="AV48" s="202">
        <f t="shared" si="34"/>
        <v>0.1389788888888889</v>
      </c>
      <c r="AW48" s="202"/>
      <c r="AX48" s="202">
        <f>Parameters!$B$6*AV48</f>
        <v>1.389788888888889E-3</v>
      </c>
      <c r="AY48" s="202">
        <v>0</v>
      </c>
      <c r="AZ48" s="202"/>
      <c r="BA48" s="150">
        <f t="shared" si="16"/>
        <v>1.389788888888889E-3</v>
      </c>
      <c r="BB48" s="150"/>
      <c r="BC48" s="151">
        <f t="shared" si="17"/>
        <v>0.14036867777777778</v>
      </c>
      <c r="BD48" s="123"/>
      <c r="BE48" s="140">
        <f t="shared" si="36"/>
        <v>1027.6374091</v>
      </c>
      <c r="BF48" s="141">
        <f t="shared" si="37"/>
        <v>0.99986342507027026</v>
      </c>
      <c r="BG48" s="142" t="b">
        <f t="shared" si="35"/>
        <v>0</v>
      </c>
      <c r="BH48" s="148"/>
      <c r="BI48" s="188" t="s">
        <v>539</v>
      </c>
      <c r="BJ48" s="189"/>
      <c r="BK48">
        <f>VLOOKUP(J48,'Tarieven ZM'!$B$7:$I$146,8,0)</f>
        <v>0</v>
      </c>
      <c r="BL48" s="179" t="str">
        <f>INDEX(Mapping!$M:$M,MATCH($J48,Mapping!$B:$B,0))</f>
        <v>nvt</v>
      </c>
      <c r="BM48" s="282">
        <v>0</v>
      </c>
      <c r="BN48" s="262">
        <f>BM48/INDEX(Parameters!$B:$B,MATCH("AfschrijftermijnVVE"&amp;12*$C48,Parameters!$A:$A,0))</f>
        <v>0</v>
      </c>
      <c r="BO48" s="262">
        <f>AS48+INDEX('inkoop ULL tbv Epacity'!I:I,MATCH($BL48,'inkoop ULL tbv Epacity'!H:H,0))</f>
        <v>0</v>
      </c>
      <c r="BP48" s="263">
        <f t="shared" si="18"/>
        <v>0</v>
      </c>
      <c r="BQ48" s="203"/>
      <c r="BR48" s="262">
        <f>Parameters!$B$12*AG48</f>
        <v>102.77777777777779</v>
      </c>
      <c r="BS48" s="262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SUM(Distributievergoedingen!$F$12,Distributievergoedingen!$I$12,Distributievergoedingen!$L$12,Distributievergoedingen!$O$12)*AF48+SUM(Distributievergoedingen!$O$12*AA48+Distributievergoedingen!$R$12+Distributievergoedingen!$U$12+Distributievergoedingen!$X$12)/(MAX(36,12*L48))</f>
        <v>112.77777777777777</v>
      </c>
      <c r="BT48" s="262"/>
      <c r="BU48" s="150">
        <f t="shared" si="19"/>
        <v>215.55555555555554</v>
      </c>
      <c r="BW48" s="151">
        <f t="shared" si="20"/>
        <v>215.55555555555554</v>
      </c>
      <c r="BY48" s="140">
        <f t="shared" si="21"/>
        <v>812.22222222222229</v>
      </c>
      <c r="BZ48" s="141">
        <f t="shared" si="22"/>
        <v>0.7902702702702703</v>
      </c>
      <c r="CA48" s="142" t="b">
        <f t="shared" si="23"/>
        <v>0</v>
      </c>
    </row>
    <row r="49" spans="1:79">
      <c r="A49" s="160" t="str">
        <f t="shared" si="24"/>
        <v>2VDSLAddnationaal256/256</v>
      </c>
      <c r="B49" s="142" t="str">
        <f t="shared" si="25"/>
        <v>2VDSL256/256Add</v>
      </c>
      <c r="C49" s="198">
        <v>2</v>
      </c>
      <c r="D49" s="198" t="s">
        <v>77</v>
      </c>
      <c r="E49" s="198" t="s">
        <v>103</v>
      </c>
      <c r="F49" s="198" t="s">
        <v>115</v>
      </c>
      <c r="G49" s="199" t="s">
        <v>113</v>
      </c>
      <c r="H49" s="198" t="s">
        <v>48</v>
      </c>
      <c r="J49" s="142" t="str">
        <f t="shared" si="26"/>
        <v>VDSL256/256Add</v>
      </c>
      <c r="L49" s="160">
        <f>INDEX(Mapping!$J:$J,MATCH(C$3&amp;C49,Mapping!$B:$B,0))</f>
        <v>1</v>
      </c>
      <c r="M49" s="179" t="str">
        <f>INDEX(Mapping!$H:$H,MATCH(D49&amp;H49&amp;$E49,Mapping!$B:$B,0))</f>
        <v>WBA CM Ethernet</v>
      </c>
      <c r="N49" s="179" t="str">
        <f>INDEX(Mapping!$J:$J,MATCH(D49&amp;H49&amp;$E49,Mapping!$B:$B,0))</f>
        <v>add</v>
      </c>
      <c r="O49" s="179" t="str">
        <f>INDEX(Mapping!$I:$I,MATCH($D49,Mapping!$B:$B,0))</f>
        <v>VDSL</v>
      </c>
      <c r="P49" s="179" t="str">
        <f>INDEX(Mapping!$H:$H,MATCH($F49,Mapping!$B:$B,0))</f>
        <v>nvt</v>
      </c>
      <c r="Q49" s="283" t="str">
        <f>INDEX(Mapping!$K:$K,MATCH($D49&amp;$H49&amp;E49,Mapping!$B:$B,0))</f>
        <v>national</v>
      </c>
      <c r="R49" s="179" t="str">
        <f>INDEX(Mapping!$I:$I,MATCH(D49&amp;H49&amp;$E49,Mapping!$B:$B,0))</f>
        <v>&lt;=256 kbps/&lt;=256 kbps</v>
      </c>
      <c r="S49" s="203"/>
      <c r="T49" s="283" t="str">
        <f>INDEX(Mapping!$L:$L,MATCH($D49&amp;$H49&amp;E49,Mapping!$B:$B,0))</f>
        <v>nvt</v>
      </c>
      <c r="U49" s="142" t="str">
        <f t="shared" si="27"/>
        <v>WBA CM Ethernet&lt;=256 kbps/&lt;=256 kbpsaddnational</v>
      </c>
      <c r="W49" s="160">
        <f>MATCH($J49,'Tarieven ZM'!$B:$B,0)</f>
        <v>76</v>
      </c>
      <c r="X49" s="148">
        <f>INDEX('Tarieven ZM'!$H:$H,$W49)</f>
        <v>1000</v>
      </c>
      <c r="Y49" s="161">
        <f>-INDEX(Parameters!$B:$B,MATCH(Y$3,Parameters!$A:$A,0))*$X49</f>
        <v>0</v>
      </c>
      <c r="Z49" s="149">
        <f>-INDEX(Parameters!$B:$B,MATCH(Z$3,Parameters!$A:$A,0))*$X49</f>
        <v>0</v>
      </c>
      <c r="AA49" s="148">
        <f t="shared" si="28"/>
        <v>1000</v>
      </c>
      <c r="AB49" s="148">
        <f>AA49/INDEX(Parameters!$B:$B,MATCH("AfschrijftermijnVVE"&amp;12*$C49,Parameters!$A:$A,0))</f>
        <v>27.777777777777779</v>
      </c>
      <c r="AC49" s="148">
        <f>INDEX('Tarieven ZM'!$G:$G,$W49)</f>
        <v>1000</v>
      </c>
      <c r="AD49" s="161">
        <f>-INDEX(Parameters!$B:$B,MATCH(AD$3,Parameters!$A:$A,0))*$AC49</f>
        <v>0</v>
      </c>
      <c r="AE49" s="161">
        <f>-INDEX(Parameters!$B:$B,MATCH(AE$3,Parameters!$A:$A,0))*$AC49</f>
        <v>0</v>
      </c>
      <c r="AF49" s="148">
        <f t="shared" si="29"/>
        <v>1000</v>
      </c>
      <c r="AG49" s="151">
        <f t="shared" si="30"/>
        <v>1027.7777777777778</v>
      </c>
      <c r="AH49" s="123"/>
      <c r="AI49" s="147">
        <f>IF(R49&lt;&gt;"n.a.",MATCH($U49,'Tarieven W&amp;O'!$B:$B,0),"nvt")</f>
        <v>134</v>
      </c>
      <c r="AJ49" s="148">
        <f>IF(AI49&lt;&gt;"nvt",INDEX('Tarieven W&amp;O'!$H:$H,$AI49),0)</f>
        <v>0</v>
      </c>
      <c r="AK49" s="148">
        <f>IF(AI49&lt;&gt;"nvt",INDEX('Tarieven W&amp;O'!$I:$I,$AI49),0)</f>
        <v>5</v>
      </c>
      <c r="AL49" s="277">
        <f>IF(AI49&lt;&gt;"nvt",-INDEX(Parameters!$B:$B,MATCH(AL$3&amp;$M49,Parameters!$A:$A,0))*(AJ49+AK49),0)</f>
        <v>0</v>
      </c>
      <c r="AM49" s="442"/>
      <c r="AN49" s="179">
        <f t="shared" si="31"/>
        <v>5</v>
      </c>
      <c r="AO49" s="262">
        <f>AN49/INDEX(Parameters!$B:$B,MATCH("AfschrijftermijnVVE"&amp;12*$C49,Parameters!$A:$A,0))</f>
        <v>0.1388888888888889</v>
      </c>
      <c r="AP49" s="179">
        <f t="shared" si="32"/>
        <v>134</v>
      </c>
      <c r="AQ49" s="202">
        <f>IF(AP49&lt;&gt;"nvt",INDEX('Tarieven W&amp;O'!$G:$G,$AP49),0)</f>
        <v>1E-4</v>
      </c>
      <c r="AR49" s="463">
        <f>-INDEX(Parameters!$B:$B,MATCH(AR$3&amp;$M49&amp;O49,Parameters!$A:$A,0))*(AQ49)</f>
        <v>-1.0000000000000001E-5</v>
      </c>
      <c r="AS49" s="262">
        <v>0</v>
      </c>
      <c r="AT49" s="442">
        <f>IF(M49="WBA CM Ethernet",0,'EDC Minus'!$H$27)</f>
        <v>0</v>
      </c>
      <c r="AU49" s="202">
        <f t="shared" si="33"/>
        <v>9.0000000000000006E-5</v>
      </c>
      <c r="AV49" s="202">
        <f t="shared" si="34"/>
        <v>0.1389788888888889</v>
      </c>
      <c r="AW49" s="202"/>
      <c r="AX49" s="202">
        <f>Parameters!$B$6*AV49</f>
        <v>1.389788888888889E-3</v>
      </c>
      <c r="AY49" s="202">
        <v>0</v>
      </c>
      <c r="AZ49" s="202"/>
      <c r="BA49" s="150">
        <f t="shared" si="16"/>
        <v>1.389788888888889E-3</v>
      </c>
      <c r="BB49" s="150"/>
      <c r="BC49" s="151">
        <f t="shared" si="17"/>
        <v>0.14036867777777778</v>
      </c>
      <c r="BD49" s="123"/>
      <c r="BE49" s="140">
        <f t="shared" si="36"/>
        <v>1027.6374091</v>
      </c>
      <c r="BF49" s="141">
        <f t="shared" si="37"/>
        <v>0.99986342507027026</v>
      </c>
      <c r="BG49" s="142" t="b">
        <f t="shared" si="35"/>
        <v>0</v>
      </c>
      <c r="BH49" s="148"/>
      <c r="BI49" s="188" t="s">
        <v>539</v>
      </c>
      <c r="BJ49" s="189"/>
      <c r="BK49">
        <f>VLOOKUP(J49,'Tarieven ZM'!$B$7:$I$146,8,0)</f>
        <v>0</v>
      </c>
      <c r="BL49" s="179" t="str">
        <f>INDEX(Mapping!$M:$M,MATCH($J49,Mapping!$B:$B,0))</f>
        <v>nvt</v>
      </c>
      <c r="BM49" s="282">
        <v>0</v>
      </c>
      <c r="BN49" s="262">
        <f>BM49/INDEX(Parameters!$B:$B,MATCH("AfschrijftermijnVVE"&amp;12*$C49,Parameters!$A:$A,0))</f>
        <v>0</v>
      </c>
      <c r="BO49" s="262">
        <f>AS49+INDEX('inkoop ULL tbv Epacity'!I:I,MATCH($BL49,'inkoop ULL tbv Epacity'!H:H,0))</f>
        <v>0</v>
      </c>
      <c r="BP49" s="263">
        <f t="shared" si="18"/>
        <v>0</v>
      </c>
      <c r="BQ49" s="203"/>
      <c r="BR49" s="262">
        <f>Parameters!$B$12*AG49</f>
        <v>102.77777777777779</v>
      </c>
      <c r="BS49" s="262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SUM(Distributievergoedingen!$F$12,Distributievergoedingen!$I$12,Distributievergoedingen!$L$12,Distributievergoedingen!$O$12)*AF49+SUM(Distributievergoedingen!$O$12*AA49+Distributievergoedingen!$R$12+Distributievergoedingen!$U$12+Distributievergoedingen!$X$12)/(MAX(36,12*L49))</f>
        <v>112.77777777777777</v>
      </c>
      <c r="BT49" s="262"/>
      <c r="BU49" s="150">
        <f t="shared" si="19"/>
        <v>215.55555555555554</v>
      </c>
      <c r="BW49" s="151">
        <f t="shared" si="20"/>
        <v>215.55555555555554</v>
      </c>
      <c r="BY49" s="140">
        <f t="shared" si="21"/>
        <v>812.22222222222229</v>
      </c>
      <c r="BZ49" s="141">
        <f t="shared" si="22"/>
        <v>0.7902702702702703</v>
      </c>
      <c r="CA49" s="142" t="b">
        <f t="shared" si="23"/>
        <v>0</v>
      </c>
    </row>
    <row r="50" spans="1:79">
      <c r="A50" s="160" t="str">
        <f t="shared" si="24"/>
        <v>2VDSLAddnationaal448/448</v>
      </c>
      <c r="B50" s="142" t="str">
        <f t="shared" si="25"/>
        <v>2VDSL448/448Add</v>
      </c>
      <c r="C50" s="198">
        <v>2</v>
      </c>
      <c r="D50" s="198" t="s">
        <v>77</v>
      </c>
      <c r="E50" s="198" t="s">
        <v>103</v>
      </c>
      <c r="F50" s="198" t="s">
        <v>115</v>
      </c>
      <c r="G50" s="199" t="s">
        <v>113</v>
      </c>
      <c r="H50" s="198" t="s">
        <v>79</v>
      </c>
      <c r="J50" s="142" t="str">
        <f t="shared" si="26"/>
        <v>VDSL448/448Add</v>
      </c>
      <c r="L50" s="160">
        <f>INDEX(Mapping!$J:$J,MATCH(C$3&amp;C50,Mapping!$B:$B,0))</f>
        <v>1</v>
      </c>
      <c r="M50" s="179" t="str">
        <f>INDEX(Mapping!$H:$H,MATCH(D50&amp;H50&amp;$E50,Mapping!$B:$B,0))</f>
        <v>WBA ZM Ethernet</v>
      </c>
      <c r="N50" s="179" t="str">
        <f>INDEX(Mapping!$J:$J,MATCH(D50&amp;H50&amp;$E50,Mapping!$B:$B,0))</f>
        <v>premium</v>
      </c>
      <c r="O50" s="179" t="str">
        <f>INDEX(Mapping!$I:$I,MATCH($D50,Mapping!$B:$B,0))</f>
        <v>VDSL</v>
      </c>
      <c r="P50" s="179" t="str">
        <f>INDEX(Mapping!$H:$H,MATCH($F50,Mapping!$B:$B,0))</f>
        <v>nvt</v>
      </c>
      <c r="Q50" s="283" t="str">
        <f>INDEX(Mapping!$K:$K,MATCH($D50&amp;$H50&amp;E50,Mapping!$B:$B,0))</f>
        <v>metro</v>
      </c>
      <c r="R50" s="179" t="str">
        <f>INDEX(Mapping!$I:$I,MATCH(D50&amp;H50&amp;$E50,Mapping!$B:$B,0))</f>
        <v>1 Mbps/1 Mbps</v>
      </c>
      <c r="S50" s="203"/>
      <c r="T50" s="283" t="str">
        <f>INDEX(Mapping!$L:$L,MATCH($D50&amp;$H50&amp;E50,Mapping!$B:$B,0))</f>
        <v>metro-nationaal</v>
      </c>
      <c r="U50" s="142" t="str">
        <f t="shared" si="27"/>
        <v>WBA ZM Ethernet1 Mbps/1 Mbpspremiummetro</v>
      </c>
      <c r="W50" s="160">
        <f>MATCH($J50,'Tarieven ZM'!$B:$B,0)</f>
        <v>77</v>
      </c>
      <c r="X50" s="148">
        <f>INDEX('Tarieven ZM'!$H:$H,$W50)</f>
        <v>1000</v>
      </c>
      <c r="Y50" s="161">
        <f>-INDEX(Parameters!$B:$B,MATCH(Y$3,Parameters!$A:$A,0))*$X50</f>
        <v>0</v>
      </c>
      <c r="Z50" s="149">
        <f>-INDEX(Parameters!$B:$B,MATCH(Z$3,Parameters!$A:$A,0))*$X50</f>
        <v>0</v>
      </c>
      <c r="AA50" s="148">
        <f t="shared" si="28"/>
        <v>1000</v>
      </c>
      <c r="AB50" s="148">
        <f>AA50/INDEX(Parameters!$B:$B,MATCH("AfschrijftermijnVVE"&amp;12*$C50,Parameters!$A:$A,0))</f>
        <v>27.777777777777779</v>
      </c>
      <c r="AC50" s="148">
        <f>INDEX('Tarieven ZM'!$G:$G,$W50)</f>
        <v>1000</v>
      </c>
      <c r="AD50" s="161">
        <f>-INDEX(Parameters!$B:$B,MATCH(AD$3,Parameters!$A:$A,0))*$AC50</f>
        <v>0</v>
      </c>
      <c r="AE50" s="161">
        <f>-INDEX(Parameters!$B:$B,MATCH(AE$3,Parameters!$A:$A,0))*$AC50</f>
        <v>0</v>
      </c>
      <c r="AF50" s="148">
        <f t="shared" si="29"/>
        <v>1000</v>
      </c>
      <c r="AG50" s="151">
        <f t="shared" si="30"/>
        <v>1027.7777777777778</v>
      </c>
      <c r="AH50" s="123"/>
      <c r="AI50" s="147">
        <f>IF(R50&lt;&gt;"n.a.",MATCH($U50,'Tarieven W&amp;O'!$B:$B,0),"nvt")</f>
        <v>138</v>
      </c>
      <c r="AJ50" s="148">
        <f>IF(AI50&lt;&gt;"nvt",INDEX('Tarieven W&amp;O'!$H:$H,$AI50),0)</f>
        <v>0</v>
      </c>
      <c r="AK50" s="148">
        <f>IF(AI50&lt;&gt;"nvt",INDEX('Tarieven W&amp;O'!$I:$I,$AI50),0)</f>
        <v>5</v>
      </c>
      <c r="AL50" s="277">
        <f>IF(AI50&lt;&gt;"nvt",-INDEX(Parameters!$B:$B,MATCH(AL$3&amp;$M50,Parameters!$A:$A,0))*(AJ50+AK50),0)</f>
        <v>0</v>
      </c>
      <c r="AM50" s="442"/>
      <c r="AN50" s="179">
        <f t="shared" si="31"/>
        <v>5</v>
      </c>
      <c r="AO50" s="262">
        <f>AN50/INDEX(Parameters!$B:$B,MATCH("AfschrijftermijnVVE"&amp;12*$C50,Parameters!$A:$A,0))</f>
        <v>0.1388888888888889</v>
      </c>
      <c r="AP50" s="179">
        <f t="shared" si="32"/>
        <v>138</v>
      </c>
      <c r="AQ50" s="202">
        <f>IF(AP50&lt;&gt;"nvt",INDEX('Tarieven W&amp;O'!$G:$G,$AP50),0)</f>
        <v>7.41</v>
      </c>
      <c r="AR50" s="463">
        <f>-INDEX(Parameters!$B:$B,MATCH(AR$3&amp;$M50&amp;O50,Parameters!$A:$A,0))*(AQ50)</f>
        <v>0</v>
      </c>
      <c r="AS50" s="262">
        <v>0</v>
      </c>
      <c r="AT50" s="442">
        <f>IF(M50="WBA CM Ethernet",0,'EDC Minus'!$H$27)</f>
        <v>1</v>
      </c>
      <c r="AU50" s="202">
        <f t="shared" si="33"/>
        <v>8.41</v>
      </c>
      <c r="AV50" s="202">
        <f t="shared" si="34"/>
        <v>8.5488888888888894</v>
      </c>
      <c r="AW50" s="202"/>
      <c r="AX50" s="202">
        <f>Parameters!$B$6*AV50</f>
        <v>8.5488888888888892E-2</v>
      </c>
      <c r="AY50" s="202">
        <v>0</v>
      </c>
      <c r="AZ50" s="202"/>
      <c r="BA50" s="150">
        <f t="shared" si="16"/>
        <v>8.5488888888888892E-2</v>
      </c>
      <c r="BB50" s="150"/>
      <c r="BC50" s="151">
        <f t="shared" si="17"/>
        <v>8.6343777777777788</v>
      </c>
      <c r="BD50" s="123"/>
      <c r="BE50" s="140">
        <f t="shared" si="36"/>
        <v>1019.1434</v>
      </c>
      <c r="BF50" s="141">
        <f t="shared" si="37"/>
        <v>0.99159898378378375</v>
      </c>
      <c r="BG50" s="142" t="b">
        <f t="shared" si="35"/>
        <v>0</v>
      </c>
      <c r="BH50" s="148"/>
      <c r="BI50" s="188" t="s">
        <v>539</v>
      </c>
      <c r="BJ50" s="189"/>
      <c r="BK50">
        <f>VLOOKUP(J50,'Tarieven ZM'!$B$7:$I$146,8,0)</f>
        <v>0</v>
      </c>
      <c r="BL50" s="179" t="str">
        <f>INDEX(Mapping!$M:$M,MATCH($J50,Mapping!$B:$B,0))</f>
        <v>nvt</v>
      </c>
      <c r="BM50" s="282">
        <v>0</v>
      </c>
      <c r="BN50" s="262">
        <f>BM50/INDEX(Parameters!$B:$B,MATCH("AfschrijftermijnVVE"&amp;12*$C50,Parameters!$A:$A,0))</f>
        <v>0</v>
      </c>
      <c r="BO50" s="262">
        <f>AS50+INDEX('inkoop ULL tbv Epacity'!I:I,MATCH($BL50,'inkoop ULL tbv Epacity'!H:H,0))</f>
        <v>0</v>
      </c>
      <c r="BP50" s="263">
        <f t="shared" si="18"/>
        <v>0</v>
      </c>
      <c r="BQ50" s="203"/>
      <c r="BR50" s="262">
        <f>Parameters!$B$12*AG50</f>
        <v>102.77777777777779</v>
      </c>
      <c r="BS50" s="262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SUM(Distributievergoedingen!$F$12,Distributievergoedingen!$I$12,Distributievergoedingen!$L$12,Distributievergoedingen!$O$12)*AF50+SUM(Distributievergoedingen!$O$12*AA50+Distributievergoedingen!$R$12+Distributievergoedingen!$U$12+Distributievergoedingen!$X$12)/(MAX(36,12*L50))</f>
        <v>112.77777777777777</v>
      </c>
      <c r="BT50" s="262"/>
      <c r="BU50" s="150">
        <f t="shared" si="19"/>
        <v>215.55555555555554</v>
      </c>
      <c r="BW50" s="151">
        <f t="shared" si="20"/>
        <v>215.55555555555554</v>
      </c>
      <c r="BY50" s="140">
        <f t="shared" si="21"/>
        <v>812.22222222222229</v>
      </c>
      <c r="BZ50" s="141">
        <f t="shared" si="22"/>
        <v>0.7902702702702703</v>
      </c>
      <c r="CA50" s="142" t="b">
        <f t="shared" si="23"/>
        <v>0</v>
      </c>
    </row>
    <row r="51" spans="1:79">
      <c r="A51" s="160" t="str">
        <f t="shared" si="24"/>
        <v>2VDSLAddnationaal640/640</v>
      </c>
      <c r="B51" s="142" t="str">
        <f t="shared" si="25"/>
        <v>2VDSL640/640Add</v>
      </c>
      <c r="C51" s="198">
        <v>2</v>
      </c>
      <c r="D51" s="198" t="s">
        <v>77</v>
      </c>
      <c r="E51" s="198" t="s">
        <v>103</v>
      </c>
      <c r="F51" s="198" t="s">
        <v>115</v>
      </c>
      <c r="G51" s="199" t="s">
        <v>113</v>
      </c>
      <c r="H51" s="198" t="s">
        <v>80</v>
      </c>
      <c r="J51" s="142" t="str">
        <f t="shared" si="26"/>
        <v>VDSL640/640Add</v>
      </c>
      <c r="L51" s="160">
        <f>INDEX(Mapping!$J:$J,MATCH(C$3&amp;C51,Mapping!$B:$B,0))</f>
        <v>1</v>
      </c>
      <c r="M51" s="179" t="str">
        <f>INDEX(Mapping!$H:$H,MATCH(D51&amp;H51&amp;$E51,Mapping!$B:$B,0))</f>
        <v>WBA ZM Ethernet</v>
      </c>
      <c r="N51" s="179" t="str">
        <f>INDEX(Mapping!$J:$J,MATCH(D51&amp;H51&amp;$E51,Mapping!$B:$B,0))</f>
        <v>premium</v>
      </c>
      <c r="O51" s="179" t="str">
        <f>INDEX(Mapping!$I:$I,MATCH($D51,Mapping!$B:$B,0))</f>
        <v>VDSL</v>
      </c>
      <c r="P51" s="179" t="str">
        <f>INDEX(Mapping!$H:$H,MATCH($F51,Mapping!$B:$B,0))</f>
        <v>nvt</v>
      </c>
      <c r="Q51" s="283" t="str">
        <f>INDEX(Mapping!$K:$K,MATCH($D51&amp;$H51&amp;E51,Mapping!$B:$B,0))</f>
        <v>metro</v>
      </c>
      <c r="R51" s="179" t="str">
        <f>INDEX(Mapping!$I:$I,MATCH(D51&amp;H51&amp;$E51,Mapping!$B:$B,0))</f>
        <v>1 Mbps/1 Mbps</v>
      </c>
      <c r="S51" s="203"/>
      <c r="T51" s="283" t="str">
        <f>INDEX(Mapping!$L:$L,MATCH($D51&amp;$H51&amp;E51,Mapping!$B:$B,0))</f>
        <v>metro-nationaal</v>
      </c>
      <c r="U51" s="142" t="str">
        <f t="shared" si="27"/>
        <v>WBA ZM Ethernet1 Mbps/1 Mbpspremiummetro</v>
      </c>
      <c r="W51" s="160">
        <f>MATCH($J51,'Tarieven ZM'!$B:$B,0)</f>
        <v>78</v>
      </c>
      <c r="X51" s="148">
        <f>INDEX('Tarieven ZM'!$H:$H,$W51)</f>
        <v>1000</v>
      </c>
      <c r="Y51" s="161">
        <f>-INDEX(Parameters!$B:$B,MATCH(Y$3,Parameters!$A:$A,0))*$X51</f>
        <v>0</v>
      </c>
      <c r="Z51" s="149">
        <f>-INDEX(Parameters!$B:$B,MATCH(Z$3,Parameters!$A:$A,0))*$X51</f>
        <v>0</v>
      </c>
      <c r="AA51" s="148">
        <f t="shared" si="28"/>
        <v>1000</v>
      </c>
      <c r="AB51" s="148">
        <f>AA51/INDEX(Parameters!$B:$B,MATCH("AfschrijftermijnVVE"&amp;12*$C51,Parameters!$A:$A,0))</f>
        <v>27.777777777777779</v>
      </c>
      <c r="AC51" s="148">
        <f>INDEX('Tarieven ZM'!$G:$G,$W51)</f>
        <v>1000</v>
      </c>
      <c r="AD51" s="161">
        <f>-INDEX(Parameters!$B:$B,MATCH(AD$3,Parameters!$A:$A,0))*$AC51</f>
        <v>0</v>
      </c>
      <c r="AE51" s="161">
        <f>-INDEX(Parameters!$B:$B,MATCH(AE$3,Parameters!$A:$A,0))*$AC51</f>
        <v>0</v>
      </c>
      <c r="AF51" s="148">
        <f t="shared" si="29"/>
        <v>1000</v>
      </c>
      <c r="AG51" s="151">
        <f t="shared" si="30"/>
        <v>1027.7777777777778</v>
      </c>
      <c r="AH51" s="123"/>
      <c r="AI51" s="147">
        <f>IF(R51&lt;&gt;"n.a.",MATCH($U51,'Tarieven W&amp;O'!$B:$B,0),"nvt")</f>
        <v>138</v>
      </c>
      <c r="AJ51" s="148">
        <f>IF(AI51&lt;&gt;"nvt",INDEX('Tarieven W&amp;O'!$H:$H,$AI51),0)</f>
        <v>0</v>
      </c>
      <c r="AK51" s="148">
        <f>IF(AI51&lt;&gt;"nvt",INDEX('Tarieven W&amp;O'!$I:$I,$AI51),0)</f>
        <v>5</v>
      </c>
      <c r="AL51" s="277">
        <f>IF(AI51&lt;&gt;"nvt",-INDEX(Parameters!$B:$B,MATCH(AL$3&amp;$M51,Parameters!$A:$A,0))*(AJ51+AK51),0)</f>
        <v>0</v>
      </c>
      <c r="AM51" s="442"/>
      <c r="AN51" s="179">
        <f t="shared" si="31"/>
        <v>5</v>
      </c>
      <c r="AO51" s="262">
        <f>AN51/INDEX(Parameters!$B:$B,MATCH("AfschrijftermijnVVE"&amp;12*$C51,Parameters!$A:$A,0))</f>
        <v>0.1388888888888889</v>
      </c>
      <c r="AP51" s="179">
        <f t="shared" si="32"/>
        <v>138</v>
      </c>
      <c r="AQ51" s="202">
        <f>IF(AP51&lt;&gt;"nvt",INDEX('Tarieven W&amp;O'!$G:$G,$AP51),0)</f>
        <v>7.41</v>
      </c>
      <c r="AR51" s="463">
        <f>-INDEX(Parameters!$B:$B,MATCH(AR$3&amp;$M51&amp;O51,Parameters!$A:$A,0))*(AQ51)</f>
        <v>0</v>
      </c>
      <c r="AS51" s="262">
        <v>0</v>
      </c>
      <c r="AT51" s="442">
        <f>IF(M51="WBA CM Ethernet",0,'EDC Minus'!$H$27)</f>
        <v>1</v>
      </c>
      <c r="AU51" s="202">
        <f t="shared" si="33"/>
        <v>8.41</v>
      </c>
      <c r="AV51" s="202">
        <f t="shared" si="34"/>
        <v>8.5488888888888894</v>
      </c>
      <c r="AW51" s="202"/>
      <c r="AX51" s="202">
        <f>Parameters!$B$6*AV51</f>
        <v>8.5488888888888892E-2</v>
      </c>
      <c r="AY51" s="202">
        <v>0</v>
      </c>
      <c r="AZ51" s="202"/>
      <c r="BA51" s="150">
        <f t="shared" si="16"/>
        <v>8.5488888888888892E-2</v>
      </c>
      <c r="BB51" s="150"/>
      <c r="BC51" s="151">
        <f t="shared" si="17"/>
        <v>8.6343777777777788</v>
      </c>
      <c r="BD51" s="123"/>
      <c r="BE51" s="140">
        <f t="shared" si="36"/>
        <v>1019.1434</v>
      </c>
      <c r="BF51" s="141">
        <f t="shared" si="37"/>
        <v>0.99159898378378375</v>
      </c>
      <c r="BG51" s="142" t="b">
        <f t="shared" si="35"/>
        <v>0</v>
      </c>
      <c r="BH51" s="148"/>
      <c r="BI51" s="188" t="s">
        <v>539</v>
      </c>
      <c r="BJ51" s="189"/>
      <c r="BK51">
        <f>VLOOKUP(J51,'Tarieven ZM'!$B$7:$I$146,8,0)</f>
        <v>0</v>
      </c>
      <c r="BL51" s="179" t="str">
        <f>INDEX(Mapping!$M:$M,MATCH($J51,Mapping!$B:$B,0))</f>
        <v>nvt</v>
      </c>
      <c r="BM51" s="282">
        <v>0</v>
      </c>
      <c r="BN51" s="262">
        <f>BM51/INDEX(Parameters!$B:$B,MATCH("AfschrijftermijnVVE"&amp;12*$C51,Parameters!$A:$A,0))</f>
        <v>0</v>
      </c>
      <c r="BO51" s="262">
        <f>AS51+INDEX('inkoop ULL tbv Epacity'!I:I,MATCH($BL51,'inkoop ULL tbv Epacity'!H:H,0))</f>
        <v>0</v>
      </c>
      <c r="BP51" s="263">
        <f t="shared" si="18"/>
        <v>0</v>
      </c>
      <c r="BQ51" s="203"/>
      <c r="BR51" s="262">
        <f>Parameters!$B$12*AG51</f>
        <v>102.77777777777779</v>
      </c>
      <c r="BS51" s="262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SUM(Distributievergoedingen!$F$12,Distributievergoedingen!$I$12,Distributievergoedingen!$L$12,Distributievergoedingen!$O$12)*AF51+SUM(Distributievergoedingen!$O$12*AA51+Distributievergoedingen!$R$12+Distributievergoedingen!$U$12+Distributievergoedingen!$X$12)/(MAX(36,12*L51))</f>
        <v>112.77777777777777</v>
      </c>
      <c r="BT51" s="262"/>
      <c r="BU51" s="150">
        <f t="shared" si="19"/>
        <v>215.55555555555554</v>
      </c>
      <c r="BW51" s="151">
        <f t="shared" si="20"/>
        <v>215.55555555555554</v>
      </c>
      <c r="BY51" s="140">
        <f t="shared" si="21"/>
        <v>812.22222222222229</v>
      </c>
      <c r="BZ51" s="141">
        <f t="shared" si="22"/>
        <v>0.7902702702702703</v>
      </c>
      <c r="CA51" s="142" t="b">
        <f t="shared" si="23"/>
        <v>0</v>
      </c>
    </row>
    <row r="52" spans="1:79">
      <c r="A52" s="160" t="str">
        <f t="shared" si="24"/>
        <v>2VDSLAddnationaal1024/1024</v>
      </c>
      <c r="B52" s="142" t="str">
        <f t="shared" si="25"/>
        <v>2VDSL1024/1024Add</v>
      </c>
      <c r="C52" s="198">
        <v>2</v>
      </c>
      <c r="D52" s="198" t="s">
        <v>77</v>
      </c>
      <c r="E52" s="198" t="s">
        <v>103</v>
      </c>
      <c r="F52" s="198" t="s">
        <v>115</v>
      </c>
      <c r="G52" s="199" t="s">
        <v>113</v>
      </c>
      <c r="H52" s="198" t="s">
        <v>66</v>
      </c>
      <c r="J52" s="142" t="str">
        <f t="shared" si="26"/>
        <v>VDSL1024/1024Add</v>
      </c>
      <c r="L52" s="160">
        <f>INDEX(Mapping!$J:$J,MATCH(C$3&amp;C52,Mapping!$B:$B,0))</f>
        <v>1</v>
      </c>
      <c r="M52" s="179" t="str">
        <f>INDEX(Mapping!$H:$H,MATCH(D52&amp;H52&amp;$E52,Mapping!$B:$B,0))</f>
        <v>WBA ZM Ethernet</v>
      </c>
      <c r="N52" s="179" t="str">
        <f>INDEX(Mapping!$J:$J,MATCH(D52&amp;H52&amp;$E52,Mapping!$B:$B,0))</f>
        <v>premium</v>
      </c>
      <c r="O52" s="179" t="str">
        <f>INDEX(Mapping!$I:$I,MATCH($D52,Mapping!$B:$B,0))</f>
        <v>VDSL</v>
      </c>
      <c r="P52" s="179" t="str">
        <f>INDEX(Mapping!$H:$H,MATCH($F52,Mapping!$B:$B,0))</f>
        <v>nvt</v>
      </c>
      <c r="Q52" s="283" t="str">
        <f>INDEX(Mapping!$K:$K,MATCH($D52&amp;$H52&amp;E52,Mapping!$B:$B,0))</f>
        <v>metro</v>
      </c>
      <c r="R52" s="179" t="str">
        <f>INDEX(Mapping!$I:$I,MATCH(D52&amp;H52&amp;$E52,Mapping!$B:$B,0))</f>
        <v>1 Mbps/1 Mbps</v>
      </c>
      <c r="S52" s="203"/>
      <c r="T52" s="283" t="str">
        <f>INDEX(Mapping!$L:$L,MATCH($D52&amp;$H52&amp;E52,Mapping!$B:$B,0))</f>
        <v>metro-nationaal</v>
      </c>
      <c r="U52" s="142" t="str">
        <f t="shared" si="27"/>
        <v>WBA ZM Ethernet1 Mbps/1 Mbpspremiummetro</v>
      </c>
      <c r="W52" s="160">
        <f>MATCH($J52,'Tarieven ZM'!$B:$B,0)</f>
        <v>79</v>
      </c>
      <c r="X52" s="148">
        <f>INDEX('Tarieven ZM'!$H:$H,$W52)</f>
        <v>1000</v>
      </c>
      <c r="Y52" s="161">
        <f>-INDEX(Parameters!$B:$B,MATCH(Y$3,Parameters!$A:$A,0))*$X52</f>
        <v>0</v>
      </c>
      <c r="Z52" s="149">
        <f>-INDEX(Parameters!$B:$B,MATCH(Z$3,Parameters!$A:$A,0))*$X52</f>
        <v>0</v>
      </c>
      <c r="AA52" s="148">
        <f t="shared" si="28"/>
        <v>1000</v>
      </c>
      <c r="AB52" s="148">
        <f>AA52/INDEX(Parameters!$B:$B,MATCH("AfschrijftermijnVVE"&amp;12*$C52,Parameters!$A:$A,0))</f>
        <v>27.777777777777779</v>
      </c>
      <c r="AC52" s="148">
        <f>INDEX('Tarieven ZM'!$G:$G,$W52)</f>
        <v>1000</v>
      </c>
      <c r="AD52" s="161">
        <f>-INDEX(Parameters!$B:$B,MATCH(AD$3,Parameters!$A:$A,0))*$AC52</f>
        <v>0</v>
      </c>
      <c r="AE52" s="161">
        <f>-INDEX(Parameters!$B:$B,MATCH(AE$3,Parameters!$A:$A,0))*$AC52</f>
        <v>0</v>
      </c>
      <c r="AF52" s="148">
        <f t="shared" si="29"/>
        <v>1000</v>
      </c>
      <c r="AG52" s="151">
        <f t="shared" si="30"/>
        <v>1027.7777777777778</v>
      </c>
      <c r="AH52" s="123"/>
      <c r="AI52" s="147">
        <f>IF(R52&lt;&gt;"n.a.",MATCH($U52,'Tarieven W&amp;O'!$B:$B,0),"nvt")</f>
        <v>138</v>
      </c>
      <c r="AJ52" s="148">
        <f>IF(AI52&lt;&gt;"nvt",INDEX('Tarieven W&amp;O'!$H:$H,$AI52),0)</f>
        <v>0</v>
      </c>
      <c r="AK52" s="148">
        <f>IF(AI52&lt;&gt;"nvt",INDEX('Tarieven W&amp;O'!$I:$I,$AI52),0)</f>
        <v>5</v>
      </c>
      <c r="AL52" s="277">
        <f>IF(AI52&lt;&gt;"nvt",-INDEX(Parameters!$B:$B,MATCH(AL$3&amp;$M52,Parameters!$A:$A,0))*(AJ52+AK52),0)</f>
        <v>0</v>
      </c>
      <c r="AM52" s="442"/>
      <c r="AN52" s="179">
        <f t="shared" si="31"/>
        <v>5</v>
      </c>
      <c r="AO52" s="262">
        <f>AN52/INDEX(Parameters!$B:$B,MATCH("AfschrijftermijnVVE"&amp;12*$C52,Parameters!$A:$A,0))</f>
        <v>0.1388888888888889</v>
      </c>
      <c r="AP52" s="179">
        <f t="shared" si="32"/>
        <v>138</v>
      </c>
      <c r="AQ52" s="202">
        <f>IF(AP52&lt;&gt;"nvt",INDEX('Tarieven W&amp;O'!$G:$G,$AP52),0)</f>
        <v>7.41</v>
      </c>
      <c r="AR52" s="463">
        <f>-INDEX(Parameters!$B:$B,MATCH(AR$3&amp;$M52&amp;O52,Parameters!$A:$A,0))*(AQ52)</f>
        <v>0</v>
      </c>
      <c r="AS52" s="262">
        <v>0</v>
      </c>
      <c r="AT52" s="442">
        <f>IF(M52="WBA CM Ethernet",0,'EDC Minus'!$H$27)</f>
        <v>1</v>
      </c>
      <c r="AU52" s="202">
        <f t="shared" si="33"/>
        <v>8.41</v>
      </c>
      <c r="AV52" s="202">
        <f t="shared" si="34"/>
        <v>8.5488888888888894</v>
      </c>
      <c r="AW52" s="202"/>
      <c r="AX52" s="202">
        <f>Parameters!$B$6*AV52</f>
        <v>8.5488888888888892E-2</v>
      </c>
      <c r="AY52" s="202">
        <v>0</v>
      </c>
      <c r="AZ52" s="202"/>
      <c r="BA52" s="150">
        <f t="shared" si="16"/>
        <v>8.5488888888888892E-2</v>
      </c>
      <c r="BB52" s="150"/>
      <c r="BC52" s="151">
        <f t="shared" si="17"/>
        <v>8.6343777777777788</v>
      </c>
      <c r="BD52" s="123"/>
      <c r="BE52" s="140">
        <f t="shared" si="36"/>
        <v>1019.1434</v>
      </c>
      <c r="BF52" s="141">
        <f t="shared" si="37"/>
        <v>0.99159898378378375</v>
      </c>
      <c r="BG52" s="142" t="b">
        <f t="shared" si="35"/>
        <v>0</v>
      </c>
      <c r="BH52" s="148"/>
      <c r="BI52" s="188" t="s">
        <v>539</v>
      </c>
      <c r="BJ52" s="189"/>
      <c r="BK52">
        <f>VLOOKUP(J52,'Tarieven ZM'!$B$7:$I$146,8,0)</f>
        <v>0</v>
      </c>
      <c r="BL52" s="179" t="str">
        <f>INDEX(Mapping!$M:$M,MATCH($J52,Mapping!$B:$B,0))</f>
        <v>nvt</v>
      </c>
      <c r="BM52" s="282">
        <v>0</v>
      </c>
      <c r="BN52" s="262">
        <f>BM52/INDEX(Parameters!$B:$B,MATCH("AfschrijftermijnVVE"&amp;12*$C52,Parameters!$A:$A,0))</f>
        <v>0</v>
      </c>
      <c r="BO52" s="262">
        <f>AS52+INDEX('inkoop ULL tbv Epacity'!I:I,MATCH($BL52,'inkoop ULL tbv Epacity'!H:H,0))</f>
        <v>0</v>
      </c>
      <c r="BP52" s="263">
        <f t="shared" si="18"/>
        <v>0</v>
      </c>
      <c r="BQ52" s="203"/>
      <c r="BR52" s="262">
        <f>Parameters!$B$12*AG52</f>
        <v>102.77777777777779</v>
      </c>
      <c r="BS52" s="262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SUM(Distributievergoedingen!$F$12,Distributievergoedingen!$I$12,Distributievergoedingen!$L$12,Distributievergoedingen!$O$12)*AF52+SUM(Distributievergoedingen!$O$12*AA52+Distributievergoedingen!$R$12+Distributievergoedingen!$U$12+Distributievergoedingen!$X$12)/(MAX(36,12*L52))</f>
        <v>112.77777777777777</v>
      </c>
      <c r="BT52" s="262"/>
      <c r="BU52" s="150">
        <f t="shared" si="19"/>
        <v>215.55555555555554</v>
      </c>
      <c r="BW52" s="151">
        <f t="shared" si="20"/>
        <v>215.55555555555554</v>
      </c>
      <c r="BY52" s="140">
        <f t="shared" si="21"/>
        <v>812.22222222222229</v>
      </c>
      <c r="BZ52" s="141">
        <f t="shared" si="22"/>
        <v>0.7902702702702703</v>
      </c>
      <c r="CA52" s="142" t="b">
        <f t="shared" si="23"/>
        <v>0</v>
      </c>
    </row>
    <row r="53" spans="1:79">
      <c r="A53" s="160" t="str">
        <f t="shared" si="24"/>
        <v>2VDSLAddnationaal2048/2048</v>
      </c>
      <c r="B53" s="142" t="str">
        <f t="shared" si="25"/>
        <v>2VDSL2048/2048Add</v>
      </c>
      <c r="C53" s="198">
        <v>2</v>
      </c>
      <c r="D53" s="198" t="s">
        <v>77</v>
      </c>
      <c r="E53" s="198" t="s">
        <v>103</v>
      </c>
      <c r="F53" s="198" t="s">
        <v>115</v>
      </c>
      <c r="G53" s="199" t="s">
        <v>113</v>
      </c>
      <c r="H53" s="198" t="s">
        <v>68</v>
      </c>
      <c r="J53" s="142" t="str">
        <f t="shared" si="26"/>
        <v>VDSL2048/2048Add</v>
      </c>
      <c r="L53" s="160">
        <f>INDEX(Mapping!$J:$J,MATCH(C$3&amp;C53,Mapping!$B:$B,0))</f>
        <v>1</v>
      </c>
      <c r="M53" s="179" t="str">
        <f>INDEX(Mapping!$H:$H,MATCH(D53&amp;H53&amp;$E53,Mapping!$B:$B,0))</f>
        <v>WBA ZM Ethernet</v>
      </c>
      <c r="N53" s="179" t="str">
        <f>INDEX(Mapping!$J:$J,MATCH(D53&amp;H53&amp;$E53,Mapping!$B:$B,0))</f>
        <v>premium</v>
      </c>
      <c r="O53" s="179" t="str">
        <f>INDEX(Mapping!$I:$I,MATCH($D53,Mapping!$B:$B,0))</f>
        <v>VDSL</v>
      </c>
      <c r="P53" s="179" t="str">
        <f>INDEX(Mapping!$H:$H,MATCH($F53,Mapping!$B:$B,0))</f>
        <v>nvt</v>
      </c>
      <c r="Q53" s="283" t="str">
        <f>INDEX(Mapping!$K:$K,MATCH($D53&amp;$H53&amp;E53,Mapping!$B:$B,0))</f>
        <v>metro</v>
      </c>
      <c r="R53" s="179" t="str">
        <f>INDEX(Mapping!$I:$I,MATCH(D53&amp;H53&amp;$E53,Mapping!$B:$B,0))</f>
        <v>2 Mbps/2 Mbps</v>
      </c>
      <c r="S53" s="203"/>
      <c r="T53" s="283" t="str">
        <f>INDEX(Mapping!$L:$L,MATCH($D53&amp;$H53&amp;E53,Mapping!$B:$B,0))</f>
        <v>metro-nationaal</v>
      </c>
      <c r="U53" s="142" t="str">
        <f t="shared" si="27"/>
        <v>WBA ZM Ethernet2 Mbps/2 Mbpspremiummetro</v>
      </c>
      <c r="W53" s="160">
        <f>MATCH($J53,'Tarieven ZM'!$B:$B,0)</f>
        <v>80</v>
      </c>
      <c r="X53" s="148">
        <f>INDEX('Tarieven ZM'!$H:$H,$W53)</f>
        <v>1000</v>
      </c>
      <c r="Y53" s="161">
        <f>-INDEX(Parameters!$B:$B,MATCH(Y$3,Parameters!$A:$A,0))*$X53</f>
        <v>0</v>
      </c>
      <c r="Z53" s="149">
        <f>-INDEX(Parameters!$B:$B,MATCH(Z$3,Parameters!$A:$A,0))*$X53</f>
        <v>0</v>
      </c>
      <c r="AA53" s="148">
        <f t="shared" si="28"/>
        <v>1000</v>
      </c>
      <c r="AB53" s="148">
        <f>AA53/INDEX(Parameters!$B:$B,MATCH("AfschrijftermijnVVE"&amp;12*$C53,Parameters!$A:$A,0))</f>
        <v>27.777777777777779</v>
      </c>
      <c r="AC53" s="148">
        <f>INDEX('Tarieven ZM'!$G:$G,$W53)</f>
        <v>1000</v>
      </c>
      <c r="AD53" s="161">
        <f>-INDEX(Parameters!$B:$B,MATCH(AD$3,Parameters!$A:$A,0))*$AC53</f>
        <v>0</v>
      </c>
      <c r="AE53" s="161">
        <f>-INDEX(Parameters!$B:$B,MATCH(AE$3,Parameters!$A:$A,0))*$AC53</f>
        <v>0</v>
      </c>
      <c r="AF53" s="148">
        <f t="shared" si="29"/>
        <v>1000</v>
      </c>
      <c r="AG53" s="151">
        <f t="shared" si="30"/>
        <v>1027.7777777777778</v>
      </c>
      <c r="AH53" s="123"/>
      <c r="AI53" s="147">
        <f>IF(R53&lt;&gt;"n.a.",MATCH($U53,'Tarieven W&amp;O'!$B:$B,0),"nvt")</f>
        <v>139</v>
      </c>
      <c r="AJ53" s="148">
        <f>IF(AI53&lt;&gt;"nvt",INDEX('Tarieven W&amp;O'!$H:$H,$AI53),0)</f>
        <v>0</v>
      </c>
      <c r="AK53" s="148">
        <f>IF(AI53&lt;&gt;"nvt",INDEX('Tarieven W&amp;O'!$I:$I,$AI53),0)</f>
        <v>5</v>
      </c>
      <c r="AL53" s="277">
        <f>IF(AI53&lt;&gt;"nvt",-INDEX(Parameters!$B:$B,MATCH(AL$3&amp;$M53,Parameters!$A:$A,0))*(AJ53+AK53),0)</f>
        <v>0</v>
      </c>
      <c r="AM53" s="442"/>
      <c r="AN53" s="179">
        <f t="shared" si="31"/>
        <v>5</v>
      </c>
      <c r="AO53" s="262">
        <f>AN53/INDEX(Parameters!$B:$B,MATCH("AfschrijftermijnVVE"&amp;12*$C53,Parameters!$A:$A,0))</f>
        <v>0.1388888888888889</v>
      </c>
      <c r="AP53" s="179">
        <f t="shared" si="32"/>
        <v>139</v>
      </c>
      <c r="AQ53" s="202">
        <f>IF(AP53&lt;&gt;"nvt",INDEX('Tarieven W&amp;O'!$G:$G,$AP53),0)</f>
        <v>14.82</v>
      </c>
      <c r="AR53" s="463">
        <f>-INDEX(Parameters!$B:$B,MATCH(AR$3&amp;$M53&amp;O53,Parameters!$A:$A,0))*(AQ53)</f>
        <v>0</v>
      </c>
      <c r="AS53" s="262">
        <v>0</v>
      </c>
      <c r="AT53" s="442">
        <f>IF(M53="WBA CM Ethernet",0,'EDC Minus'!$H$27)</f>
        <v>1</v>
      </c>
      <c r="AU53" s="202">
        <f t="shared" si="33"/>
        <v>15.82</v>
      </c>
      <c r="AV53" s="202">
        <f t="shared" si="34"/>
        <v>15.95888888888889</v>
      </c>
      <c r="AW53" s="202"/>
      <c r="AX53" s="202">
        <f>Parameters!$B$6*AV53</f>
        <v>0.15958888888888889</v>
      </c>
      <c r="AY53" s="202">
        <v>0</v>
      </c>
      <c r="AZ53" s="202"/>
      <c r="BA53" s="150">
        <f t="shared" si="16"/>
        <v>0.15958888888888889</v>
      </c>
      <c r="BB53" s="150"/>
      <c r="BC53" s="151">
        <f t="shared" si="17"/>
        <v>16.118477777777777</v>
      </c>
      <c r="BD53" s="123"/>
      <c r="BE53" s="140">
        <f t="shared" si="36"/>
        <v>1011.6593</v>
      </c>
      <c r="BF53" s="141">
        <f t="shared" si="37"/>
        <v>0.98431715675675668</v>
      </c>
      <c r="BG53" s="142" t="b">
        <f t="shared" si="35"/>
        <v>0</v>
      </c>
      <c r="BH53" s="148"/>
      <c r="BI53" s="188" t="s">
        <v>539</v>
      </c>
      <c r="BJ53" s="189"/>
      <c r="BK53">
        <f>VLOOKUP(J53,'Tarieven ZM'!$B$7:$I$146,8,0)</f>
        <v>0</v>
      </c>
      <c r="BL53" s="179" t="str">
        <f>INDEX(Mapping!$M:$M,MATCH($J53,Mapping!$B:$B,0))</f>
        <v>nvt</v>
      </c>
      <c r="BM53" s="282">
        <v>0</v>
      </c>
      <c r="BN53" s="262">
        <f>BM53/INDEX(Parameters!$B:$B,MATCH("AfschrijftermijnVVE"&amp;12*$C53,Parameters!$A:$A,0))</f>
        <v>0</v>
      </c>
      <c r="BO53" s="262">
        <f>AS53+INDEX('inkoop ULL tbv Epacity'!I:I,MATCH($BL53,'inkoop ULL tbv Epacity'!H:H,0))</f>
        <v>0</v>
      </c>
      <c r="BP53" s="263">
        <f t="shared" si="18"/>
        <v>0</v>
      </c>
      <c r="BQ53" s="203"/>
      <c r="BR53" s="262">
        <f>Parameters!$B$12*AG53</f>
        <v>102.77777777777779</v>
      </c>
      <c r="BS53" s="262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SUM(Distributievergoedingen!$F$12,Distributievergoedingen!$I$12,Distributievergoedingen!$L$12,Distributievergoedingen!$O$12)*AF53+SUM(Distributievergoedingen!$O$12*AA53+Distributievergoedingen!$R$12+Distributievergoedingen!$U$12+Distributievergoedingen!$X$12)/(MAX(36,12*L53))</f>
        <v>112.77777777777777</v>
      </c>
      <c r="BT53" s="262"/>
      <c r="BU53" s="150">
        <f t="shared" si="19"/>
        <v>215.55555555555554</v>
      </c>
      <c r="BW53" s="151">
        <f t="shared" si="20"/>
        <v>215.55555555555554</v>
      </c>
      <c r="BY53" s="140">
        <f t="shared" si="21"/>
        <v>812.22222222222229</v>
      </c>
      <c r="BZ53" s="141">
        <f t="shared" si="22"/>
        <v>0.7902702702702703</v>
      </c>
      <c r="CA53" s="142" t="b">
        <f t="shared" si="23"/>
        <v>0</v>
      </c>
    </row>
    <row r="54" spans="1:79">
      <c r="A54" s="160" t="str">
        <f t="shared" si="24"/>
        <v>2VDSLAddnationaal3072/3072</v>
      </c>
      <c r="B54" s="142" t="str">
        <f t="shared" si="25"/>
        <v>2VDSL3072/3072Add</v>
      </c>
      <c r="C54" s="198">
        <v>2</v>
      </c>
      <c r="D54" s="198" t="s">
        <v>77</v>
      </c>
      <c r="E54" s="198" t="s">
        <v>103</v>
      </c>
      <c r="F54" s="198" t="s">
        <v>115</v>
      </c>
      <c r="G54" s="199" t="s">
        <v>113</v>
      </c>
      <c r="H54" s="198" t="s">
        <v>82</v>
      </c>
      <c r="J54" s="142" t="str">
        <f t="shared" si="26"/>
        <v>VDSL3072/3072Add</v>
      </c>
      <c r="L54" s="160">
        <f>INDEX(Mapping!$J:$J,MATCH(C$3&amp;C54,Mapping!$B:$B,0))</f>
        <v>1</v>
      </c>
      <c r="M54" s="179" t="str">
        <f>INDEX(Mapping!$H:$H,MATCH(D54&amp;H54&amp;$E54,Mapping!$B:$B,0))</f>
        <v>WBA ZM Ethernet</v>
      </c>
      <c r="N54" s="179" t="str">
        <f>INDEX(Mapping!$J:$J,MATCH(D54&amp;H54&amp;$E54,Mapping!$B:$B,0))</f>
        <v>premium</v>
      </c>
      <c r="O54" s="179" t="str">
        <f>INDEX(Mapping!$I:$I,MATCH($D54,Mapping!$B:$B,0))</f>
        <v>VDSL</v>
      </c>
      <c r="P54" s="179" t="str">
        <f>INDEX(Mapping!$H:$H,MATCH($F54,Mapping!$B:$B,0))</f>
        <v>nvt</v>
      </c>
      <c r="Q54" s="283" t="str">
        <f>INDEX(Mapping!$K:$K,MATCH($D54&amp;$H54&amp;E54,Mapping!$B:$B,0))</f>
        <v>metro</v>
      </c>
      <c r="R54" s="179" t="str">
        <f>INDEX(Mapping!$I:$I,MATCH(D54&amp;H54&amp;$E54,Mapping!$B:$B,0))</f>
        <v>5 Mbps/5 Mbps</v>
      </c>
      <c r="S54" s="203"/>
      <c r="T54" s="283" t="str">
        <f>INDEX(Mapping!$L:$L,MATCH($D54&amp;$H54&amp;E54,Mapping!$B:$B,0))</f>
        <v>metro-nationaal</v>
      </c>
      <c r="U54" s="142" t="str">
        <f t="shared" si="27"/>
        <v>WBA ZM Ethernet5 Mbps/5 Mbpspremiummetro</v>
      </c>
      <c r="W54" s="160">
        <f>MATCH($J54,'Tarieven ZM'!$B:$B,0)</f>
        <v>81</v>
      </c>
      <c r="X54" s="148">
        <f>INDEX('Tarieven ZM'!$H:$H,$W54)</f>
        <v>1000</v>
      </c>
      <c r="Y54" s="161">
        <f>-INDEX(Parameters!$B:$B,MATCH(Y$3,Parameters!$A:$A,0))*$X54</f>
        <v>0</v>
      </c>
      <c r="Z54" s="149">
        <f>-INDEX(Parameters!$B:$B,MATCH(Z$3,Parameters!$A:$A,0))*$X54</f>
        <v>0</v>
      </c>
      <c r="AA54" s="148">
        <f t="shared" si="28"/>
        <v>1000</v>
      </c>
      <c r="AB54" s="148">
        <f>AA54/INDEX(Parameters!$B:$B,MATCH("AfschrijftermijnVVE"&amp;12*$C54,Parameters!$A:$A,0))</f>
        <v>27.777777777777779</v>
      </c>
      <c r="AC54" s="148">
        <f>INDEX('Tarieven ZM'!$G:$G,$W54)</f>
        <v>1000</v>
      </c>
      <c r="AD54" s="161">
        <f>-INDEX(Parameters!$B:$B,MATCH(AD$3,Parameters!$A:$A,0))*$AC54</f>
        <v>0</v>
      </c>
      <c r="AE54" s="161">
        <f>-INDEX(Parameters!$B:$B,MATCH(AE$3,Parameters!$A:$A,0))*$AC54</f>
        <v>0</v>
      </c>
      <c r="AF54" s="148">
        <f t="shared" si="29"/>
        <v>1000</v>
      </c>
      <c r="AG54" s="151">
        <f t="shared" si="30"/>
        <v>1027.7777777777778</v>
      </c>
      <c r="AH54" s="123"/>
      <c r="AI54" s="147">
        <f>IF(R54&lt;&gt;"n.a.",MATCH($U54,'Tarieven W&amp;O'!$B:$B,0),"nvt")</f>
        <v>140</v>
      </c>
      <c r="AJ54" s="148">
        <f>IF(AI54&lt;&gt;"nvt",INDEX('Tarieven W&amp;O'!$H:$H,$AI54),0)</f>
        <v>0</v>
      </c>
      <c r="AK54" s="148">
        <f>IF(AI54&lt;&gt;"nvt",INDEX('Tarieven W&amp;O'!$I:$I,$AI54),0)</f>
        <v>5</v>
      </c>
      <c r="AL54" s="277">
        <f>IF(AI54&lt;&gt;"nvt",-INDEX(Parameters!$B:$B,MATCH(AL$3&amp;$M54,Parameters!$A:$A,0))*(AJ54+AK54),0)</f>
        <v>0</v>
      </c>
      <c r="AM54" s="442"/>
      <c r="AN54" s="179">
        <f t="shared" si="31"/>
        <v>5</v>
      </c>
      <c r="AO54" s="262">
        <f>AN54/INDEX(Parameters!$B:$B,MATCH("AfschrijftermijnVVE"&amp;12*$C54,Parameters!$A:$A,0))</f>
        <v>0.1388888888888889</v>
      </c>
      <c r="AP54" s="179">
        <f t="shared" si="32"/>
        <v>140</v>
      </c>
      <c r="AQ54" s="202">
        <f>IF(AP54&lt;&gt;"nvt",INDEX('Tarieven W&amp;O'!$G:$G,$AP54),0)</f>
        <v>18.53</v>
      </c>
      <c r="AR54" s="463">
        <f>-INDEX(Parameters!$B:$B,MATCH(AR$3&amp;$M54&amp;O54,Parameters!$A:$A,0))*(AQ54)</f>
        <v>0</v>
      </c>
      <c r="AS54" s="262">
        <v>0</v>
      </c>
      <c r="AT54" s="442">
        <f>IF(M54="WBA CM Ethernet",0,'EDC Minus'!$H$27)</f>
        <v>1</v>
      </c>
      <c r="AU54" s="202">
        <f t="shared" si="33"/>
        <v>19.53</v>
      </c>
      <c r="AV54" s="202">
        <f t="shared" si="34"/>
        <v>19.66888888888889</v>
      </c>
      <c r="AW54" s="202"/>
      <c r="AX54" s="202">
        <f>Parameters!$B$6*AV54</f>
        <v>0.19668888888888891</v>
      </c>
      <c r="AY54" s="202">
        <v>0</v>
      </c>
      <c r="AZ54" s="202"/>
      <c r="BA54" s="150">
        <f t="shared" si="16"/>
        <v>0.19668888888888891</v>
      </c>
      <c r="BB54" s="150"/>
      <c r="BC54" s="151">
        <f t="shared" si="17"/>
        <v>19.86557777777778</v>
      </c>
      <c r="BD54" s="123"/>
      <c r="BE54" s="140">
        <f t="shared" si="36"/>
        <v>1007.9122000000001</v>
      </c>
      <c r="BF54" s="141">
        <f t="shared" si="37"/>
        <v>0.98067132972972981</v>
      </c>
      <c r="BG54" s="142" t="b">
        <f t="shared" si="35"/>
        <v>0</v>
      </c>
      <c r="BH54" s="148"/>
      <c r="BI54" s="188" t="s">
        <v>539</v>
      </c>
      <c r="BJ54" s="189"/>
      <c r="BK54">
        <f>VLOOKUP(J54,'Tarieven ZM'!$B$7:$I$146,8,0)</f>
        <v>0</v>
      </c>
      <c r="BL54" s="179" t="str">
        <f>INDEX(Mapping!$M:$M,MATCH($J54,Mapping!$B:$B,0))</f>
        <v>Premium &gt; 2/2Mbps</v>
      </c>
      <c r="BM54" s="282">
        <v>0</v>
      </c>
      <c r="BN54" s="262">
        <f>BM54/INDEX(Parameters!$B:$B,MATCH("AfschrijftermijnVVE"&amp;12*$C54,Parameters!$A:$A,0))</f>
        <v>0</v>
      </c>
      <c r="BO54" s="262">
        <f>AS54+INDEX('inkoop ULL tbv Epacity'!I:I,MATCH($BL54,'inkoop ULL tbv Epacity'!H:H,0))</f>
        <v>16.02</v>
      </c>
      <c r="BP54" s="263">
        <f t="shared" si="18"/>
        <v>16.02</v>
      </c>
      <c r="BQ54" s="203"/>
      <c r="BR54" s="262">
        <f>Parameters!$B$12*AG54</f>
        <v>102.77777777777779</v>
      </c>
      <c r="BS54" s="262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SUM(Distributievergoedingen!$F$12,Distributievergoedingen!$I$12,Distributievergoedingen!$L$12,Distributievergoedingen!$O$12)*AF54+SUM(Distributievergoedingen!$O$12*AA54+Distributievergoedingen!$R$12+Distributievergoedingen!$U$12+Distributievergoedingen!$X$12)/(MAX(36,12*L54))</f>
        <v>112.77777777777777</v>
      </c>
      <c r="BT54" s="262"/>
      <c r="BU54" s="150">
        <f t="shared" si="19"/>
        <v>215.55555555555554</v>
      </c>
      <c r="BW54" s="151">
        <f t="shared" si="20"/>
        <v>231.57555555555555</v>
      </c>
      <c r="BY54" s="140">
        <f t="shared" si="21"/>
        <v>796.2022222222223</v>
      </c>
      <c r="BZ54" s="141">
        <f t="shared" si="22"/>
        <v>0.77468324324324334</v>
      </c>
      <c r="CA54" s="142" t="b">
        <f t="shared" si="23"/>
        <v>0</v>
      </c>
    </row>
    <row r="55" spans="1:79">
      <c r="A55" s="160" t="str">
        <f t="shared" si="24"/>
        <v>2SA IPVPNAddnationaal128/128</v>
      </c>
      <c r="B55" s="142" t="str">
        <f t="shared" si="25"/>
        <v>2SA IPVPN128/128Add</v>
      </c>
      <c r="C55" s="198">
        <v>2</v>
      </c>
      <c r="D55" s="198" t="s">
        <v>93</v>
      </c>
      <c r="E55" s="198" t="s">
        <v>103</v>
      </c>
      <c r="F55" s="198" t="s">
        <v>115</v>
      </c>
      <c r="G55" s="199" t="s">
        <v>113</v>
      </c>
      <c r="H55" s="198" t="s">
        <v>43</v>
      </c>
      <c r="J55" s="142" t="str">
        <f t="shared" si="26"/>
        <v>SA IPVPN128/128Add</v>
      </c>
      <c r="L55" s="160">
        <f>INDEX(Mapping!$J:$J,MATCH(C$3&amp;C55,Mapping!$B:$B,0))</f>
        <v>1</v>
      </c>
      <c r="M55" s="179" t="str">
        <f>INDEX(Mapping!$H:$H,MATCH(D55&amp;H55&amp;$E55,Mapping!$B:$B,0))</f>
        <v>WBA CM Ethernet</v>
      </c>
      <c r="N55" s="179" t="str">
        <f>INDEX(Mapping!$J:$J,MATCH(D55&amp;H55&amp;$E55,Mapping!$B:$B,0))</f>
        <v>add</v>
      </c>
      <c r="O55" s="179" t="str">
        <f>INDEX(Mapping!$I:$I,MATCH($D55,Mapping!$B:$B,0))</f>
        <v>FttH</v>
      </c>
      <c r="P55" s="179" t="str">
        <f>INDEX(Mapping!$H:$H,MATCH($F55,Mapping!$B:$B,0))</f>
        <v>nvt</v>
      </c>
      <c r="Q55" s="283" t="str">
        <f>INDEX(Mapping!$K:$K,MATCH($D55&amp;$H55&amp;E55,Mapping!$B:$B,0))</f>
        <v>national</v>
      </c>
      <c r="R55" s="179" t="str">
        <f>INDEX(Mapping!$I:$I,MATCH(D55&amp;H55&amp;$E55,Mapping!$B:$B,0))</f>
        <v>&lt;=256 kbps/&lt;=256 kbps</v>
      </c>
      <c r="S55" s="203"/>
      <c r="T55" s="283" t="str">
        <f>INDEX(Mapping!$L:$L,MATCH($D55&amp;$H55&amp;E55,Mapping!$B:$B,0))</f>
        <v>nvt</v>
      </c>
      <c r="U55" s="142" t="str">
        <f t="shared" si="27"/>
        <v>WBA CM Ethernet&lt;=256 kbps/&lt;=256 kbpsaddnational</v>
      </c>
      <c r="W55" s="160">
        <f>MATCH($J55,'Tarieven ZM'!$B:$B,0)</f>
        <v>82</v>
      </c>
      <c r="X55" s="148">
        <f>INDEX('Tarieven ZM'!$H:$H,$W55)</f>
        <v>1000</v>
      </c>
      <c r="Y55" s="161">
        <f>-INDEX(Parameters!$B:$B,MATCH(Y$3,Parameters!$A:$A,0))*$X55</f>
        <v>0</v>
      </c>
      <c r="Z55" s="149">
        <f>-INDEX(Parameters!$B:$B,MATCH(Z$3,Parameters!$A:$A,0))*$X55</f>
        <v>0</v>
      </c>
      <c r="AA55" s="148">
        <f t="shared" si="28"/>
        <v>1000</v>
      </c>
      <c r="AB55" s="148">
        <f>AA55/INDEX(Parameters!$B:$B,MATCH("AfschrijftermijnVVE"&amp;12*$C55,Parameters!$A:$A,0))</f>
        <v>27.777777777777779</v>
      </c>
      <c r="AC55" s="148">
        <f>INDEX('Tarieven ZM'!$G:$G,$W55)</f>
        <v>1000</v>
      </c>
      <c r="AD55" s="161">
        <f>-INDEX(Parameters!$B:$B,MATCH(AD$3,Parameters!$A:$A,0))*$AC55</f>
        <v>0</v>
      </c>
      <c r="AE55" s="161">
        <f>-INDEX(Parameters!$B:$B,MATCH(AE$3,Parameters!$A:$A,0))*$AC55</f>
        <v>0</v>
      </c>
      <c r="AF55" s="148">
        <f t="shared" si="29"/>
        <v>1000</v>
      </c>
      <c r="AG55" s="151">
        <f t="shared" si="30"/>
        <v>1027.7777777777778</v>
      </c>
      <c r="AH55" s="123"/>
      <c r="AI55" s="147">
        <f>IF(R55&lt;&gt;"n.a.",MATCH($U55,'Tarieven W&amp;O'!$B:$B,0),"nvt")</f>
        <v>134</v>
      </c>
      <c r="AJ55" s="148">
        <f>IF(AI55&lt;&gt;"nvt",INDEX('Tarieven W&amp;O'!$H:$H,$AI55),0)</f>
        <v>0</v>
      </c>
      <c r="AK55" s="148">
        <f>IF(AI55&lt;&gt;"nvt",INDEX('Tarieven W&amp;O'!$I:$I,$AI55),0)</f>
        <v>5</v>
      </c>
      <c r="AL55" s="277">
        <f>IF(AI55&lt;&gt;"nvt",-INDEX(Parameters!$B:$B,MATCH(AL$3&amp;$M55,Parameters!$A:$A,0))*(AJ55+AK55),0)</f>
        <v>0</v>
      </c>
      <c r="AM55" s="442"/>
      <c r="AN55" s="179">
        <f t="shared" si="31"/>
        <v>5</v>
      </c>
      <c r="AO55" s="262">
        <f>AN55/INDEX(Parameters!$B:$B,MATCH("AfschrijftermijnVVE"&amp;12*$C55,Parameters!$A:$A,0))</f>
        <v>0.1388888888888889</v>
      </c>
      <c r="AP55" s="179">
        <f t="shared" si="32"/>
        <v>134</v>
      </c>
      <c r="AQ55" s="202">
        <f>IF(AP55&lt;&gt;"nvt",INDEX('Tarieven W&amp;O'!$G:$G,$AP55),0)</f>
        <v>1E-4</v>
      </c>
      <c r="AR55" s="463">
        <f>-INDEX(Parameters!$B:$B,MATCH(AR$3&amp;$M55&amp;O55,Parameters!$A:$A,0))*(AQ55)</f>
        <v>0</v>
      </c>
      <c r="AS55" s="262">
        <v>0</v>
      </c>
      <c r="AT55" s="442">
        <f>IF(M55="WBA CM Ethernet",0,'EDC Minus'!$H$27)</f>
        <v>0</v>
      </c>
      <c r="AU55" s="202">
        <f t="shared" si="33"/>
        <v>1E-4</v>
      </c>
      <c r="AV55" s="202">
        <f t="shared" si="34"/>
        <v>0.13898888888888888</v>
      </c>
      <c r="AW55" s="202"/>
      <c r="AX55" s="202">
        <f>Parameters!$B$6*AV55</f>
        <v>1.3898888888888889E-3</v>
      </c>
      <c r="AY55" s="202">
        <v>0</v>
      </c>
      <c r="AZ55" s="202"/>
      <c r="BA55" s="150">
        <f t="shared" si="16"/>
        <v>1.3898888888888889E-3</v>
      </c>
      <c r="BB55" s="150"/>
      <c r="BC55" s="151">
        <f t="shared" si="17"/>
        <v>0.14037877777777777</v>
      </c>
      <c r="BD55" s="123"/>
      <c r="BE55" s="140">
        <f t="shared" si="36"/>
        <v>1027.637399</v>
      </c>
      <c r="BF55" s="141">
        <f t="shared" si="37"/>
        <v>0.99986341524324318</v>
      </c>
      <c r="BG55" s="142" t="b">
        <f t="shared" si="35"/>
        <v>0</v>
      </c>
      <c r="BH55" s="148"/>
      <c r="BI55" s="188" t="s">
        <v>539</v>
      </c>
      <c r="BJ55" s="189"/>
      <c r="BK55">
        <f>VLOOKUP(J55,'Tarieven ZM'!$B$7:$I$146,8,0)</f>
        <v>0</v>
      </c>
      <c r="BL55" s="179" t="str">
        <f>INDEX(Mapping!$M:$M,MATCH($J55,Mapping!$B:$B,0))</f>
        <v>nvt</v>
      </c>
      <c r="BM55" s="282">
        <v>0</v>
      </c>
      <c r="BN55" s="262">
        <f>BM55/INDEX(Parameters!$B:$B,MATCH("AfschrijftermijnVVE"&amp;12*$C55,Parameters!$A:$A,0))</f>
        <v>0</v>
      </c>
      <c r="BO55" s="262">
        <f>AS55+INDEX('inkoop ULL tbv Epacity'!I:I,MATCH($BL55,'inkoop ULL tbv Epacity'!H:H,0))</f>
        <v>0</v>
      </c>
      <c r="BP55" s="263">
        <f t="shared" si="18"/>
        <v>0</v>
      </c>
      <c r="BQ55" s="203"/>
      <c r="BR55" s="262">
        <f>Parameters!$B$12*AG55</f>
        <v>102.77777777777779</v>
      </c>
      <c r="BS55" s="262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SUM(Distributievergoedingen!$F$12,Distributievergoedingen!$I$12,Distributievergoedingen!$L$12,Distributievergoedingen!$O$12)*AF55+SUM(Distributievergoedingen!$O$12*AA55+Distributievergoedingen!$R$12+Distributievergoedingen!$U$12+Distributievergoedingen!$X$12)/(MAX(36,12*L55))</f>
        <v>112.77777777777777</v>
      </c>
      <c r="BT55" s="262"/>
      <c r="BU55" s="150">
        <f t="shared" si="19"/>
        <v>215.55555555555554</v>
      </c>
      <c r="BW55" s="151">
        <f t="shared" si="20"/>
        <v>215.55555555555554</v>
      </c>
      <c r="BY55" s="140">
        <f t="shared" si="21"/>
        <v>812.22222222222229</v>
      </c>
      <c r="BZ55" s="141">
        <f t="shared" si="22"/>
        <v>0.7902702702702703</v>
      </c>
      <c r="CA55" s="142" t="b">
        <f t="shared" si="23"/>
        <v>0</v>
      </c>
    </row>
    <row r="56" spans="1:79">
      <c r="A56" s="160" t="str">
        <f t="shared" si="24"/>
        <v>2SA IPVPNAddnationaal256/256</v>
      </c>
      <c r="B56" s="142" t="str">
        <f t="shared" si="25"/>
        <v>2SA IPVPN256/256Add</v>
      </c>
      <c r="C56" s="198">
        <v>2</v>
      </c>
      <c r="D56" s="198" t="s">
        <v>93</v>
      </c>
      <c r="E56" s="198" t="s">
        <v>103</v>
      </c>
      <c r="F56" s="198" t="s">
        <v>115</v>
      </c>
      <c r="G56" s="199" t="s">
        <v>113</v>
      </c>
      <c r="H56" s="198" t="s">
        <v>48</v>
      </c>
      <c r="J56" s="142" t="str">
        <f t="shared" si="26"/>
        <v>SA IPVPN256/256Add</v>
      </c>
      <c r="L56" s="160">
        <f>INDEX(Mapping!$J:$J,MATCH(C$3&amp;C56,Mapping!$B:$B,0))</f>
        <v>1</v>
      </c>
      <c r="M56" s="179" t="str">
        <f>INDEX(Mapping!$H:$H,MATCH(D56&amp;H56&amp;$E56,Mapping!$B:$B,0))</f>
        <v>WBA CM Ethernet</v>
      </c>
      <c r="N56" s="179" t="str">
        <f>INDEX(Mapping!$J:$J,MATCH(D56&amp;H56&amp;$E56,Mapping!$B:$B,0))</f>
        <v>add</v>
      </c>
      <c r="O56" s="179" t="str">
        <f>INDEX(Mapping!$I:$I,MATCH($D56,Mapping!$B:$B,0))</f>
        <v>FttH</v>
      </c>
      <c r="P56" s="179" t="str">
        <f>INDEX(Mapping!$H:$H,MATCH($F56,Mapping!$B:$B,0))</f>
        <v>nvt</v>
      </c>
      <c r="Q56" s="283" t="str">
        <f>INDEX(Mapping!$K:$K,MATCH($D56&amp;$H56&amp;E56,Mapping!$B:$B,0))</f>
        <v>national</v>
      </c>
      <c r="R56" s="179" t="str">
        <f>INDEX(Mapping!$I:$I,MATCH(D56&amp;H56&amp;$E56,Mapping!$B:$B,0))</f>
        <v>&lt;=256 kbps/&lt;=256 kbps</v>
      </c>
      <c r="S56" s="203"/>
      <c r="T56" s="283" t="str">
        <f>INDEX(Mapping!$L:$L,MATCH($D56&amp;$H56&amp;E56,Mapping!$B:$B,0))</f>
        <v>nvt</v>
      </c>
      <c r="U56" s="142" t="str">
        <f t="shared" si="27"/>
        <v>WBA CM Ethernet&lt;=256 kbps/&lt;=256 kbpsaddnational</v>
      </c>
      <c r="W56" s="160">
        <f>MATCH($J56,'Tarieven ZM'!$B:$B,0)</f>
        <v>83</v>
      </c>
      <c r="X56" s="148">
        <f>INDEX('Tarieven ZM'!$H:$H,$W56)</f>
        <v>1000</v>
      </c>
      <c r="Y56" s="161">
        <f>-INDEX(Parameters!$B:$B,MATCH(Y$3,Parameters!$A:$A,0))*$X56</f>
        <v>0</v>
      </c>
      <c r="Z56" s="149">
        <f>-INDEX(Parameters!$B:$B,MATCH(Z$3,Parameters!$A:$A,0))*$X56</f>
        <v>0</v>
      </c>
      <c r="AA56" s="148">
        <f t="shared" si="28"/>
        <v>1000</v>
      </c>
      <c r="AB56" s="148">
        <f>AA56/INDEX(Parameters!$B:$B,MATCH("AfschrijftermijnVVE"&amp;12*$C56,Parameters!$A:$A,0))</f>
        <v>27.777777777777779</v>
      </c>
      <c r="AC56" s="148">
        <f>INDEX('Tarieven ZM'!$G:$G,$W56)</f>
        <v>1000</v>
      </c>
      <c r="AD56" s="161">
        <f>-INDEX(Parameters!$B:$B,MATCH(AD$3,Parameters!$A:$A,0))*$AC56</f>
        <v>0</v>
      </c>
      <c r="AE56" s="161">
        <f>-INDEX(Parameters!$B:$B,MATCH(AE$3,Parameters!$A:$A,0))*$AC56</f>
        <v>0</v>
      </c>
      <c r="AF56" s="148">
        <f t="shared" si="29"/>
        <v>1000</v>
      </c>
      <c r="AG56" s="151">
        <f t="shared" si="30"/>
        <v>1027.7777777777778</v>
      </c>
      <c r="AH56" s="123"/>
      <c r="AI56" s="147">
        <f>IF(R56&lt;&gt;"n.a.",MATCH($U56,'Tarieven W&amp;O'!$B:$B,0),"nvt")</f>
        <v>134</v>
      </c>
      <c r="AJ56" s="148">
        <f>IF(AI56&lt;&gt;"nvt",INDEX('Tarieven W&amp;O'!$H:$H,$AI56),0)</f>
        <v>0</v>
      </c>
      <c r="AK56" s="148">
        <f>IF(AI56&lt;&gt;"nvt",INDEX('Tarieven W&amp;O'!$I:$I,$AI56),0)</f>
        <v>5</v>
      </c>
      <c r="AL56" s="277">
        <f>IF(AI56&lt;&gt;"nvt",-INDEX(Parameters!$B:$B,MATCH(AL$3&amp;$M56,Parameters!$A:$A,0))*(AJ56+AK56),0)</f>
        <v>0</v>
      </c>
      <c r="AM56" s="442"/>
      <c r="AN56" s="179">
        <f t="shared" si="31"/>
        <v>5</v>
      </c>
      <c r="AO56" s="262">
        <f>AN56/INDEX(Parameters!$B:$B,MATCH("AfschrijftermijnVVE"&amp;12*$C56,Parameters!$A:$A,0))</f>
        <v>0.1388888888888889</v>
      </c>
      <c r="AP56" s="179">
        <f t="shared" si="32"/>
        <v>134</v>
      </c>
      <c r="AQ56" s="202">
        <f>IF(AP56&lt;&gt;"nvt",INDEX('Tarieven W&amp;O'!$G:$G,$AP56),0)</f>
        <v>1E-4</v>
      </c>
      <c r="AR56" s="463">
        <f>-INDEX(Parameters!$B:$B,MATCH(AR$3&amp;$M56&amp;O56,Parameters!$A:$A,0))*(AQ56)</f>
        <v>0</v>
      </c>
      <c r="AS56" s="262">
        <v>0</v>
      </c>
      <c r="AT56" s="442">
        <f>IF(M56="WBA CM Ethernet",0,'EDC Minus'!$H$27)</f>
        <v>0</v>
      </c>
      <c r="AU56" s="202">
        <f t="shared" si="33"/>
        <v>1E-4</v>
      </c>
      <c r="AV56" s="202">
        <f t="shared" si="34"/>
        <v>0.13898888888888888</v>
      </c>
      <c r="AW56" s="202"/>
      <c r="AX56" s="202">
        <f>Parameters!$B$6*AV56</f>
        <v>1.3898888888888889E-3</v>
      </c>
      <c r="AY56" s="202">
        <v>0</v>
      </c>
      <c r="AZ56" s="202"/>
      <c r="BA56" s="150">
        <f t="shared" si="16"/>
        <v>1.3898888888888889E-3</v>
      </c>
      <c r="BB56" s="150"/>
      <c r="BC56" s="151">
        <f t="shared" si="17"/>
        <v>0.14037877777777777</v>
      </c>
      <c r="BD56" s="123"/>
      <c r="BE56" s="140">
        <f t="shared" si="36"/>
        <v>1027.637399</v>
      </c>
      <c r="BF56" s="141">
        <f t="shared" si="37"/>
        <v>0.99986341524324318</v>
      </c>
      <c r="BG56" s="142" t="b">
        <f t="shared" si="35"/>
        <v>0</v>
      </c>
      <c r="BH56" s="148"/>
      <c r="BI56" s="188" t="s">
        <v>539</v>
      </c>
      <c r="BJ56" s="189"/>
      <c r="BK56">
        <f>VLOOKUP(J56,'Tarieven ZM'!$B$7:$I$146,8,0)</f>
        <v>0</v>
      </c>
      <c r="BL56" s="179" t="str">
        <f>INDEX(Mapping!$M:$M,MATCH($J56,Mapping!$B:$B,0))</f>
        <v>nvt</v>
      </c>
      <c r="BM56" s="282">
        <v>0</v>
      </c>
      <c r="BN56" s="262">
        <f>BM56/INDEX(Parameters!$B:$B,MATCH("AfschrijftermijnVVE"&amp;12*$C56,Parameters!$A:$A,0))</f>
        <v>0</v>
      </c>
      <c r="BO56" s="262">
        <f>AS56+INDEX('inkoop ULL tbv Epacity'!I:I,MATCH($BL56,'inkoop ULL tbv Epacity'!H:H,0))</f>
        <v>0</v>
      </c>
      <c r="BP56" s="263">
        <f t="shared" si="18"/>
        <v>0</v>
      </c>
      <c r="BQ56" s="203"/>
      <c r="BR56" s="262">
        <f>Parameters!$B$12*AG56</f>
        <v>102.77777777777779</v>
      </c>
      <c r="BS56" s="262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SUM(Distributievergoedingen!$F$12,Distributievergoedingen!$I$12,Distributievergoedingen!$L$12,Distributievergoedingen!$O$12)*AF56+SUM(Distributievergoedingen!$O$12*AA56+Distributievergoedingen!$R$12+Distributievergoedingen!$U$12+Distributievergoedingen!$X$12)/(MAX(36,12*L56))</f>
        <v>112.77777777777777</v>
      </c>
      <c r="BT56" s="262"/>
      <c r="BU56" s="150">
        <f t="shared" si="19"/>
        <v>215.55555555555554</v>
      </c>
      <c r="BW56" s="151">
        <f t="shared" si="20"/>
        <v>215.55555555555554</v>
      </c>
      <c r="BY56" s="140">
        <f t="shared" si="21"/>
        <v>812.22222222222229</v>
      </c>
      <c r="BZ56" s="141">
        <f t="shared" si="22"/>
        <v>0.7902702702702703</v>
      </c>
      <c r="CA56" s="142" t="b">
        <f t="shared" si="23"/>
        <v>0</v>
      </c>
    </row>
    <row r="57" spans="1:79">
      <c r="A57" s="160" t="str">
        <f t="shared" si="24"/>
        <v>2SA IPVPNAddnationaal448/448</v>
      </c>
      <c r="B57" s="142" t="str">
        <f t="shared" si="25"/>
        <v>2SA IPVPN448/448Add</v>
      </c>
      <c r="C57" s="198">
        <v>2</v>
      </c>
      <c r="D57" s="198" t="s">
        <v>93</v>
      </c>
      <c r="E57" s="198" t="s">
        <v>103</v>
      </c>
      <c r="F57" s="198" t="s">
        <v>115</v>
      </c>
      <c r="G57" s="199" t="s">
        <v>113</v>
      </c>
      <c r="H57" s="198" t="s">
        <v>79</v>
      </c>
      <c r="J57" s="142" t="str">
        <f t="shared" si="26"/>
        <v>SA IPVPN448/448Add</v>
      </c>
      <c r="L57" s="160">
        <f>INDEX(Mapping!$J:$J,MATCH(C$3&amp;C57,Mapping!$B:$B,0))</f>
        <v>1</v>
      </c>
      <c r="M57" s="179" t="str">
        <f>INDEX(Mapping!$H:$H,MATCH(D57&amp;H57&amp;$E57,Mapping!$B:$B,0))</f>
        <v>WBA ZM Ethernet</v>
      </c>
      <c r="N57" s="179" t="str">
        <f>INDEX(Mapping!$J:$J,MATCH(D57&amp;H57&amp;$E57,Mapping!$B:$B,0))</f>
        <v>premium</v>
      </c>
      <c r="O57" s="179" t="str">
        <f>INDEX(Mapping!$I:$I,MATCH($D57,Mapping!$B:$B,0))</f>
        <v>FttH</v>
      </c>
      <c r="P57" s="179" t="str">
        <f>INDEX(Mapping!$H:$H,MATCH($F57,Mapping!$B:$B,0))</f>
        <v>nvt</v>
      </c>
      <c r="Q57" s="283" t="str">
        <f>INDEX(Mapping!$K:$K,MATCH($D57&amp;$H57&amp;E57,Mapping!$B:$B,0))</f>
        <v>metro</v>
      </c>
      <c r="R57" s="179" t="str">
        <f>INDEX(Mapping!$I:$I,MATCH(D57&amp;H57&amp;$E57,Mapping!$B:$B,0))</f>
        <v>1 Mbps/1 Mbps</v>
      </c>
      <c r="S57" s="203"/>
      <c r="T57" s="283" t="str">
        <f>INDEX(Mapping!$L:$L,MATCH($D57&amp;$H57&amp;E57,Mapping!$B:$B,0))</f>
        <v>metro-nationaal</v>
      </c>
      <c r="U57" s="142" t="str">
        <f t="shared" si="27"/>
        <v>WBA ZM Ethernet1 Mbps/1 Mbpspremiummetro</v>
      </c>
      <c r="W57" s="160">
        <f>MATCH($J57,'Tarieven ZM'!$B:$B,0)</f>
        <v>84</v>
      </c>
      <c r="X57" s="148">
        <f>INDEX('Tarieven ZM'!$H:$H,$W57)</f>
        <v>1000</v>
      </c>
      <c r="Y57" s="161">
        <f>-INDEX(Parameters!$B:$B,MATCH(Y$3,Parameters!$A:$A,0))*$X57</f>
        <v>0</v>
      </c>
      <c r="Z57" s="149">
        <f>-INDEX(Parameters!$B:$B,MATCH(Z$3,Parameters!$A:$A,0))*$X57</f>
        <v>0</v>
      </c>
      <c r="AA57" s="148">
        <f t="shared" si="28"/>
        <v>1000</v>
      </c>
      <c r="AB57" s="148">
        <f>AA57/INDEX(Parameters!$B:$B,MATCH("AfschrijftermijnVVE"&amp;12*$C57,Parameters!$A:$A,0))</f>
        <v>27.777777777777779</v>
      </c>
      <c r="AC57" s="148">
        <f>INDEX('Tarieven ZM'!$G:$G,$W57)</f>
        <v>1000</v>
      </c>
      <c r="AD57" s="161">
        <f>-INDEX(Parameters!$B:$B,MATCH(AD$3,Parameters!$A:$A,0))*$AC57</f>
        <v>0</v>
      </c>
      <c r="AE57" s="161">
        <f>-INDEX(Parameters!$B:$B,MATCH(AE$3,Parameters!$A:$A,0))*$AC57</f>
        <v>0</v>
      </c>
      <c r="AF57" s="148">
        <f t="shared" si="29"/>
        <v>1000</v>
      </c>
      <c r="AG57" s="151">
        <f t="shared" si="30"/>
        <v>1027.7777777777778</v>
      </c>
      <c r="AH57" s="123"/>
      <c r="AI57" s="147">
        <f>IF(R57&lt;&gt;"n.a.",MATCH($U57,'Tarieven W&amp;O'!$B:$B,0),"nvt")</f>
        <v>138</v>
      </c>
      <c r="AJ57" s="148">
        <f>IF(AI57&lt;&gt;"nvt",INDEX('Tarieven W&amp;O'!$H:$H,$AI57),0)</f>
        <v>0</v>
      </c>
      <c r="AK57" s="148">
        <f>IF(AI57&lt;&gt;"nvt",INDEX('Tarieven W&amp;O'!$I:$I,$AI57),0)</f>
        <v>5</v>
      </c>
      <c r="AL57" s="277">
        <f>IF(AI57&lt;&gt;"nvt",-INDEX(Parameters!$B:$B,MATCH(AL$3&amp;$M57,Parameters!$A:$A,0))*(AJ57+AK57),0)</f>
        <v>0</v>
      </c>
      <c r="AM57" s="442"/>
      <c r="AN57" s="179">
        <f t="shared" si="31"/>
        <v>5</v>
      </c>
      <c r="AO57" s="262">
        <f>AN57/INDEX(Parameters!$B:$B,MATCH("AfschrijftermijnVVE"&amp;12*$C57,Parameters!$A:$A,0))</f>
        <v>0.1388888888888889</v>
      </c>
      <c r="AP57" s="179">
        <f t="shared" si="32"/>
        <v>138</v>
      </c>
      <c r="AQ57" s="202">
        <f>IF(AP57&lt;&gt;"nvt",INDEX('Tarieven W&amp;O'!$G:$G,$AP57),0)</f>
        <v>7.41</v>
      </c>
      <c r="AR57" s="463">
        <f>-INDEX(Parameters!$B:$B,MATCH(AR$3&amp;$M57&amp;O57,Parameters!$A:$A,0))*(AQ57)</f>
        <v>0</v>
      </c>
      <c r="AS57" s="262">
        <v>0</v>
      </c>
      <c r="AT57" s="442">
        <f>IF(M57="WBA CM Ethernet",0,'EDC Minus'!$H$27)</f>
        <v>1</v>
      </c>
      <c r="AU57" s="202">
        <f t="shared" si="33"/>
        <v>8.41</v>
      </c>
      <c r="AV57" s="202">
        <f t="shared" si="34"/>
        <v>8.5488888888888894</v>
      </c>
      <c r="AW57" s="202"/>
      <c r="AX57" s="202">
        <f>Parameters!$B$6*AV57</f>
        <v>8.5488888888888892E-2</v>
      </c>
      <c r="AY57" s="202">
        <v>0</v>
      </c>
      <c r="AZ57" s="202"/>
      <c r="BA57" s="150">
        <f t="shared" si="16"/>
        <v>8.5488888888888892E-2</v>
      </c>
      <c r="BB57" s="150"/>
      <c r="BC57" s="151">
        <f t="shared" si="17"/>
        <v>8.6343777777777788</v>
      </c>
      <c r="BD57" s="123"/>
      <c r="BE57" s="140">
        <f t="shared" si="36"/>
        <v>1019.1434</v>
      </c>
      <c r="BF57" s="141">
        <f t="shared" si="37"/>
        <v>0.99159898378378375</v>
      </c>
      <c r="BG57" s="142" t="b">
        <f t="shared" si="35"/>
        <v>0</v>
      </c>
      <c r="BH57" s="148"/>
      <c r="BI57" s="188" t="s">
        <v>539</v>
      </c>
      <c r="BJ57" s="189"/>
      <c r="BK57">
        <f>VLOOKUP(J57,'Tarieven ZM'!$B$7:$I$146,8,0)</f>
        <v>0</v>
      </c>
      <c r="BL57" s="179" t="str">
        <f>INDEX(Mapping!$M:$M,MATCH($J57,Mapping!$B:$B,0))</f>
        <v>nvt</v>
      </c>
      <c r="BM57" s="282">
        <v>0</v>
      </c>
      <c r="BN57" s="262">
        <f>BM57/INDEX(Parameters!$B:$B,MATCH("AfschrijftermijnVVE"&amp;12*$C57,Parameters!$A:$A,0))</f>
        <v>0</v>
      </c>
      <c r="BO57" s="262">
        <f>AS57+INDEX('inkoop ULL tbv Epacity'!I:I,MATCH($BL57,'inkoop ULL tbv Epacity'!H:H,0))</f>
        <v>0</v>
      </c>
      <c r="BP57" s="263">
        <f t="shared" si="18"/>
        <v>0</v>
      </c>
      <c r="BQ57" s="203"/>
      <c r="BR57" s="262">
        <f>Parameters!$B$12*AG57</f>
        <v>102.77777777777779</v>
      </c>
      <c r="BS57" s="262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SUM(Distributievergoedingen!$F$12,Distributievergoedingen!$I$12,Distributievergoedingen!$L$12,Distributievergoedingen!$O$12)*AF57+SUM(Distributievergoedingen!$O$12*AA57+Distributievergoedingen!$R$12+Distributievergoedingen!$U$12+Distributievergoedingen!$X$12)/(MAX(36,12*L57))</f>
        <v>112.77777777777777</v>
      </c>
      <c r="BT57" s="262"/>
      <c r="BU57" s="150">
        <f t="shared" si="19"/>
        <v>215.55555555555554</v>
      </c>
      <c r="BW57" s="151">
        <f t="shared" si="20"/>
        <v>215.55555555555554</v>
      </c>
      <c r="BY57" s="140">
        <f t="shared" si="21"/>
        <v>812.22222222222229</v>
      </c>
      <c r="BZ57" s="141">
        <f t="shared" si="22"/>
        <v>0.7902702702702703</v>
      </c>
      <c r="CA57" s="142" t="b">
        <f t="shared" si="23"/>
        <v>0</v>
      </c>
    </row>
    <row r="58" spans="1:79">
      <c r="A58" s="160" t="str">
        <f t="shared" si="24"/>
        <v>2SA IPVPNAddnationaal640/640</v>
      </c>
      <c r="B58" s="142" t="str">
        <f t="shared" si="25"/>
        <v>2SA IPVPN640/640Add</v>
      </c>
      <c r="C58" s="198">
        <v>2</v>
      </c>
      <c r="D58" s="198" t="s">
        <v>93</v>
      </c>
      <c r="E58" s="198" t="s">
        <v>103</v>
      </c>
      <c r="F58" s="198" t="s">
        <v>115</v>
      </c>
      <c r="G58" s="199" t="s">
        <v>113</v>
      </c>
      <c r="H58" s="198" t="s">
        <v>80</v>
      </c>
      <c r="J58" s="142" t="str">
        <f t="shared" si="26"/>
        <v>SA IPVPN640/640Add</v>
      </c>
      <c r="L58" s="160">
        <f>INDEX(Mapping!$J:$J,MATCH(C$3&amp;C58,Mapping!$B:$B,0))</f>
        <v>1</v>
      </c>
      <c r="M58" s="179" t="str">
        <f>INDEX(Mapping!$H:$H,MATCH(D58&amp;H58&amp;$E58,Mapping!$B:$B,0))</f>
        <v>WBA ZM Ethernet</v>
      </c>
      <c r="N58" s="179" t="str">
        <f>INDEX(Mapping!$J:$J,MATCH(D58&amp;H58&amp;$E58,Mapping!$B:$B,0))</f>
        <v>premium</v>
      </c>
      <c r="O58" s="179" t="str">
        <f>INDEX(Mapping!$I:$I,MATCH($D58,Mapping!$B:$B,0))</f>
        <v>FttH</v>
      </c>
      <c r="P58" s="179" t="str">
        <f>INDEX(Mapping!$H:$H,MATCH($F58,Mapping!$B:$B,0))</f>
        <v>nvt</v>
      </c>
      <c r="Q58" s="283" t="str">
        <f>INDEX(Mapping!$K:$K,MATCH($D58&amp;$H58&amp;E58,Mapping!$B:$B,0))</f>
        <v>metro</v>
      </c>
      <c r="R58" s="179" t="str">
        <f>INDEX(Mapping!$I:$I,MATCH(D58&amp;H58&amp;$E58,Mapping!$B:$B,0))</f>
        <v>1 Mbps/1 Mbps</v>
      </c>
      <c r="S58" s="203"/>
      <c r="T58" s="283" t="str">
        <f>INDEX(Mapping!$L:$L,MATCH($D58&amp;$H58&amp;E58,Mapping!$B:$B,0))</f>
        <v>metro-nationaal</v>
      </c>
      <c r="U58" s="142" t="str">
        <f t="shared" si="27"/>
        <v>WBA ZM Ethernet1 Mbps/1 Mbpspremiummetro</v>
      </c>
      <c r="W58" s="160">
        <f>MATCH($J58,'Tarieven ZM'!$B:$B,0)</f>
        <v>85</v>
      </c>
      <c r="X58" s="148">
        <f>INDEX('Tarieven ZM'!$H:$H,$W58)</f>
        <v>1000</v>
      </c>
      <c r="Y58" s="161">
        <f>-INDEX(Parameters!$B:$B,MATCH(Y$3,Parameters!$A:$A,0))*$X58</f>
        <v>0</v>
      </c>
      <c r="Z58" s="149">
        <f>-INDEX(Parameters!$B:$B,MATCH(Z$3,Parameters!$A:$A,0))*$X58</f>
        <v>0</v>
      </c>
      <c r="AA58" s="148">
        <f t="shared" si="28"/>
        <v>1000</v>
      </c>
      <c r="AB58" s="148">
        <f>AA58/INDEX(Parameters!$B:$B,MATCH("AfschrijftermijnVVE"&amp;12*$C58,Parameters!$A:$A,0))</f>
        <v>27.777777777777779</v>
      </c>
      <c r="AC58" s="148">
        <f>INDEX('Tarieven ZM'!$G:$G,$W58)</f>
        <v>1000</v>
      </c>
      <c r="AD58" s="161">
        <f>-INDEX(Parameters!$B:$B,MATCH(AD$3,Parameters!$A:$A,0))*$AC58</f>
        <v>0</v>
      </c>
      <c r="AE58" s="161">
        <f>-INDEX(Parameters!$B:$B,MATCH(AE$3,Parameters!$A:$A,0))*$AC58</f>
        <v>0</v>
      </c>
      <c r="AF58" s="148">
        <f t="shared" si="29"/>
        <v>1000</v>
      </c>
      <c r="AG58" s="151">
        <f t="shared" si="30"/>
        <v>1027.7777777777778</v>
      </c>
      <c r="AH58" s="123"/>
      <c r="AI58" s="147">
        <f>IF(R58&lt;&gt;"n.a.",MATCH($U58,'Tarieven W&amp;O'!$B:$B,0),"nvt")</f>
        <v>138</v>
      </c>
      <c r="AJ58" s="148">
        <f>IF(AI58&lt;&gt;"nvt",INDEX('Tarieven W&amp;O'!$H:$H,$AI58),0)</f>
        <v>0</v>
      </c>
      <c r="AK58" s="148">
        <f>IF(AI58&lt;&gt;"nvt",INDEX('Tarieven W&amp;O'!$I:$I,$AI58),0)</f>
        <v>5</v>
      </c>
      <c r="AL58" s="277">
        <f>IF(AI58&lt;&gt;"nvt",-INDEX(Parameters!$B:$B,MATCH(AL$3&amp;$M58,Parameters!$A:$A,0))*(AJ58+AK58),0)</f>
        <v>0</v>
      </c>
      <c r="AM58" s="442"/>
      <c r="AN58" s="179">
        <f t="shared" si="31"/>
        <v>5</v>
      </c>
      <c r="AO58" s="262">
        <f>AN58/INDEX(Parameters!$B:$B,MATCH("AfschrijftermijnVVE"&amp;12*$C58,Parameters!$A:$A,0))</f>
        <v>0.1388888888888889</v>
      </c>
      <c r="AP58" s="179">
        <f t="shared" si="32"/>
        <v>138</v>
      </c>
      <c r="AQ58" s="202">
        <f>IF(AP58&lt;&gt;"nvt",INDEX('Tarieven W&amp;O'!$G:$G,$AP58),0)</f>
        <v>7.41</v>
      </c>
      <c r="AR58" s="463">
        <f>-INDEX(Parameters!$B:$B,MATCH(AR$3&amp;$M58&amp;O58,Parameters!$A:$A,0))*(AQ58)</f>
        <v>0</v>
      </c>
      <c r="AS58" s="262">
        <v>0</v>
      </c>
      <c r="AT58" s="442">
        <f>IF(M58="WBA CM Ethernet",0,'EDC Minus'!$H$27)</f>
        <v>1</v>
      </c>
      <c r="AU58" s="202">
        <f t="shared" si="33"/>
        <v>8.41</v>
      </c>
      <c r="AV58" s="202">
        <f t="shared" si="34"/>
        <v>8.5488888888888894</v>
      </c>
      <c r="AW58" s="202"/>
      <c r="AX58" s="202">
        <f>Parameters!$B$6*AV58</f>
        <v>8.5488888888888892E-2</v>
      </c>
      <c r="AY58" s="202">
        <v>0</v>
      </c>
      <c r="AZ58" s="202"/>
      <c r="BA58" s="150">
        <f t="shared" si="16"/>
        <v>8.5488888888888892E-2</v>
      </c>
      <c r="BB58" s="150"/>
      <c r="BC58" s="151">
        <f t="shared" si="17"/>
        <v>8.6343777777777788</v>
      </c>
      <c r="BD58" s="123"/>
      <c r="BE58" s="140">
        <f t="shared" si="36"/>
        <v>1019.1434</v>
      </c>
      <c r="BF58" s="141">
        <f t="shared" si="37"/>
        <v>0.99159898378378375</v>
      </c>
      <c r="BG58" s="142" t="b">
        <f t="shared" si="35"/>
        <v>0</v>
      </c>
      <c r="BH58" s="148"/>
      <c r="BI58" s="188" t="s">
        <v>539</v>
      </c>
      <c r="BJ58" s="189"/>
      <c r="BK58">
        <f>VLOOKUP(J58,'Tarieven ZM'!$B$7:$I$146,8,0)</f>
        <v>0</v>
      </c>
      <c r="BL58" s="179" t="str">
        <f>INDEX(Mapping!$M:$M,MATCH($J58,Mapping!$B:$B,0))</f>
        <v>nvt</v>
      </c>
      <c r="BM58" s="282">
        <v>0</v>
      </c>
      <c r="BN58" s="262">
        <f>BM58/INDEX(Parameters!$B:$B,MATCH("AfschrijftermijnVVE"&amp;12*$C58,Parameters!$A:$A,0))</f>
        <v>0</v>
      </c>
      <c r="BO58" s="262">
        <f>AS58+INDEX('inkoop ULL tbv Epacity'!I:I,MATCH($BL58,'inkoop ULL tbv Epacity'!H:H,0))</f>
        <v>0</v>
      </c>
      <c r="BP58" s="263">
        <f t="shared" si="18"/>
        <v>0</v>
      </c>
      <c r="BQ58" s="203"/>
      <c r="BR58" s="262">
        <f>Parameters!$B$12*AG58</f>
        <v>102.77777777777779</v>
      </c>
      <c r="BS58" s="262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SUM(Distributievergoedingen!$F$12,Distributievergoedingen!$I$12,Distributievergoedingen!$L$12,Distributievergoedingen!$O$12)*AF58+SUM(Distributievergoedingen!$O$12*AA58+Distributievergoedingen!$R$12+Distributievergoedingen!$U$12+Distributievergoedingen!$X$12)/(MAX(36,12*L58))</f>
        <v>112.77777777777777</v>
      </c>
      <c r="BT58" s="262"/>
      <c r="BU58" s="150">
        <f t="shared" si="19"/>
        <v>215.55555555555554</v>
      </c>
      <c r="BW58" s="151">
        <f t="shared" si="20"/>
        <v>215.55555555555554</v>
      </c>
      <c r="BY58" s="140">
        <f t="shared" si="21"/>
        <v>812.22222222222229</v>
      </c>
      <c r="BZ58" s="141">
        <f t="shared" si="22"/>
        <v>0.7902702702702703</v>
      </c>
      <c r="CA58" s="142" t="b">
        <f t="shared" si="23"/>
        <v>0</v>
      </c>
    </row>
    <row r="59" spans="1:79">
      <c r="A59" s="160" t="str">
        <f t="shared" si="24"/>
        <v>2SA IPVPNAddnationaal1024/1024</v>
      </c>
      <c r="B59" s="142" t="str">
        <f t="shared" si="25"/>
        <v>2SA IPVPN1024/1024Add</v>
      </c>
      <c r="C59" s="198">
        <v>2</v>
      </c>
      <c r="D59" s="198" t="s">
        <v>93</v>
      </c>
      <c r="E59" s="198" t="s">
        <v>103</v>
      </c>
      <c r="F59" s="198" t="s">
        <v>115</v>
      </c>
      <c r="G59" s="199" t="s">
        <v>113</v>
      </c>
      <c r="H59" s="198" t="s">
        <v>66</v>
      </c>
      <c r="J59" s="142" t="str">
        <f t="shared" si="26"/>
        <v>SA IPVPN1024/1024Add</v>
      </c>
      <c r="L59" s="160">
        <f>INDEX(Mapping!$J:$J,MATCH(C$3&amp;C59,Mapping!$B:$B,0))</f>
        <v>1</v>
      </c>
      <c r="M59" s="179" t="str">
        <f>INDEX(Mapping!$H:$H,MATCH(D59&amp;H59&amp;$E59,Mapping!$B:$B,0))</f>
        <v>WBA ZM Ethernet</v>
      </c>
      <c r="N59" s="179" t="str">
        <f>INDEX(Mapping!$J:$J,MATCH(D59&amp;H59&amp;$E59,Mapping!$B:$B,0))</f>
        <v>premium</v>
      </c>
      <c r="O59" s="179" t="str">
        <f>INDEX(Mapping!$I:$I,MATCH($D59,Mapping!$B:$B,0))</f>
        <v>FttH</v>
      </c>
      <c r="P59" s="179" t="str">
        <f>INDEX(Mapping!$H:$H,MATCH($F59,Mapping!$B:$B,0))</f>
        <v>nvt</v>
      </c>
      <c r="Q59" s="283" t="str">
        <f>INDEX(Mapping!$K:$K,MATCH($D59&amp;$H59&amp;E59,Mapping!$B:$B,0))</f>
        <v>metro</v>
      </c>
      <c r="R59" s="179" t="str">
        <f>INDEX(Mapping!$I:$I,MATCH(D59&amp;H59&amp;$E59,Mapping!$B:$B,0))</f>
        <v>1 Mbps/1 Mbps</v>
      </c>
      <c r="S59" s="203"/>
      <c r="T59" s="283" t="str">
        <f>INDEX(Mapping!$L:$L,MATCH($D59&amp;$H59&amp;E59,Mapping!$B:$B,0))</f>
        <v>metro-nationaal</v>
      </c>
      <c r="U59" s="142" t="str">
        <f t="shared" si="27"/>
        <v>WBA ZM Ethernet1 Mbps/1 Mbpspremiummetro</v>
      </c>
      <c r="W59" s="160">
        <f>MATCH($J59,'Tarieven ZM'!$B:$B,0)</f>
        <v>86</v>
      </c>
      <c r="X59" s="148">
        <f>INDEX('Tarieven ZM'!$H:$H,$W59)</f>
        <v>1000</v>
      </c>
      <c r="Y59" s="161">
        <f>-INDEX(Parameters!$B:$B,MATCH(Y$3,Parameters!$A:$A,0))*$X59</f>
        <v>0</v>
      </c>
      <c r="Z59" s="149">
        <f>-INDEX(Parameters!$B:$B,MATCH(Z$3,Parameters!$A:$A,0))*$X59</f>
        <v>0</v>
      </c>
      <c r="AA59" s="148">
        <f t="shared" si="28"/>
        <v>1000</v>
      </c>
      <c r="AB59" s="148">
        <f>AA59/INDEX(Parameters!$B:$B,MATCH("AfschrijftermijnVVE"&amp;12*$C59,Parameters!$A:$A,0))</f>
        <v>27.777777777777779</v>
      </c>
      <c r="AC59" s="148">
        <f>INDEX('Tarieven ZM'!$G:$G,$W59)</f>
        <v>1000</v>
      </c>
      <c r="AD59" s="161">
        <f>-INDEX(Parameters!$B:$B,MATCH(AD$3,Parameters!$A:$A,0))*$AC59</f>
        <v>0</v>
      </c>
      <c r="AE59" s="161">
        <f>-INDEX(Parameters!$B:$B,MATCH(AE$3,Parameters!$A:$A,0))*$AC59</f>
        <v>0</v>
      </c>
      <c r="AF59" s="148">
        <f t="shared" si="29"/>
        <v>1000</v>
      </c>
      <c r="AG59" s="151">
        <f t="shared" si="30"/>
        <v>1027.7777777777778</v>
      </c>
      <c r="AH59" s="123"/>
      <c r="AI59" s="147">
        <f>IF(R59&lt;&gt;"n.a.",MATCH($U59,'Tarieven W&amp;O'!$B:$B,0),"nvt")</f>
        <v>138</v>
      </c>
      <c r="AJ59" s="148">
        <f>IF(AI59&lt;&gt;"nvt",INDEX('Tarieven W&amp;O'!$H:$H,$AI59),0)</f>
        <v>0</v>
      </c>
      <c r="AK59" s="148">
        <f>IF(AI59&lt;&gt;"nvt",INDEX('Tarieven W&amp;O'!$I:$I,$AI59),0)</f>
        <v>5</v>
      </c>
      <c r="AL59" s="277">
        <f>IF(AI59&lt;&gt;"nvt",-INDEX(Parameters!$B:$B,MATCH(AL$3&amp;$M59,Parameters!$A:$A,0))*(AJ59+AK59),0)</f>
        <v>0</v>
      </c>
      <c r="AM59" s="442"/>
      <c r="AN59" s="179">
        <f t="shared" si="31"/>
        <v>5</v>
      </c>
      <c r="AO59" s="262">
        <f>AN59/INDEX(Parameters!$B:$B,MATCH("AfschrijftermijnVVE"&amp;12*$C59,Parameters!$A:$A,0))</f>
        <v>0.1388888888888889</v>
      </c>
      <c r="AP59" s="179">
        <f t="shared" si="32"/>
        <v>138</v>
      </c>
      <c r="AQ59" s="202">
        <f>IF(AP59&lt;&gt;"nvt",INDEX('Tarieven W&amp;O'!$G:$G,$AP59),0)</f>
        <v>7.41</v>
      </c>
      <c r="AR59" s="463">
        <f>-INDEX(Parameters!$B:$B,MATCH(AR$3&amp;$M59&amp;O59,Parameters!$A:$A,0))*(AQ59)</f>
        <v>0</v>
      </c>
      <c r="AS59" s="262">
        <v>0</v>
      </c>
      <c r="AT59" s="442">
        <f>IF(M59="WBA CM Ethernet",0,'EDC Minus'!$H$27)</f>
        <v>1</v>
      </c>
      <c r="AU59" s="202">
        <f t="shared" si="33"/>
        <v>8.41</v>
      </c>
      <c r="AV59" s="202">
        <f t="shared" si="34"/>
        <v>8.5488888888888894</v>
      </c>
      <c r="AW59" s="202"/>
      <c r="AX59" s="202">
        <f>Parameters!$B$6*AV59</f>
        <v>8.5488888888888892E-2</v>
      </c>
      <c r="AY59" s="202">
        <v>0</v>
      </c>
      <c r="AZ59" s="202"/>
      <c r="BA59" s="150">
        <f t="shared" si="16"/>
        <v>8.5488888888888892E-2</v>
      </c>
      <c r="BB59" s="150"/>
      <c r="BC59" s="151">
        <f t="shared" si="17"/>
        <v>8.6343777777777788</v>
      </c>
      <c r="BD59" s="123"/>
      <c r="BE59" s="140">
        <f t="shared" si="36"/>
        <v>1019.1434</v>
      </c>
      <c r="BF59" s="141">
        <f t="shared" si="37"/>
        <v>0.99159898378378375</v>
      </c>
      <c r="BG59" s="142" t="b">
        <f t="shared" si="35"/>
        <v>0</v>
      </c>
      <c r="BH59" s="148"/>
      <c r="BI59" s="188" t="s">
        <v>539</v>
      </c>
      <c r="BJ59" s="189"/>
      <c r="BK59">
        <f>VLOOKUP(J59,'Tarieven ZM'!$B$7:$I$146,8,0)</f>
        <v>0</v>
      </c>
      <c r="BL59" s="179" t="str">
        <f>INDEX(Mapping!$M:$M,MATCH($J59,Mapping!$B:$B,0))</f>
        <v>nvt</v>
      </c>
      <c r="BM59" s="282">
        <v>0</v>
      </c>
      <c r="BN59" s="262">
        <f>BM59/INDEX(Parameters!$B:$B,MATCH("AfschrijftermijnVVE"&amp;12*$C59,Parameters!$A:$A,0))</f>
        <v>0</v>
      </c>
      <c r="BO59" s="262">
        <f>AS59+INDEX('inkoop ULL tbv Epacity'!I:I,MATCH($BL59,'inkoop ULL tbv Epacity'!H:H,0))</f>
        <v>0</v>
      </c>
      <c r="BP59" s="263">
        <f t="shared" si="18"/>
        <v>0</v>
      </c>
      <c r="BQ59" s="203"/>
      <c r="BR59" s="262">
        <f>Parameters!$B$12*AG59</f>
        <v>102.77777777777779</v>
      </c>
      <c r="BS59" s="262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SUM(Distributievergoedingen!$F$12,Distributievergoedingen!$I$12,Distributievergoedingen!$L$12,Distributievergoedingen!$O$12)*AF59+SUM(Distributievergoedingen!$O$12*AA59+Distributievergoedingen!$R$12+Distributievergoedingen!$U$12+Distributievergoedingen!$X$12)/(MAX(36,12*L59))</f>
        <v>112.77777777777777</v>
      </c>
      <c r="BT59" s="262"/>
      <c r="BU59" s="150">
        <f t="shared" si="19"/>
        <v>215.55555555555554</v>
      </c>
      <c r="BW59" s="151">
        <f t="shared" si="20"/>
        <v>215.55555555555554</v>
      </c>
      <c r="BY59" s="140">
        <f t="shared" si="21"/>
        <v>812.22222222222229</v>
      </c>
      <c r="BZ59" s="141">
        <f t="shared" si="22"/>
        <v>0.7902702702702703</v>
      </c>
      <c r="CA59" s="142" t="b">
        <f t="shared" si="23"/>
        <v>0</v>
      </c>
    </row>
    <row r="60" spans="1:79">
      <c r="A60" s="160" t="str">
        <f t="shared" si="24"/>
        <v>2SA IPVPNAddnationaal2048/2048</v>
      </c>
      <c r="B60" s="142" t="str">
        <f t="shared" si="25"/>
        <v>2SA IPVPN2048/2048Add</v>
      </c>
      <c r="C60" s="198">
        <v>2</v>
      </c>
      <c r="D60" s="198" t="s">
        <v>93</v>
      </c>
      <c r="E60" s="198" t="s">
        <v>103</v>
      </c>
      <c r="F60" s="198" t="s">
        <v>115</v>
      </c>
      <c r="G60" s="199" t="s">
        <v>113</v>
      </c>
      <c r="H60" s="198" t="s">
        <v>68</v>
      </c>
      <c r="J60" s="142" t="str">
        <f t="shared" si="26"/>
        <v>SA IPVPN2048/2048Add</v>
      </c>
      <c r="L60" s="160">
        <f>INDEX(Mapping!$J:$J,MATCH(C$3&amp;C60,Mapping!$B:$B,0))</f>
        <v>1</v>
      </c>
      <c r="M60" s="179" t="str">
        <f>INDEX(Mapping!$H:$H,MATCH(D60&amp;H60&amp;$E60,Mapping!$B:$B,0))</f>
        <v>WBA ZM Ethernet</v>
      </c>
      <c r="N60" s="179" t="str">
        <f>INDEX(Mapping!$J:$J,MATCH(D60&amp;H60&amp;$E60,Mapping!$B:$B,0))</f>
        <v>premium</v>
      </c>
      <c r="O60" s="179" t="str">
        <f>INDEX(Mapping!$I:$I,MATCH($D60,Mapping!$B:$B,0))</f>
        <v>FttH</v>
      </c>
      <c r="P60" s="179" t="str">
        <f>INDEX(Mapping!$H:$H,MATCH($F60,Mapping!$B:$B,0))</f>
        <v>nvt</v>
      </c>
      <c r="Q60" s="283" t="str">
        <f>INDEX(Mapping!$K:$K,MATCH($D60&amp;$H60&amp;E60,Mapping!$B:$B,0))</f>
        <v>metro</v>
      </c>
      <c r="R60" s="179" t="str">
        <f>INDEX(Mapping!$I:$I,MATCH(D60&amp;H60&amp;$E60,Mapping!$B:$B,0))</f>
        <v>2 Mbps/2 Mbps</v>
      </c>
      <c r="S60" s="203"/>
      <c r="T60" s="283" t="str">
        <f>INDEX(Mapping!$L:$L,MATCH($D60&amp;$H60&amp;E60,Mapping!$B:$B,0))</f>
        <v>metro-nationaal</v>
      </c>
      <c r="U60" s="142" t="str">
        <f t="shared" si="27"/>
        <v>WBA ZM Ethernet2 Mbps/2 Mbpspremiummetro</v>
      </c>
      <c r="W60" s="160">
        <f>MATCH($J60,'Tarieven ZM'!$B:$B,0)</f>
        <v>87</v>
      </c>
      <c r="X60" s="148">
        <f>INDEX('Tarieven ZM'!$H:$H,$W60)</f>
        <v>1000</v>
      </c>
      <c r="Y60" s="161">
        <f>-INDEX(Parameters!$B:$B,MATCH(Y$3,Parameters!$A:$A,0))*$X60</f>
        <v>0</v>
      </c>
      <c r="Z60" s="149">
        <f>-INDEX(Parameters!$B:$B,MATCH(Z$3,Parameters!$A:$A,0))*$X60</f>
        <v>0</v>
      </c>
      <c r="AA60" s="148">
        <f t="shared" si="28"/>
        <v>1000</v>
      </c>
      <c r="AB60" s="148">
        <f>AA60/INDEX(Parameters!$B:$B,MATCH("AfschrijftermijnVVE"&amp;12*$C60,Parameters!$A:$A,0))</f>
        <v>27.777777777777779</v>
      </c>
      <c r="AC60" s="148">
        <f>INDEX('Tarieven ZM'!$G:$G,$W60)</f>
        <v>1000</v>
      </c>
      <c r="AD60" s="161">
        <f>-INDEX(Parameters!$B:$B,MATCH(AD$3,Parameters!$A:$A,0))*$AC60</f>
        <v>0</v>
      </c>
      <c r="AE60" s="161">
        <f>-INDEX(Parameters!$B:$B,MATCH(AE$3,Parameters!$A:$A,0))*$AC60</f>
        <v>0</v>
      </c>
      <c r="AF60" s="148">
        <f t="shared" si="29"/>
        <v>1000</v>
      </c>
      <c r="AG60" s="151">
        <f t="shared" si="30"/>
        <v>1027.7777777777778</v>
      </c>
      <c r="AH60" s="123"/>
      <c r="AI60" s="147">
        <f>IF(R60&lt;&gt;"n.a.",MATCH($U60,'Tarieven W&amp;O'!$B:$B,0),"nvt")</f>
        <v>139</v>
      </c>
      <c r="AJ60" s="148">
        <f>IF(AI60&lt;&gt;"nvt",INDEX('Tarieven W&amp;O'!$H:$H,$AI60),0)</f>
        <v>0</v>
      </c>
      <c r="AK60" s="148">
        <f>IF(AI60&lt;&gt;"nvt",INDEX('Tarieven W&amp;O'!$I:$I,$AI60),0)</f>
        <v>5</v>
      </c>
      <c r="AL60" s="277">
        <f>IF(AI60&lt;&gt;"nvt",-INDEX(Parameters!$B:$B,MATCH(AL$3&amp;$M60,Parameters!$A:$A,0))*(AJ60+AK60),0)</f>
        <v>0</v>
      </c>
      <c r="AM60" s="442"/>
      <c r="AN60" s="179">
        <f t="shared" si="31"/>
        <v>5</v>
      </c>
      <c r="AO60" s="262">
        <f>AN60/INDEX(Parameters!$B:$B,MATCH("AfschrijftermijnVVE"&amp;12*$C60,Parameters!$A:$A,0))</f>
        <v>0.1388888888888889</v>
      </c>
      <c r="AP60" s="179">
        <f t="shared" si="32"/>
        <v>139</v>
      </c>
      <c r="AQ60" s="202">
        <f>IF(AP60&lt;&gt;"nvt",INDEX('Tarieven W&amp;O'!$G:$G,$AP60),0)</f>
        <v>14.82</v>
      </c>
      <c r="AR60" s="463">
        <f>-INDEX(Parameters!$B:$B,MATCH(AR$3&amp;$M60&amp;O60,Parameters!$A:$A,0))*(AQ60)</f>
        <v>0</v>
      </c>
      <c r="AS60" s="262">
        <v>0</v>
      </c>
      <c r="AT60" s="442">
        <f>IF(M60="WBA CM Ethernet",0,'EDC Minus'!$H$27)</f>
        <v>1</v>
      </c>
      <c r="AU60" s="202">
        <f t="shared" si="33"/>
        <v>15.82</v>
      </c>
      <c r="AV60" s="202">
        <f t="shared" si="34"/>
        <v>15.95888888888889</v>
      </c>
      <c r="AW60" s="202"/>
      <c r="AX60" s="202">
        <f>Parameters!$B$6*AV60</f>
        <v>0.15958888888888889</v>
      </c>
      <c r="AY60" s="202">
        <v>0</v>
      </c>
      <c r="AZ60" s="202"/>
      <c r="BA60" s="150">
        <f t="shared" si="16"/>
        <v>0.15958888888888889</v>
      </c>
      <c r="BB60" s="150"/>
      <c r="BC60" s="151">
        <f t="shared" si="17"/>
        <v>16.118477777777777</v>
      </c>
      <c r="BD60" s="123"/>
      <c r="BE60" s="140">
        <f t="shared" si="36"/>
        <v>1011.6593</v>
      </c>
      <c r="BF60" s="141">
        <f t="shared" si="37"/>
        <v>0.98431715675675668</v>
      </c>
      <c r="BG60" s="142" t="b">
        <f t="shared" si="35"/>
        <v>0</v>
      </c>
      <c r="BH60" s="148"/>
      <c r="BI60" s="188" t="s">
        <v>539</v>
      </c>
      <c r="BJ60" s="189"/>
      <c r="BK60">
        <f>VLOOKUP(J60,'Tarieven ZM'!$B$7:$I$146,8,0)</f>
        <v>0</v>
      </c>
      <c r="BL60" s="179" t="str">
        <f>INDEX(Mapping!$M:$M,MATCH($J60,Mapping!$B:$B,0))</f>
        <v>nvt</v>
      </c>
      <c r="BM60" s="282">
        <v>0</v>
      </c>
      <c r="BN60" s="262">
        <f>BM60/INDEX(Parameters!$B:$B,MATCH("AfschrijftermijnVVE"&amp;12*$C60,Parameters!$A:$A,0))</f>
        <v>0</v>
      </c>
      <c r="BO60" s="262">
        <f>AS60+INDEX('inkoop ULL tbv Epacity'!I:I,MATCH($BL60,'inkoop ULL tbv Epacity'!H:H,0))</f>
        <v>0</v>
      </c>
      <c r="BP60" s="263">
        <f t="shared" si="18"/>
        <v>0</v>
      </c>
      <c r="BQ60" s="203"/>
      <c r="BR60" s="262">
        <f>Parameters!$B$12*AG60</f>
        <v>102.77777777777779</v>
      </c>
      <c r="BS60" s="262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SUM(Distributievergoedingen!$F$12,Distributievergoedingen!$I$12,Distributievergoedingen!$L$12,Distributievergoedingen!$O$12)*AF60+SUM(Distributievergoedingen!$O$12*AA60+Distributievergoedingen!$R$12+Distributievergoedingen!$U$12+Distributievergoedingen!$X$12)/(MAX(36,12*L60))</f>
        <v>112.77777777777777</v>
      </c>
      <c r="BT60" s="262"/>
      <c r="BU60" s="150">
        <f t="shared" si="19"/>
        <v>215.55555555555554</v>
      </c>
      <c r="BW60" s="151">
        <f t="shared" si="20"/>
        <v>215.55555555555554</v>
      </c>
      <c r="BY60" s="140">
        <f t="shared" si="21"/>
        <v>812.22222222222229</v>
      </c>
      <c r="BZ60" s="141">
        <f t="shared" si="22"/>
        <v>0.7902702702702703</v>
      </c>
      <c r="CA60" s="142" t="b">
        <f t="shared" si="23"/>
        <v>0</v>
      </c>
    </row>
    <row r="61" spans="1:79">
      <c r="A61" s="160" t="str">
        <f t="shared" si="24"/>
        <v>2SA IPVPNAddnationaal3072/3072</v>
      </c>
      <c r="B61" s="142" t="str">
        <f t="shared" si="25"/>
        <v>2SA IPVPN3072/3072Add</v>
      </c>
      <c r="C61" s="198">
        <v>2</v>
      </c>
      <c r="D61" s="198" t="s">
        <v>93</v>
      </c>
      <c r="E61" s="198" t="s">
        <v>103</v>
      </c>
      <c r="F61" s="198" t="s">
        <v>115</v>
      </c>
      <c r="G61" s="199" t="s">
        <v>113</v>
      </c>
      <c r="H61" s="198" t="s">
        <v>82</v>
      </c>
      <c r="J61" s="142" t="str">
        <f t="shared" si="26"/>
        <v>SA IPVPN3072/3072Add</v>
      </c>
      <c r="L61" s="160">
        <f>INDEX(Mapping!$J:$J,MATCH(C$3&amp;C61,Mapping!$B:$B,0))</f>
        <v>1</v>
      </c>
      <c r="M61" s="179" t="str">
        <f>INDEX(Mapping!$H:$H,MATCH(D61&amp;H61&amp;$E61,Mapping!$B:$B,0))</f>
        <v>WBA ZM Ethernet</v>
      </c>
      <c r="N61" s="179" t="str">
        <f>INDEX(Mapping!$J:$J,MATCH(D61&amp;H61&amp;$E61,Mapping!$B:$B,0))</f>
        <v>premium</v>
      </c>
      <c r="O61" s="179" t="str">
        <f>INDEX(Mapping!$I:$I,MATCH($D61,Mapping!$B:$B,0))</f>
        <v>FttH</v>
      </c>
      <c r="P61" s="179" t="str">
        <f>INDEX(Mapping!$H:$H,MATCH($F61,Mapping!$B:$B,0))</f>
        <v>nvt</v>
      </c>
      <c r="Q61" s="283" t="str">
        <f>INDEX(Mapping!$K:$K,MATCH($D61&amp;$H61&amp;E61,Mapping!$B:$B,0))</f>
        <v>metro</v>
      </c>
      <c r="R61" s="179" t="str">
        <f>INDEX(Mapping!$I:$I,MATCH(D61&amp;H61&amp;$E61,Mapping!$B:$B,0))</f>
        <v>5 Mbps/5 Mbps</v>
      </c>
      <c r="S61" s="203"/>
      <c r="T61" s="283" t="str">
        <f>INDEX(Mapping!$L:$L,MATCH($D61&amp;$H61&amp;E61,Mapping!$B:$B,0))</f>
        <v>metro-nationaal</v>
      </c>
      <c r="U61" s="142" t="str">
        <f t="shared" si="27"/>
        <v>WBA ZM Ethernet5 Mbps/5 Mbpspremiummetro</v>
      </c>
      <c r="W61" s="160">
        <f>MATCH($J61,'Tarieven ZM'!$B:$B,0)</f>
        <v>88</v>
      </c>
      <c r="X61" s="148">
        <f>INDEX('Tarieven ZM'!$H:$H,$W61)</f>
        <v>1000</v>
      </c>
      <c r="Y61" s="161">
        <f>-INDEX(Parameters!$B:$B,MATCH(Y$3,Parameters!$A:$A,0))*$X61</f>
        <v>0</v>
      </c>
      <c r="Z61" s="149">
        <f>-INDEX(Parameters!$B:$B,MATCH(Z$3,Parameters!$A:$A,0))*$X61</f>
        <v>0</v>
      </c>
      <c r="AA61" s="148">
        <f t="shared" si="28"/>
        <v>1000</v>
      </c>
      <c r="AB61" s="148">
        <f>AA61/INDEX(Parameters!$B:$B,MATCH("AfschrijftermijnVVE"&amp;12*$C61,Parameters!$A:$A,0))</f>
        <v>27.777777777777779</v>
      </c>
      <c r="AC61" s="148">
        <f>INDEX('Tarieven ZM'!$G:$G,$W61)</f>
        <v>1000</v>
      </c>
      <c r="AD61" s="161">
        <f>-INDEX(Parameters!$B:$B,MATCH(AD$3,Parameters!$A:$A,0))*$AC61</f>
        <v>0</v>
      </c>
      <c r="AE61" s="161">
        <f>-INDEX(Parameters!$B:$B,MATCH(AE$3,Parameters!$A:$A,0))*$AC61</f>
        <v>0</v>
      </c>
      <c r="AF61" s="148">
        <f t="shared" si="29"/>
        <v>1000</v>
      </c>
      <c r="AG61" s="151">
        <f t="shared" si="30"/>
        <v>1027.7777777777778</v>
      </c>
      <c r="AH61" s="123"/>
      <c r="AI61" s="147">
        <f>IF(R61&lt;&gt;"n.a.",MATCH($U61,'Tarieven W&amp;O'!$B:$B,0),"nvt")</f>
        <v>140</v>
      </c>
      <c r="AJ61" s="148">
        <f>IF(AI61&lt;&gt;"nvt",INDEX('Tarieven W&amp;O'!$H:$H,$AI61),0)</f>
        <v>0</v>
      </c>
      <c r="AK61" s="148">
        <f>IF(AI61&lt;&gt;"nvt",INDEX('Tarieven W&amp;O'!$I:$I,$AI61),0)</f>
        <v>5</v>
      </c>
      <c r="AL61" s="277">
        <f>IF(AI61&lt;&gt;"nvt",-INDEX(Parameters!$B:$B,MATCH(AL$3&amp;$M61,Parameters!$A:$A,0))*(AJ61+AK61),0)</f>
        <v>0</v>
      </c>
      <c r="AM61" s="442"/>
      <c r="AN61" s="179">
        <f t="shared" si="31"/>
        <v>5</v>
      </c>
      <c r="AO61" s="262">
        <f>AN61/INDEX(Parameters!$B:$B,MATCH("AfschrijftermijnVVE"&amp;12*$C61,Parameters!$A:$A,0))</f>
        <v>0.1388888888888889</v>
      </c>
      <c r="AP61" s="179">
        <f t="shared" si="32"/>
        <v>140</v>
      </c>
      <c r="AQ61" s="202">
        <f>IF(AP61&lt;&gt;"nvt",INDEX('Tarieven W&amp;O'!$G:$G,$AP61),0)</f>
        <v>18.53</v>
      </c>
      <c r="AR61" s="463">
        <f>-INDEX(Parameters!$B:$B,MATCH(AR$3&amp;$M61&amp;O61,Parameters!$A:$A,0))*(AQ61)</f>
        <v>0</v>
      </c>
      <c r="AS61" s="262">
        <v>0</v>
      </c>
      <c r="AT61" s="442">
        <f>IF(M61="WBA CM Ethernet",0,'EDC Minus'!$H$27)</f>
        <v>1</v>
      </c>
      <c r="AU61" s="202">
        <f t="shared" si="33"/>
        <v>19.53</v>
      </c>
      <c r="AV61" s="202">
        <f t="shared" si="34"/>
        <v>19.66888888888889</v>
      </c>
      <c r="AW61" s="202"/>
      <c r="AX61" s="202">
        <f>Parameters!$B$6*AV61</f>
        <v>0.19668888888888891</v>
      </c>
      <c r="AY61" s="202">
        <v>0</v>
      </c>
      <c r="AZ61" s="202"/>
      <c r="BA61" s="150">
        <f t="shared" si="16"/>
        <v>0.19668888888888891</v>
      </c>
      <c r="BB61" s="150"/>
      <c r="BC61" s="151">
        <f t="shared" si="17"/>
        <v>19.86557777777778</v>
      </c>
      <c r="BD61" s="123"/>
      <c r="BE61" s="140">
        <f t="shared" si="36"/>
        <v>1007.9122000000001</v>
      </c>
      <c r="BF61" s="141">
        <f t="shared" si="37"/>
        <v>0.98067132972972981</v>
      </c>
      <c r="BG61" s="142" t="b">
        <f t="shared" si="35"/>
        <v>0</v>
      </c>
      <c r="BH61" s="148"/>
      <c r="BI61" s="188" t="s">
        <v>539</v>
      </c>
      <c r="BJ61" s="189"/>
      <c r="BK61">
        <f>VLOOKUP(J61,'Tarieven ZM'!$B$7:$I$146,8,0)</f>
        <v>0</v>
      </c>
      <c r="BL61" s="179" t="str">
        <f>INDEX(Mapping!$M:$M,MATCH($J61,Mapping!$B:$B,0))</f>
        <v>nvt</v>
      </c>
      <c r="BM61" s="282">
        <v>0</v>
      </c>
      <c r="BN61" s="262">
        <f>BM61/INDEX(Parameters!$B:$B,MATCH("AfschrijftermijnVVE"&amp;12*$C61,Parameters!$A:$A,0))</f>
        <v>0</v>
      </c>
      <c r="BO61" s="262">
        <f>AS61+INDEX('inkoop ULL tbv Epacity'!I:I,MATCH($BL61,'inkoop ULL tbv Epacity'!H:H,0))</f>
        <v>0</v>
      </c>
      <c r="BP61" s="263">
        <f t="shared" si="18"/>
        <v>0</v>
      </c>
      <c r="BQ61" s="203"/>
      <c r="BR61" s="262">
        <f>Parameters!$B$12*AG61</f>
        <v>102.77777777777779</v>
      </c>
      <c r="BS61" s="262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SUM(Distributievergoedingen!$F$12,Distributievergoedingen!$I$12,Distributievergoedingen!$L$12,Distributievergoedingen!$O$12)*AF61+SUM(Distributievergoedingen!$O$12*AA61+Distributievergoedingen!$R$12+Distributievergoedingen!$U$12+Distributievergoedingen!$X$12)/(MAX(36,12*L61))</f>
        <v>112.77777777777777</v>
      </c>
      <c r="BT61" s="262"/>
      <c r="BU61" s="150">
        <f t="shared" si="19"/>
        <v>215.55555555555554</v>
      </c>
      <c r="BW61" s="151">
        <f t="shared" si="20"/>
        <v>215.55555555555554</v>
      </c>
      <c r="BY61" s="140">
        <f t="shared" si="21"/>
        <v>812.22222222222229</v>
      </c>
      <c r="BZ61" s="141">
        <f t="shared" si="22"/>
        <v>0.7902702702702703</v>
      </c>
      <c r="CA61" s="142" t="b">
        <f t="shared" si="23"/>
        <v>0</v>
      </c>
    </row>
    <row r="62" spans="1:79">
      <c r="A62" s="160" t="str">
        <f t="shared" si="24"/>
        <v>2SA IPVPNAddnationaal4096/4096</v>
      </c>
      <c r="B62" s="142" t="str">
        <f t="shared" si="25"/>
        <v>2SA IPVPN4096/4096Add</v>
      </c>
      <c r="C62" s="198">
        <v>2</v>
      </c>
      <c r="D62" s="198" t="s">
        <v>93</v>
      </c>
      <c r="E62" s="198" t="s">
        <v>103</v>
      </c>
      <c r="F62" s="198" t="s">
        <v>115</v>
      </c>
      <c r="G62" s="199" t="s">
        <v>113</v>
      </c>
      <c r="H62" s="198" t="s">
        <v>83</v>
      </c>
      <c r="J62" s="142" t="str">
        <f t="shared" si="26"/>
        <v>SA IPVPN4096/4096Add</v>
      </c>
      <c r="L62" s="160">
        <f>INDEX(Mapping!$J:$J,MATCH(C$3&amp;C62,Mapping!$B:$B,0))</f>
        <v>1</v>
      </c>
      <c r="M62" s="179" t="str">
        <f>INDEX(Mapping!$H:$H,MATCH(D62&amp;H62&amp;$E62,Mapping!$B:$B,0))</f>
        <v>WBA ZM Ethernet</v>
      </c>
      <c r="N62" s="179" t="str">
        <f>INDEX(Mapping!$J:$J,MATCH(D62&amp;H62&amp;$E62,Mapping!$B:$B,0))</f>
        <v>premium</v>
      </c>
      <c r="O62" s="179" t="str">
        <f>INDEX(Mapping!$I:$I,MATCH($D62,Mapping!$B:$B,0))</f>
        <v>FttH</v>
      </c>
      <c r="P62" s="179" t="str">
        <f>INDEX(Mapping!$H:$H,MATCH($F62,Mapping!$B:$B,0))</f>
        <v>nvt</v>
      </c>
      <c r="Q62" s="283" t="str">
        <f>INDEX(Mapping!$K:$K,MATCH($D62&amp;$H62&amp;E62,Mapping!$B:$B,0))</f>
        <v>metro</v>
      </c>
      <c r="R62" s="179" t="str">
        <f>INDEX(Mapping!$I:$I,MATCH(D62&amp;H62&amp;$E62,Mapping!$B:$B,0))</f>
        <v>5 Mbps/5 Mbps</v>
      </c>
      <c r="S62" s="203"/>
      <c r="T62" s="283" t="str">
        <f>INDEX(Mapping!$L:$L,MATCH($D62&amp;$H62&amp;E62,Mapping!$B:$B,0))</f>
        <v>metro-nationaal</v>
      </c>
      <c r="U62" s="142" t="str">
        <f t="shared" si="27"/>
        <v>WBA ZM Ethernet5 Mbps/5 Mbpspremiummetro</v>
      </c>
      <c r="W62" s="160">
        <f>MATCH($J62,'Tarieven ZM'!$B:$B,0)</f>
        <v>89</v>
      </c>
      <c r="X62" s="148">
        <f>INDEX('Tarieven ZM'!$H:$H,$W62)</f>
        <v>1000</v>
      </c>
      <c r="Y62" s="161">
        <f>-INDEX(Parameters!$B:$B,MATCH(Y$3,Parameters!$A:$A,0))*$X62</f>
        <v>0</v>
      </c>
      <c r="Z62" s="149">
        <f>-INDEX(Parameters!$B:$B,MATCH(Z$3,Parameters!$A:$A,0))*$X62</f>
        <v>0</v>
      </c>
      <c r="AA62" s="148">
        <f t="shared" si="28"/>
        <v>1000</v>
      </c>
      <c r="AB62" s="148">
        <f>AA62/INDEX(Parameters!$B:$B,MATCH("AfschrijftermijnVVE"&amp;12*$C62,Parameters!$A:$A,0))</f>
        <v>27.777777777777779</v>
      </c>
      <c r="AC62" s="148">
        <f>INDEX('Tarieven ZM'!$G:$G,$W62)</f>
        <v>1000</v>
      </c>
      <c r="AD62" s="161">
        <f>-INDEX(Parameters!$B:$B,MATCH(AD$3,Parameters!$A:$A,0))*$AC62</f>
        <v>0</v>
      </c>
      <c r="AE62" s="161">
        <f>-INDEX(Parameters!$B:$B,MATCH(AE$3,Parameters!$A:$A,0))*$AC62</f>
        <v>0</v>
      </c>
      <c r="AF62" s="148">
        <f t="shared" si="29"/>
        <v>1000</v>
      </c>
      <c r="AG62" s="151">
        <f t="shared" si="30"/>
        <v>1027.7777777777778</v>
      </c>
      <c r="AH62" s="123"/>
      <c r="AI62" s="147">
        <f>IF(R62&lt;&gt;"n.a.",MATCH($U62,'Tarieven W&amp;O'!$B:$B,0),"nvt")</f>
        <v>140</v>
      </c>
      <c r="AJ62" s="148">
        <f>IF(AI62&lt;&gt;"nvt",INDEX('Tarieven W&amp;O'!$H:$H,$AI62),0)</f>
        <v>0</v>
      </c>
      <c r="AK62" s="148">
        <f>IF(AI62&lt;&gt;"nvt",INDEX('Tarieven W&amp;O'!$I:$I,$AI62),0)</f>
        <v>5</v>
      </c>
      <c r="AL62" s="277">
        <f>IF(AI62&lt;&gt;"nvt",-INDEX(Parameters!$B:$B,MATCH(AL$3&amp;$M62,Parameters!$A:$A,0))*(AJ62+AK62),0)</f>
        <v>0</v>
      </c>
      <c r="AM62" s="442"/>
      <c r="AN62" s="179">
        <f t="shared" si="31"/>
        <v>5</v>
      </c>
      <c r="AO62" s="262">
        <f>AN62/INDEX(Parameters!$B:$B,MATCH("AfschrijftermijnVVE"&amp;12*$C62,Parameters!$A:$A,0))</f>
        <v>0.1388888888888889</v>
      </c>
      <c r="AP62" s="179">
        <f t="shared" si="32"/>
        <v>140</v>
      </c>
      <c r="AQ62" s="202">
        <f>IF(AP62&lt;&gt;"nvt",INDEX('Tarieven W&amp;O'!$G:$G,$AP62),0)</f>
        <v>18.53</v>
      </c>
      <c r="AR62" s="463">
        <f>-INDEX(Parameters!$B:$B,MATCH(AR$3&amp;$M62&amp;O62,Parameters!$A:$A,0))*(AQ62)</f>
        <v>0</v>
      </c>
      <c r="AS62" s="262">
        <v>0</v>
      </c>
      <c r="AT62" s="442">
        <f>IF(M62="WBA CM Ethernet",0,'EDC Minus'!$H$27)</f>
        <v>1</v>
      </c>
      <c r="AU62" s="202">
        <f t="shared" si="33"/>
        <v>19.53</v>
      </c>
      <c r="AV62" s="202">
        <f t="shared" si="34"/>
        <v>19.66888888888889</v>
      </c>
      <c r="AW62" s="202"/>
      <c r="AX62" s="202">
        <f>Parameters!$B$6*AV62</f>
        <v>0.19668888888888891</v>
      </c>
      <c r="AY62" s="202">
        <v>0</v>
      </c>
      <c r="AZ62" s="202"/>
      <c r="BA62" s="150">
        <f t="shared" si="16"/>
        <v>0.19668888888888891</v>
      </c>
      <c r="BB62" s="150"/>
      <c r="BC62" s="151">
        <f t="shared" si="17"/>
        <v>19.86557777777778</v>
      </c>
      <c r="BD62" s="123"/>
      <c r="BE62" s="140">
        <f t="shared" si="36"/>
        <v>1007.9122000000001</v>
      </c>
      <c r="BF62" s="141">
        <f t="shared" si="37"/>
        <v>0.98067132972972981</v>
      </c>
      <c r="BG62" s="142" t="b">
        <f t="shared" si="35"/>
        <v>0</v>
      </c>
      <c r="BH62" s="148"/>
      <c r="BI62" s="188" t="s">
        <v>539</v>
      </c>
      <c r="BJ62" s="189"/>
      <c r="BK62">
        <f>VLOOKUP(J62,'Tarieven ZM'!$B$7:$I$146,8,0)</f>
        <v>0</v>
      </c>
      <c r="BL62" s="179" t="str">
        <f>INDEX(Mapping!$M:$M,MATCH($J62,Mapping!$B:$B,0))</f>
        <v>nvt</v>
      </c>
      <c r="BM62" s="282">
        <v>0</v>
      </c>
      <c r="BN62" s="262">
        <f>BM62/INDEX(Parameters!$B:$B,MATCH("AfschrijftermijnVVE"&amp;12*$C62,Parameters!$A:$A,0))</f>
        <v>0</v>
      </c>
      <c r="BO62" s="262">
        <f>AS62+INDEX('inkoop ULL tbv Epacity'!I:I,MATCH($BL62,'inkoop ULL tbv Epacity'!H:H,0))</f>
        <v>0</v>
      </c>
      <c r="BP62" s="263">
        <f t="shared" si="18"/>
        <v>0</v>
      </c>
      <c r="BQ62" s="203"/>
      <c r="BR62" s="262">
        <f>Parameters!$B$12*AG62</f>
        <v>102.77777777777779</v>
      </c>
      <c r="BS62" s="262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SUM(Distributievergoedingen!$F$12,Distributievergoedingen!$I$12,Distributievergoedingen!$L$12,Distributievergoedingen!$O$12)*AF62+SUM(Distributievergoedingen!$O$12*AA62+Distributievergoedingen!$R$12+Distributievergoedingen!$U$12+Distributievergoedingen!$X$12)/(MAX(36,12*L62))</f>
        <v>112.77777777777777</v>
      </c>
      <c r="BT62" s="262"/>
      <c r="BU62" s="150">
        <f t="shared" si="19"/>
        <v>215.55555555555554</v>
      </c>
      <c r="BW62" s="151">
        <f t="shared" si="20"/>
        <v>215.55555555555554</v>
      </c>
      <c r="BY62" s="140">
        <f t="shared" si="21"/>
        <v>812.22222222222229</v>
      </c>
      <c r="BZ62" s="141">
        <f t="shared" si="22"/>
        <v>0.7902702702702703</v>
      </c>
      <c r="CA62" s="142" t="b">
        <f t="shared" si="23"/>
        <v>0</v>
      </c>
    </row>
    <row r="63" spans="1:79">
      <c r="A63" s="160" t="str">
        <f t="shared" si="24"/>
        <v>2SA IPVPNAddnationaal8192/8192</v>
      </c>
      <c r="B63" s="142" t="str">
        <f t="shared" si="25"/>
        <v>2SA IPVPN8192/8192Add</v>
      </c>
      <c r="C63" s="198">
        <v>2</v>
      </c>
      <c r="D63" s="198" t="s">
        <v>93</v>
      </c>
      <c r="E63" s="198" t="s">
        <v>103</v>
      </c>
      <c r="F63" s="198" t="s">
        <v>115</v>
      </c>
      <c r="G63" s="199" t="s">
        <v>113</v>
      </c>
      <c r="H63" s="198" t="s">
        <v>94</v>
      </c>
      <c r="J63" s="142" t="str">
        <f t="shared" si="26"/>
        <v>SA IPVPN8192/8192Add</v>
      </c>
      <c r="L63" s="160">
        <f>INDEX(Mapping!$J:$J,MATCH(C$3&amp;C63,Mapping!$B:$B,0))</f>
        <v>1</v>
      </c>
      <c r="M63" s="179" t="str">
        <f>INDEX(Mapping!$H:$H,MATCH(D63&amp;H63&amp;$E63,Mapping!$B:$B,0))</f>
        <v>WBA ZM Ethernet</v>
      </c>
      <c r="N63" s="179" t="str">
        <f>INDEX(Mapping!$J:$J,MATCH(D63&amp;H63&amp;$E63,Mapping!$B:$B,0))</f>
        <v>premium</v>
      </c>
      <c r="O63" s="179" t="str">
        <f>INDEX(Mapping!$I:$I,MATCH($D63,Mapping!$B:$B,0))</f>
        <v>FttH</v>
      </c>
      <c r="P63" s="179" t="str">
        <f>INDEX(Mapping!$H:$H,MATCH($F63,Mapping!$B:$B,0))</f>
        <v>nvt</v>
      </c>
      <c r="Q63" s="283" t="str">
        <f>INDEX(Mapping!$K:$K,MATCH($D63&amp;$H63&amp;E63,Mapping!$B:$B,0))</f>
        <v>metro</v>
      </c>
      <c r="R63" s="179" t="str">
        <f>INDEX(Mapping!$I:$I,MATCH(D63&amp;H63&amp;$E63,Mapping!$B:$B,0))</f>
        <v>10 Mbps/10 Mbps</v>
      </c>
      <c r="S63" s="203"/>
      <c r="T63" s="283" t="str">
        <f>INDEX(Mapping!$L:$L,MATCH($D63&amp;$H63&amp;E63,Mapping!$B:$B,0))</f>
        <v>metro-nationaal</v>
      </c>
      <c r="U63" s="142" t="str">
        <f t="shared" si="27"/>
        <v>WBA ZM Ethernet10 Mbps/10 Mbpspremiummetro</v>
      </c>
      <c r="W63" s="160">
        <f>MATCH($J63,'Tarieven ZM'!$B:$B,0)</f>
        <v>90</v>
      </c>
      <c r="X63" s="148">
        <f>INDEX('Tarieven ZM'!$H:$H,$W63)</f>
        <v>1000</v>
      </c>
      <c r="Y63" s="161">
        <f>-INDEX(Parameters!$B:$B,MATCH(Y$3,Parameters!$A:$A,0))*$X63</f>
        <v>0</v>
      </c>
      <c r="Z63" s="149">
        <f>-INDEX(Parameters!$B:$B,MATCH(Z$3,Parameters!$A:$A,0))*$X63</f>
        <v>0</v>
      </c>
      <c r="AA63" s="148">
        <f t="shared" si="28"/>
        <v>1000</v>
      </c>
      <c r="AB63" s="148">
        <f>AA63/INDEX(Parameters!$B:$B,MATCH("AfschrijftermijnVVE"&amp;12*$C63,Parameters!$A:$A,0))</f>
        <v>27.777777777777779</v>
      </c>
      <c r="AC63" s="148">
        <f>INDEX('Tarieven ZM'!$G:$G,$W63)</f>
        <v>1000</v>
      </c>
      <c r="AD63" s="161">
        <f>-INDEX(Parameters!$B:$B,MATCH(AD$3,Parameters!$A:$A,0))*$AC63</f>
        <v>0</v>
      </c>
      <c r="AE63" s="161">
        <f>-INDEX(Parameters!$B:$B,MATCH(AE$3,Parameters!$A:$A,0))*$AC63</f>
        <v>0</v>
      </c>
      <c r="AF63" s="148">
        <f t="shared" si="29"/>
        <v>1000</v>
      </c>
      <c r="AG63" s="151">
        <f t="shared" si="30"/>
        <v>1027.7777777777778</v>
      </c>
      <c r="AH63" s="123"/>
      <c r="AI63" s="147">
        <f>IF(R63&lt;&gt;"n.a.",MATCH($U63,'Tarieven W&amp;O'!$B:$B,0),"nvt")</f>
        <v>141</v>
      </c>
      <c r="AJ63" s="148">
        <f>IF(AI63&lt;&gt;"nvt",INDEX('Tarieven W&amp;O'!$H:$H,$AI63),0)</f>
        <v>0</v>
      </c>
      <c r="AK63" s="148">
        <f>IF(AI63&lt;&gt;"nvt",INDEX('Tarieven W&amp;O'!$I:$I,$AI63),0)</f>
        <v>5</v>
      </c>
      <c r="AL63" s="277">
        <f>IF(AI63&lt;&gt;"nvt",-INDEX(Parameters!$B:$B,MATCH(AL$3&amp;$M63,Parameters!$A:$A,0))*(AJ63+AK63),0)</f>
        <v>0</v>
      </c>
      <c r="AM63" s="442"/>
      <c r="AN63" s="179">
        <f t="shared" si="31"/>
        <v>5</v>
      </c>
      <c r="AO63" s="262">
        <f>AN63/INDEX(Parameters!$B:$B,MATCH("AfschrijftermijnVVE"&amp;12*$C63,Parameters!$A:$A,0))</f>
        <v>0.1388888888888889</v>
      </c>
      <c r="AP63" s="179">
        <f t="shared" si="32"/>
        <v>141</v>
      </c>
      <c r="AQ63" s="202">
        <f>IF(AP63&lt;&gt;"nvt",INDEX('Tarieven W&amp;O'!$G:$G,$AP63),0)</f>
        <v>26.28</v>
      </c>
      <c r="AR63" s="463">
        <f>-INDEX(Parameters!$B:$B,MATCH(AR$3&amp;$M63&amp;O63,Parameters!$A:$A,0))*(AQ63)</f>
        <v>0</v>
      </c>
      <c r="AS63" s="262">
        <v>0</v>
      </c>
      <c r="AT63" s="442">
        <f>IF(M63="WBA CM Ethernet",0,'EDC Minus'!$H$27)</f>
        <v>1</v>
      </c>
      <c r="AU63" s="202">
        <f t="shared" si="33"/>
        <v>27.28</v>
      </c>
      <c r="AV63" s="202">
        <f t="shared" si="34"/>
        <v>27.41888888888889</v>
      </c>
      <c r="AW63" s="202"/>
      <c r="AX63" s="202">
        <f>Parameters!$B$6*AV63</f>
        <v>0.27418888888888893</v>
      </c>
      <c r="AY63" s="202">
        <v>0</v>
      </c>
      <c r="AZ63" s="202"/>
      <c r="BA63" s="150">
        <f t="shared" si="16"/>
        <v>0.27418888888888893</v>
      </c>
      <c r="BB63" s="150"/>
      <c r="BC63" s="151">
        <f t="shared" si="17"/>
        <v>27.693077777777781</v>
      </c>
      <c r="BD63" s="123"/>
      <c r="BE63" s="140">
        <f t="shared" si="36"/>
        <v>1000.0847</v>
      </c>
      <c r="BF63" s="141">
        <f t="shared" si="37"/>
        <v>0.97305538378378376</v>
      </c>
      <c r="BG63" s="142" t="b">
        <f t="shared" si="35"/>
        <v>0</v>
      </c>
      <c r="BH63" s="148"/>
      <c r="BI63" s="188" t="s">
        <v>539</v>
      </c>
      <c r="BJ63" s="189"/>
      <c r="BK63">
        <f>VLOOKUP(J63,'Tarieven ZM'!$B$7:$I$146,8,0)</f>
        <v>0</v>
      </c>
      <c r="BL63" s="179" t="str">
        <f>INDEX(Mapping!$M:$M,MATCH($J63,Mapping!$B:$B,0))</f>
        <v>nvt</v>
      </c>
      <c r="BM63" s="282">
        <v>0</v>
      </c>
      <c r="BN63" s="262">
        <f>BM63/INDEX(Parameters!$B:$B,MATCH("AfschrijftermijnVVE"&amp;12*$C63,Parameters!$A:$A,0))</f>
        <v>0</v>
      </c>
      <c r="BO63" s="262">
        <f>AS63+INDEX('inkoop ULL tbv Epacity'!I:I,MATCH($BL63,'inkoop ULL tbv Epacity'!H:H,0))</f>
        <v>0</v>
      </c>
      <c r="BP63" s="263">
        <f t="shared" si="18"/>
        <v>0</v>
      </c>
      <c r="BQ63" s="203"/>
      <c r="BR63" s="262">
        <f>Parameters!$B$12*AG63</f>
        <v>102.77777777777779</v>
      </c>
      <c r="BS63" s="262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SUM(Distributievergoedingen!$F$12,Distributievergoedingen!$I$12,Distributievergoedingen!$L$12,Distributievergoedingen!$O$12)*AF63+SUM(Distributievergoedingen!$O$12*AA63+Distributievergoedingen!$R$12+Distributievergoedingen!$U$12+Distributievergoedingen!$X$12)/(MAX(36,12*L63))</f>
        <v>112.77777777777777</v>
      </c>
      <c r="BT63" s="262"/>
      <c r="BU63" s="150">
        <f t="shared" si="19"/>
        <v>215.55555555555554</v>
      </c>
      <c r="BW63" s="151">
        <f t="shared" si="20"/>
        <v>215.55555555555554</v>
      </c>
      <c r="BY63" s="140">
        <f t="shared" si="21"/>
        <v>812.22222222222229</v>
      </c>
      <c r="BZ63" s="141">
        <f t="shared" si="22"/>
        <v>0.7902702702702703</v>
      </c>
      <c r="CA63" s="142" t="b">
        <f t="shared" si="23"/>
        <v>0</v>
      </c>
    </row>
    <row r="64" spans="1:79">
      <c r="A64" s="160" t="str">
        <f t="shared" ref="A64:A93" si="38">C64&amp;D64&amp;E64&amp;G64&amp;H64</f>
        <v>3ADSLAddnationaal128/128</v>
      </c>
      <c r="B64" s="142" t="str">
        <f t="shared" ref="B64:B93" si="39">C64&amp;D64&amp;H64&amp;E64</f>
        <v>3ADSL128/128Add</v>
      </c>
      <c r="C64" s="198">
        <v>3</v>
      </c>
      <c r="D64" s="198" t="s">
        <v>42</v>
      </c>
      <c r="E64" s="198" t="s">
        <v>103</v>
      </c>
      <c r="F64" s="198" t="s">
        <v>115</v>
      </c>
      <c r="G64" s="199" t="s">
        <v>113</v>
      </c>
      <c r="H64" s="198" t="s">
        <v>43</v>
      </c>
      <c r="J64" s="142" t="str">
        <f t="shared" ref="J64:J93" si="40">D64&amp;H64&amp;E64</f>
        <v>ADSL128/128Add</v>
      </c>
      <c r="L64" s="160">
        <f>INDEX(Mapping!$J:$J,MATCH(C$3&amp;C64,Mapping!$B:$B,0))</f>
        <v>1</v>
      </c>
      <c r="M64" s="179" t="str">
        <f>INDEX(Mapping!$H:$H,MATCH(D64&amp;H64&amp;$E64,Mapping!$B:$B,0))</f>
        <v>WBA CM Ethernet</v>
      </c>
      <c r="N64" s="179" t="str">
        <f>INDEX(Mapping!$J:$J,MATCH(D64&amp;H64&amp;$E64,Mapping!$B:$B,0))</f>
        <v>add</v>
      </c>
      <c r="O64" s="179" t="str">
        <f>INDEX(Mapping!$I:$I,MATCH($D64,Mapping!$B:$B,0))</f>
        <v>ADSL</v>
      </c>
      <c r="P64" s="179" t="str">
        <f>INDEX(Mapping!$H:$H,MATCH($F64,Mapping!$B:$B,0))</f>
        <v>nvt</v>
      </c>
      <c r="Q64" s="283" t="str">
        <f>INDEX(Mapping!$K:$K,MATCH($D64&amp;$H64&amp;E64,Mapping!$B:$B,0))</f>
        <v>national</v>
      </c>
      <c r="R64" s="179" t="str">
        <f>INDEX(Mapping!$I:$I,MATCH(D64&amp;H64&amp;$E64,Mapping!$B:$B,0))</f>
        <v>&lt;=256 kbps/&lt;=256 kbps</v>
      </c>
      <c r="S64" s="203"/>
      <c r="T64" s="283" t="str">
        <f>INDEX(Mapping!$L:$L,MATCH($D64&amp;$H64&amp;E64,Mapping!$B:$B,0))</f>
        <v>nvt</v>
      </c>
      <c r="U64" s="142" t="str">
        <f t="shared" ref="U64:U93" si="41">M64&amp;R64&amp;N64&amp;Q64</f>
        <v>WBA CM Ethernet&lt;=256 kbps/&lt;=256 kbpsaddnational</v>
      </c>
      <c r="W64" s="160">
        <f>MATCH($J64,'Tarieven ZM'!$B:$B,0)</f>
        <v>61</v>
      </c>
      <c r="X64" s="148">
        <f>INDEX('Tarieven ZM'!$H:$H,$W64)</f>
        <v>1000</v>
      </c>
      <c r="Y64" s="161">
        <f>-INDEX(Parameters!$B:$B,MATCH(Y$3,Parameters!$A:$A,0))*$X64</f>
        <v>0</v>
      </c>
      <c r="Z64" s="149">
        <f>-INDEX(Parameters!$B:$B,MATCH(Z$3,Parameters!$A:$A,0))*$X64</f>
        <v>0</v>
      </c>
      <c r="AA64" s="148">
        <f t="shared" ref="AA64:AA93" si="42">SUM(X64:Z64)</f>
        <v>1000</v>
      </c>
      <c r="AB64" s="148">
        <f>AA64/INDEX(Parameters!$B:$B,MATCH("AfschrijftermijnVVE"&amp;12*$C64,Parameters!$A:$A,0))</f>
        <v>27.777777777777779</v>
      </c>
      <c r="AC64" s="148">
        <f>INDEX('Tarieven ZM'!$G:$G,$W64)</f>
        <v>1000</v>
      </c>
      <c r="AD64" s="161">
        <f>-INDEX(Parameters!$B:$B,MATCH(AD$3,Parameters!$A:$A,0))*$AC64</f>
        <v>0</v>
      </c>
      <c r="AE64" s="161">
        <f>-INDEX(Parameters!$B:$B,MATCH(AE$3,Parameters!$A:$A,0))*$AC64</f>
        <v>0</v>
      </c>
      <c r="AF64" s="148">
        <f t="shared" ref="AF64:AF93" si="43">SUM(AC64:AE64)</f>
        <v>1000</v>
      </c>
      <c r="AG64" s="151">
        <f t="shared" ref="AG64:AG93" si="44">SUM(AB64,AF64)</f>
        <v>1027.7777777777778</v>
      </c>
      <c r="AH64" s="123"/>
      <c r="AI64" s="147">
        <f>IF(R64&lt;&gt;"n.a.",MATCH($U64,'Tarieven W&amp;O'!$B:$B,0),"nvt")</f>
        <v>134</v>
      </c>
      <c r="AJ64" s="148">
        <f>IF(AI64&lt;&gt;"nvt",INDEX('Tarieven W&amp;O'!$H:$H,$AI64),0)</f>
        <v>0</v>
      </c>
      <c r="AK64" s="148">
        <f>IF(AI64&lt;&gt;"nvt",INDEX('Tarieven W&amp;O'!$I:$I,$AI64),0)</f>
        <v>5</v>
      </c>
      <c r="AL64" s="277">
        <f>IF(AI64&lt;&gt;"nvt",-INDEX(Parameters!$B:$B,MATCH(AL$3&amp;$M64,Parameters!$A:$A,0))*(AJ64+AK64),0)</f>
        <v>0</v>
      </c>
      <c r="AM64" s="442"/>
      <c r="AN64" s="179">
        <f t="shared" ref="AN64:AN93" si="45">SUM(AJ64:AM64)</f>
        <v>5</v>
      </c>
      <c r="AO64" s="262">
        <f>AN64/INDEX(Parameters!$B:$B,MATCH("AfschrijftermijnVVE"&amp;12*$C64,Parameters!$A:$A,0))</f>
        <v>0.1388888888888889</v>
      </c>
      <c r="AP64" s="179">
        <f t="shared" ref="AP64:AP93" si="46">AI64</f>
        <v>134</v>
      </c>
      <c r="AQ64" s="202">
        <f>IF(AP64&lt;&gt;"nvt",INDEX('Tarieven W&amp;O'!$G:$G,$AP64),0)</f>
        <v>1E-4</v>
      </c>
      <c r="AR64" s="463">
        <f>-INDEX(Parameters!$B:$B,MATCH(AR$3&amp;$M64&amp;O64,Parameters!$A:$A,0))*(AQ64)</f>
        <v>-1.0000000000000001E-5</v>
      </c>
      <c r="AS64" s="262">
        <v>0</v>
      </c>
      <c r="AT64" s="442">
        <f>IF(M64="WBA CM Ethernet",0,'EDC Minus'!$H$27)</f>
        <v>0</v>
      </c>
      <c r="AU64" s="202">
        <f t="shared" ref="AU64:AU93" si="47">SUM(AQ64:AT64)</f>
        <v>9.0000000000000006E-5</v>
      </c>
      <c r="AV64" s="202">
        <f t="shared" ref="AV64:AV93" si="48">SUM(AO64,AU64)</f>
        <v>0.1389788888888889</v>
      </c>
      <c r="AW64" s="202"/>
      <c r="AX64" s="202">
        <f>Parameters!$B$6*AV64</f>
        <v>1.389788888888889E-3</v>
      </c>
      <c r="AY64" s="202">
        <v>0</v>
      </c>
      <c r="AZ64" s="202"/>
      <c r="BA64" s="150">
        <f t="shared" si="16"/>
        <v>1.389788888888889E-3</v>
      </c>
      <c r="BB64" s="150"/>
      <c r="BC64" s="151">
        <f t="shared" si="17"/>
        <v>0.14036867777777778</v>
      </c>
      <c r="BD64" s="123"/>
      <c r="BE64" s="140">
        <f t="shared" si="36"/>
        <v>1027.6374091</v>
      </c>
      <c r="BF64" s="141">
        <f t="shared" si="37"/>
        <v>0.99986342507027026</v>
      </c>
      <c r="BG64" s="142" t="b">
        <f t="shared" ref="BG64:BG93" si="49">BF64&lt;0</f>
        <v>0</v>
      </c>
      <c r="BH64" s="148"/>
      <c r="BI64" s="188" t="s">
        <v>539</v>
      </c>
      <c r="BJ64" s="189"/>
      <c r="BK64">
        <f>VLOOKUP(J64,'Tarieven ZM'!$B$7:$I$146,8,0)</f>
        <v>0</v>
      </c>
      <c r="BL64" s="179" t="str">
        <f>INDEX(Mapping!$M:$M,MATCH($J64,Mapping!$B:$B,0))</f>
        <v>nvt</v>
      </c>
      <c r="BM64" s="282">
        <v>0</v>
      </c>
      <c r="BN64" s="262">
        <f>BM64/INDEX(Parameters!$B:$B,MATCH("AfschrijftermijnVVE"&amp;12*$C64,Parameters!$A:$A,0))</f>
        <v>0</v>
      </c>
      <c r="BO64" s="262">
        <f>AS64+INDEX('inkoop ULL tbv Epacity'!I:I,MATCH($BL64,'inkoop ULL tbv Epacity'!H:H,0))</f>
        <v>0</v>
      </c>
      <c r="BP64" s="263">
        <f t="shared" si="18"/>
        <v>0</v>
      </c>
      <c r="BQ64" s="203"/>
      <c r="BR64" s="262">
        <f>Parameters!$B$12*AG64</f>
        <v>102.77777777777779</v>
      </c>
      <c r="BS64" s="262">
        <f>SUM(Distributievergoedingen!$F$12,Distributievergoedingen!$I$12,Distributievergoedingen!$L$12,Distributievergoedingen!$O$12)*AF64+SUM(Distributievergoedingen!$O$12*AA64+Distributievergoedingen!$R$12+Distributievergoedingen!$U$12+Distributievergoedingen!$X$12)/(MAX(36,12*L64))</f>
        <v>112.77777777777777</v>
      </c>
      <c r="BT64" s="262"/>
      <c r="BU64" s="150">
        <f t="shared" si="19"/>
        <v>215.55555555555554</v>
      </c>
      <c r="BW64" s="151">
        <f t="shared" si="20"/>
        <v>215.55555555555554</v>
      </c>
      <c r="BY64" s="140">
        <f t="shared" si="21"/>
        <v>812.22222222222229</v>
      </c>
      <c r="BZ64" s="141">
        <f t="shared" si="22"/>
        <v>0.7902702702702703</v>
      </c>
      <c r="CA64" s="142" t="b">
        <f t="shared" si="23"/>
        <v>0</v>
      </c>
    </row>
    <row r="65" spans="1:79">
      <c r="A65" s="160" t="str">
        <f t="shared" si="38"/>
        <v>3ADSLAddnationaal200/200</v>
      </c>
      <c r="B65" s="142" t="str">
        <f t="shared" si="39"/>
        <v>3ADSL200/200Add</v>
      </c>
      <c r="C65" s="198">
        <v>3</v>
      </c>
      <c r="D65" s="198" t="s">
        <v>42</v>
      </c>
      <c r="E65" s="198" t="s">
        <v>103</v>
      </c>
      <c r="F65" s="198" t="s">
        <v>115</v>
      </c>
      <c r="G65" s="199" t="s">
        <v>113</v>
      </c>
      <c r="H65" s="198" t="s">
        <v>106</v>
      </c>
      <c r="J65" s="142" t="str">
        <f t="shared" si="40"/>
        <v>ADSL200/200Add</v>
      </c>
      <c r="L65" s="160">
        <f>INDEX(Mapping!$J:$J,MATCH(C$3&amp;C65,Mapping!$B:$B,0))</f>
        <v>1</v>
      </c>
      <c r="M65" s="179" t="str">
        <f>INDEX(Mapping!$H:$H,MATCH(D65&amp;H65&amp;$E65,Mapping!$B:$B,0))</f>
        <v>WBA CM Ethernet</v>
      </c>
      <c r="N65" s="179" t="str">
        <f>INDEX(Mapping!$J:$J,MATCH(D65&amp;H65&amp;$E65,Mapping!$B:$B,0))</f>
        <v>add</v>
      </c>
      <c r="O65" s="179" t="str">
        <f>INDEX(Mapping!$I:$I,MATCH($D65,Mapping!$B:$B,0))</f>
        <v>ADSL</v>
      </c>
      <c r="P65" s="179" t="str">
        <f>INDEX(Mapping!$H:$H,MATCH($F65,Mapping!$B:$B,0))</f>
        <v>nvt</v>
      </c>
      <c r="Q65" s="283" t="str">
        <f>INDEX(Mapping!$K:$K,MATCH($D65&amp;$H65&amp;E65,Mapping!$B:$B,0))</f>
        <v>national</v>
      </c>
      <c r="R65" s="179" t="str">
        <f>INDEX(Mapping!$I:$I,MATCH(D65&amp;H65&amp;$E65,Mapping!$B:$B,0))</f>
        <v>&lt;=256 kbps/&lt;=256 kbps</v>
      </c>
      <c r="S65" s="203"/>
      <c r="T65" s="283" t="str">
        <f>INDEX(Mapping!$L:$L,MATCH($D65&amp;$H65&amp;E65,Mapping!$B:$B,0))</f>
        <v>nvt</v>
      </c>
      <c r="U65" s="142" t="str">
        <f t="shared" si="41"/>
        <v>WBA CM Ethernet&lt;=256 kbps/&lt;=256 kbpsaddnational</v>
      </c>
      <c r="W65" s="160">
        <f>MATCH($J65,'Tarieven ZM'!$B:$B,0)</f>
        <v>62</v>
      </c>
      <c r="X65" s="148">
        <f>INDEX('Tarieven ZM'!$H:$H,$W65)</f>
        <v>1000</v>
      </c>
      <c r="Y65" s="161">
        <f>-INDEX(Parameters!$B:$B,MATCH(Y$3,Parameters!$A:$A,0))*$X65</f>
        <v>0</v>
      </c>
      <c r="Z65" s="149">
        <f>-INDEX(Parameters!$B:$B,MATCH(Z$3,Parameters!$A:$A,0))*$X65</f>
        <v>0</v>
      </c>
      <c r="AA65" s="148">
        <f t="shared" si="42"/>
        <v>1000</v>
      </c>
      <c r="AB65" s="148">
        <f>AA65/INDEX(Parameters!$B:$B,MATCH("AfschrijftermijnVVE"&amp;12*$C65,Parameters!$A:$A,0))</f>
        <v>27.777777777777779</v>
      </c>
      <c r="AC65" s="148">
        <f>INDEX('Tarieven ZM'!$G:$G,$W65)</f>
        <v>1000</v>
      </c>
      <c r="AD65" s="161">
        <f>-INDEX(Parameters!$B:$B,MATCH(AD$3,Parameters!$A:$A,0))*$AC65</f>
        <v>0</v>
      </c>
      <c r="AE65" s="161">
        <f>-INDEX(Parameters!$B:$B,MATCH(AE$3,Parameters!$A:$A,0))*$AC65</f>
        <v>0</v>
      </c>
      <c r="AF65" s="148">
        <f t="shared" si="43"/>
        <v>1000</v>
      </c>
      <c r="AG65" s="151">
        <f t="shared" si="44"/>
        <v>1027.7777777777778</v>
      </c>
      <c r="AH65" s="123"/>
      <c r="AI65" s="147">
        <f>IF(R65&lt;&gt;"n.a.",MATCH($U65,'Tarieven W&amp;O'!$B:$B,0),"nvt")</f>
        <v>134</v>
      </c>
      <c r="AJ65" s="148">
        <f>IF(AI65&lt;&gt;"nvt",INDEX('Tarieven W&amp;O'!$H:$H,$AI65),0)</f>
        <v>0</v>
      </c>
      <c r="AK65" s="148">
        <f>IF(AI65&lt;&gt;"nvt",INDEX('Tarieven W&amp;O'!$I:$I,$AI65),0)</f>
        <v>5</v>
      </c>
      <c r="AL65" s="277">
        <f>IF(AI65&lt;&gt;"nvt",-INDEX(Parameters!$B:$B,MATCH(AL$3&amp;$M65,Parameters!$A:$A,0))*(AJ65+AK65),0)</f>
        <v>0</v>
      </c>
      <c r="AM65" s="442"/>
      <c r="AN65" s="179">
        <f t="shared" si="45"/>
        <v>5</v>
      </c>
      <c r="AO65" s="262">
        <f>AN65/INDEX(Parameters!$B:$B,MATCH("AfschrijftermijnVVE"&amp;12*$C65,Parameters!$A:$A,0))</f>
        <v>0.1388888888888889</v>
      </c>
      <c r="AP65" s="179">
        <f t="shared" si="46"/>
        <v>134</v>
      </c>
      <c r="AQ65" s="202">
        <f>IF(AP65&lt;&gt;"nvt",INDEX('Tarieven W&amp;O'!$G:$G,$AP65),0)</f>
        <v>1E-4</v>
      </c>
      <c r="AR65" s="463">
        <f>-INDEX(Parameters!$B:$B,MATCH(AR$3&amp;$M65&amp;O65,Parameters!$A:$A,0))*(AQ65)</f>
        <v>-1.0000000000000001E-5</v>
      </c>
      <c r="AS65" s="262">
        <v>0</v>
      </c>
      <c r="AT65" s="442">
        <f>IF(M65="WBA CM Ethernet",0,'EDC Minus'!$H$27)</f>
        <v>0</v>
      </c>
      <c r="AU65" s="202">
        <f t="shared" si="47"/>
        <v>9.0000000000000006E-5</v>
      </c>
      <c r="AV65" s="202">
        <f t="shared" si="48"/>
        <v>0.1389788888888889</v>
      </c>
      <c r="AW65" s="202"/>
      <c r="AX65" s="202">
        <f>Parameters!$B$6*AV65</f>
        <v>1.389788888888889E-3</v>
      </c>
      <c r="AY65" s="202">
        <v>0</v>
      </c>
      <c r="AZ65" s="202"/>
      <c r="BA65" s="150">
        <f t="shared" si="16"/>
        <v>1.389788888888889E-3</v>
      </c>
      <c r="BB65" s="150"/>
      <c r="BC65" s="151">
        <f t="shared" si="17"/>
        <v>0.14036867777777778</v>
      </c>
      <c r="BD65" s="123"/>
      <c r="BE65" s="140">
        <f t="shared" si="36"/>
        <v>1027.6374091</v>
      </c>
      <c r="BF65" s="141">
        <f t="shared" si="37"/>
        <v>0.99986342507027026</v>
      </c>
      <c r="BG65" s="142" t="b">
        <f t="shared" si="49"/>
        <v>0</v>
      </c>
      <c r="BH65" s="148"/>
      <c r="BI65" s="188" t="s">
        <v>539</v>
      </c>
      <c r="BJ65" s="189"/>
      <c r="BK65">
        <f>VLOOKUP(J65,'Tarieven ZM'!$B$7:$I$146,8,0)</f>
        <v>0</v>
      </c>
      <c r="BL65" s="179" t="str">
        <f>INDEX(Mapping!$M:$M,MATCH($J65,Mapping!$B:$B,0))</f>
        <v>nvt</v>
      </c>
      <c r="BM65" s="282">
        <v>0</v>
      </c>
      <c r="BN65" s="262">
        <f>BM65/INDEX(Parameters!$B:$B,MATCH("AfschrijftermijnVVE"&amp;12*$C65,Parameters!$A:$A,0))</f>
        <v>0</v>
      </c>
      <c r="BO65" s="262">
        <f>AS65+INDEX('inkoop ULL tbv Epacity'!I:I,MATCH($BL65,'inkoop ULL tbv Epacity'!H:H,0))</f>
        <v>0</v>
      </c>
      <c r="BP65" s="263">
        <f t="shared" si="18"/>
        <v>0</v>
      </c>
      <c r="BQ65" s="203"/>
      <c r="BR65" s="262">
        <f>Parameters!$B$12*AG65</f>
        <v>102.77777777777779</v>
      </c>
      <c r="BS65" s="262">
        <f>SUM(Distributievergoedingen!$F$12,Distributievergoedingen!$I$12,Distributievergoedingen!$L$12,Distributievergoedingen!$O$12)*AF65+SUM(Distributievergoedingen!$O$12*AA65+Distributievergoedingen!$R$12+Distributievergoedingen!$U$12+Distributievergoedingen!$X$12)/(MAX(36,12*L65))</f>
        <v>112.77777777777777</v>
      </c>
      <c r="BT65" s="262"/>
      <c r="BU65" s="150">
        <f t="shared" si="19"/>
        <v>215.55555555555554</v>
      </c>
      <c r="BW65" s="151">
        <f t="shared" si="20"/>
        <v>215.55555555555554</v>
      </c>
      <c r="BY65" s="140">
        <f t="shared" si="21"/>
        <v>812.22222222222229</v>
      </c>
      <c r="BZ65" s="141">
        <f t="shared" si="22"/>
        <v>0.7902702702702703</v>
      </c>
      <c r="CA65" s="142" t="b">
        <f t="shared" si="23"/>
        <v>0</v>
      </c>
    </row>
    <row r="66" spans="1:79">
      <c r="A66" s="160" t="str">
        <f t="shared" si="38"/>
        <v>3ADSLAddnationaal224/224</v>
      </c>
      <c r="B66" s="142" t="str">
        <f t="shared" si="39"/>
        <v>3ADSL224/224Add</v>
      </c>
      <c r="C66" s="198">
        <v>3</v>
      </c>
      <c r="D66" s="198" t="s">
        <v>42</v>
      </c>
      <c r="E66" s="198" t="s">
        <v>103</v>
      </c>
      <c r="F66" s="198" t="s">
        <v>115</v>
      </c>
      <c r="G66" s="199" t="s">
        <v>113</v>
      </c>
      <c r="H66" s="198" t="s">
        <v>107</v>
      </c>
      <c r="J66" s="142" t="str">
        <f t="shared" si="40"/>
        <v>ADSL224/224Add</v>
      </c>
      <c r="L66" s="160">
        <f>INDEX(Mapping!$J:$J,MATCH(C$3&amp;C66,Mapping!$B:$B,0))</f>
        <v>1</v>
      </c>
      <c r="M66" s="179" t="str">
        <f>INDEX(Mapping!$H:$H,MATCH(D66&amp;H66&amp;$E66,Mapping!$B:$B,0))</f>
        <v>WBA CM Ethernet</v>
      </c>
      <c r="N66" s="179" t="str">
        <f>INDEX(Mapping!$J:$J,MATCH(D66&amp;H66&amp;$E66,Mapping!$B:$B,0))</f>
        <v>add</v>
      </c>
      <c r="O66" s="179" t="str">
        <f>INDEX(Mapping!$I:$I,MATCH($D66,Mapping!$B:$B,0))</f>
        <v>ADSL</v>
      </c>
      <c r="P66" s="179" t="str">
        <f>INDEX(Mapping!$H:$H,MATCH($F66,Mapping!$B:$B,0))</f>
        <v>nvt</v>
      </c>
      <c r="Q66" s="283" t="str">
        <f>INDEX(Mapping!$K:$K,MATCH($D66&amp;$H66&amp;E66,Mapping!$B:$B,0))</f>
        <v>national</v>
      </c>
      <c r="R66" s="179" t="str">
        <f>INDEX(Mapping!$I:$I,MATCH(D66&amp;H66&amp;$E66,Mapping!$B:$B,0))</f>
        <v>&lt;=256 kbps/&lt;=256 kbps</v>
      </c>
      <c r="S66" s="203"/>
      <c r="T66" s="283" t="str">
        <f>INDEX(Mapping!$L:$L,MATCH($D66&amp;$H66&amp;E66,Mapping!$B:$B,0))</f>
        <v>nvt</v>
      </c>
      <c r="U66" s="142" t="str">
        <f t="shared" si="41"/>
        <v>WBA CM Ethernet&lt;=256 kbps/&lt;=256 kbpsaddnational</v>
      </c>
      <c r="W66" s="160">
        <f>MATCH($J66,'Tarieven ZM'!$B:$B,0)</f>
        <v>63</v>
      </c>
      <c r="X66" s="148">
        <f>INDEX('Tarieven ZM'!$H:$H,$W66)</f>
        <v>1000</v>
      </c>
      <c r="Y66" s="161">
        <f>-INDEX(Parameters!$B:$B,MATCH(Y$3,Parameters!$A:$A,0))*$X66</f>
        <v>0</v>
      </c>
      <c r="Z66" s="149">
        <f>-INDEX(Parameters!$B:$B,MATCH(Z$3,Parameters!$A:$A,0))*$X66</f>
        <v>0</v>
      </c>
      <c r="AA66" s="148">
        <f t="shared" si="42"/>
        <v>1000</v>
      </c>
      <c r="AB66" s="148">
        <f>AA66/INDEX(Parameters!$B:$B,MATCH("AfschrijftermijnVVE"&amp;12*$C66,Parameters!$A:$A,0))</f>
        <v>27.777777777777779</v>
      </c>
      <c r="AC66" s="148">
        <f>INDEX('Tarieven ZM'!$G:$G,$W66)</f>
        <v>1000</v>
      </c>
      <c r="AD66" s="161">
        <f>-INDEX(Parameters!$B:$B,MATCH(AD$3,Parameters!$A:$A,0))*$AC66</f>
        <v>0</v>
      </c>
      <c r="AE66" s="161">
        <f>-INDEX(Parameters!$B:$B,MATCH(AE$3,Parameters!$A:$A,0))*$AC66</f>
        <v>0</v>
      </c>
      <c r="AF66" s="148">
        <f t="shared" si="43"/>
        <v>1000</v>
      </c>
      <c r="AG66" s="151">
        <f t="shared" si="44"/>
        <v>1027.7777777777778</v>
      </c>
      <c r="AH66" s="123"/>
      <c r="AI66" s="147">
        <f>IF(R66&lt;&gt;"n.a.",MATCH($U66,'Tarieven W&amp;O'!$B:$B,0),"nvt")</f>
        <v>134</v>
      </c>
      <c r="AJ66" s="148">
        <f>IF(AI66&lt;&gt;"nvt",INDEX('Tarieven W&amp;O'!$H:$H,$AI66),0)</f>
        <v>0</v>
      </c>
      <c r="AK66" s="148">
        <f>IF(AI66&lt;&gt;"nvt",INDEX('Tarieven W&amp;O'!$I:$I,$AI66),0)</f>
        <v>5</v>
      </c>
      <c r="AL66" s="277">
        <f>IF(AI66&lt;&gt;"nvt",-INDEX(Parameters!$B:$B,MATCH(AL$3&amp;$M66,Parameters!$A:$A,0))*(AJ66+AK66),0)</f>
        <v>0</v>
      </c>
      <c r="AM66" s="442"/>
      <c r="AN66" s="179">
        <f t="shared" si="45"/>
        <v>5</v>
      </c>
      <c r="AO66" s="262">
        <f>AN66/INDEX(Parameters!$B:$B,MATCH("AfschrijftermijnVVE"&amp;12*$C66,Parameters!$A:$A,0))</f>
        <v>0.1388888888888889</v>
      </c>
      <c r="AP66" s="179">
        <f t="shared" si="46"/>
        <v>134</v>
      </c>
      <c r="AQ66" s="202">
        <f>IF(AP66&lt;&gt;"nvt",INDEX('Tarieven W&amp;O'!$G:$G,$AP66),0)</f>
        <v>1E-4</v>
      </c>
      <c r="AR66" s="463">
        <f>-INDEX(Parameters!$B:$B,MATCH(AR$3&amp;$M66&amp;O66,Parameters!$A:$A,0))*(AQ66)</f>
        <v>-1.0000000000000001E-5</v>
      </c>
      <c r="AS66" s="262">
        <v>0</v>
      </c>
      <c r="AT66" s="442">
        <f>IF(M66="WBA CM Ethernet",0,'EDC Minus'!$H$27)</f>
        <v>0</v>
      </c>
      <c r="AU66" s="202">
        <f t="shared" si="47"/>
        <v>9.0000000000000006E-5</v>
      </c>
      <c r="AV66" s="202">
        <f t="shared" si="48"/>
        <v>0.1389788888888889</v>
      </c>
      <c r="AW66" s="202"/>
      <c r="AX66" s="202">
        <f>Parameters!$B$6*AV66</f>
        <v>1.389788888888889E-3</v>
      </c>
      <c r="AY66" s="202">
        <v>0</v>
      </c>
      <c r="AZ66" s="202"/>
      <c r="BA66" s="150">
        <f t="shared" si="16"/>
        <v>1.389788888888889E-3</v>
      </c>
      <c r="BB66" s="150"/>
      <c r="BC66" s="151">
        <f t="shared" si="17"/>
        <v>0.14036867777777778</v>
      </c>
      <c r="BD66" s="123"/>
      <c r="BE66" s="140">
        <f t="shared" si="36"/>
        <v>1027.6374091</v>
      </c>
      <c r="BF66" s="141">
        <f t="shared" si="37"/>
        <v>0.99986342507027026</v>
      </c>
      <c r="BG66" s="142" t="b">
        <f t="shared" si="49"/>
        <v>0</v>
      </c>
      <c r="BH66" s="148"/>
      <c r="BI66" s="188" t="s">
        <v>539</v>
      </c>
      <c r="BJ66" s="189"/>
      <c r="BK66">
        <f>VLOOKUP(J66,'Tarieven ZM'!$B$7:$I$146,8,0)</f>
        <v>0</v>
      </c>
      <c r="BL66" s="179" t="str">
        <f>INDEX(Mapping!$M:$M,MATCH($J66,Mapping!$B:$B,0))</f>
        <v>nvt</v>
      </c>
      <c r="BM66" s="282">
        <v>0</v>
      </c>
      <c r="BN66" s="262">
        <f>BM66/INDEX(Parameters!$B:$B,MATCH("AfschrijftermijnVVE"&amp;12*$C66,Parameters!$A:$A,0))</f>
        <v>0</v>
      </c>
      <c r="BO66" s="262">
        <f>AS66+INDEX('inkoop ULL tbv Epacity'!I:I,MATCH($BL66,'inkoop ULL tbv Epacity'!H:H,0))</f>
        <v>0</v>
      </c>
      <c r="BP66" s="263">
        <f t="shared" si="18"/>
        <v>0</v>
      </c>
      <c r="BQ66" s="203"/>
      <c r="BR66" s="262">
        <f>Parameters!$B$12*AG66</f>
        <v>102.77777777777779</v>
      </c>
      <c r="BS66" s="262">
        <f>SUM(Distributievergoedingen!$F$12,Distributievergoedingen!$I$12,Distributievergoedingen!$L$12,Distributievergoedingen!$O$12)*AF66+SUM(Distributievergoedingen!$O$12*AA66+Distributievergoedingen!$R$12+Distributievergoedingen!$U$12+Distributievergoedingen!$X$12)/(MAX(36,12*L66))</f>
        <v>112.77777777777777</v>
      </c>
      <c r="BT66" s="262"/>
      <c r="BU66" s="150">
        <f t="shared" si="19"/>
        <v>215.55555555555554</v>
      </c>
      <c r="BW66" s="151">
        <f t="shared" si="20"/>
        <v>215.55555555555554</v>
      </c>
      <c r="BY66" s="140">
        <f t="shared" si="21"/>
        <v>812.22222222222229</v>
      </c>
      <c r="BZ66" s="141">
        <f t="shared" si="22"/>
        <v>0.7902702702702703</v>
      </c>
      <c r="CA66" s="142" t="b">
        <f t="shared" si="23"/>
        <v>0</v>
      </c>
    </row>
    <row r="67" spans="1:79">
      <c r="A67" s="160" t="str">
        <f t="shared" si="38"/>
        <v>3ADSLAddnationaal256/256</v>
      </c>
      <c r="B67" s="142" t="str">
        <f t="shared" si="39"/>
        <v>3ADSL256/256Add</v>
      </c>
      <c r="C67" s="198">
        <v>3</v>
      </c>
      <c r="D67" s="198" t="s">
        <v>42</v>
      </c>
      <c r="E67" s="198" t="s">
        <v>103</v>
      </c>
      <c r="F67" s="198" t="s">
        <v>115</v>
      </c>
      <c r="G67" s="199" t="s">
        <v>113</v>
      </c>
      <c r="H67" s="198" t="s">
        <v>48</v>
      </c>
      <c r="J67" s="142" t="str">
        <f t="shared" si="40"/>
        <v>ADSL256/256Add</v>
      </c>
      <c r="L67" s="160">
        <f>INDEX(Mapping!$J:$J,MATCH(C$3&amp;C67,Mapping!$B:$B,0))</f>
        <v>1</v>
      </c>
      <c r="M67" s="179" t="str">
        <f>INDEX(Mapping!$H:$H,MATCH(D67&amp;H67&amp;$E67,Mapping!$B:$B,0))</f>
        <v>WBA CM Ethernet</v>
      </c>
      <c r="N67" s="179" t="str">
        <f>INDEX(Mapping!$J:$J,MATCH(D67&amp;H67&amp;$E67,Mapping!$B:$B,0))</f>
        <v>add</v>
      </c>
      <c r="O67" s="179" t="str">
        <f>INDEX(Mapping!$I:$I,MATCH($D67,Mapping!$B:$B,0))</f>
        <v>ADSL</v>
      </c>
      <c r="P67" s="179" t="str">
        <f>INDEX(Mapping!$H:$H,MATCH($F67,Mapping!$B:$B,0))</f>
        <v>nvt</v>
      </c>
      <c r="Q67" s="283" t="str">
        <f>INDEX(Mapping!$K:$K,MATCH($D67&amp;$H67&amp;E67,Mapping!$B:$B,0))</f>
        <v>national</v>
      </c>
      <c r="R67" s="179" t="str">
        <f>INDEX(Mapping!$I:$I,MATCH(D67&amp;H67&amp;$E67,Mapping!$B:$B,0))</f>
        <v>&lt;=256 kbps/&lt;=256 kbps</v>
      </c>
      <c r="S67" s="203"/>
      <c r="T67" s="283" t="str">
        <f>INDEX(Mapping!$L:$L,MATCH($D67&amp;$H67&amp;E67,Mapping!$B:$B,0))</f>
        <v>nvt</v>
      </c>
      <c r="U67" s="142" t="str">
        <f t="shared" si="41"/>
        <v>WBA CM Ethernet&lt;=256 kbps/&lt;=256 kbpsaddnational</v>
      </c>
      <c r="W67" s="160">
        <f>MATCH($J67,'Tarieven ZM'!$B:$B,0)</f>
        <v>64</v>
      </c>
      <c r="X67" s="148">
        <f>INDEX('Tarieven ZM'!$H:$H,$W67)</f>
        <v>1000</v>
      </c>
      <c r="Y67" s="161">
        <f>-INDEX(Parameters!$B:$B,MATCH(Y$3,Parameters!$A:$A,0))*$X67</f>
        <v>0</v>
      </c>
      <c r="Z67" s="149">
        <f>-INDEX(Parameters!$B:$B,MATCH(Z$3,Parameters!$A:$A,0))*$X67</f>
        <v>0</v>
      </c>
      <c r="AA67" s="148">
        <f t="shared" si="42"/>
        <v>1000</v>
      </c>
      <c r="AB67" s="148">
        <f>AA67/INDEX(Parameters!$B:$B,MATCH("AfschrijftermijnVVE"&amp;12*$C67,Parameters!$A:$A,0))</f>
        <v>27.777777777777779</v>
      </c>
      <c r="AC67" s="148">
        <f>INDEX('Tarieven ZM'!$G:$G,$W67)</f>
        <v>1000</v>
      </c>
      <c r="AD67" s="161">
        <f>-INDEX(Parameters!$B:$B,MATCH(AD$3,Parameters!$A:$A,0))*$AC67</f>
        <v>0</v>
      </c>
      <c r="AE67" s="161">
        <f>-INDEX(Parameters!$B:$B,MATCH(AE$3,Parameters!$A:$A,0))*$AC67</f>
        <v>0</v>
      </c>
      <c r="AF67" s="148">
        <f t="shared" si="43"/>
        <v>1000</v>
      </c>
      <c r="AG67" s="151">
        <f t="shared" si="44"/>
        <v>1027.7777777777778</v>
      </c>
      <c r="AH67" s="123"/>
      <c r="AI67" s="147">
        <f>IF(R67&lt;&gt;"n.a.",MATCH($U67,'Tarieven W&amp;O'!$B:$B,0),"nvt")</f>
        <v>134</v>
      </c>
      <c r="AJ67" s="148">
        <f>IF(AI67&lt;&gt;"nvt",INDEX('Tarieven W&amp;O'!$H:$H,$AI67),0)</f>
        <v>0</v>
      </c>
      <c r="AK67" s="148">
        <f>IF(AI67&lt;&gt;"nvt",INDEX('Tarieven W&amp;O'!$I:$I,$AI67),0)</f>
        <v>5</v>
      </c>
      <c r="AL67" s="277">
        <f>IF(AI67&lt;&gt;"nvt",-INDEX(Parameters!$B:$B,MATCH(AL$3&amp;$M67,Parameters!$A:$A,0))*(AJ67+AK67),0)</f>
        <v>0</v>
      </c>
      <c r="AM67" s="442"/>
      <c r="AN67" s="179">
        <f t="shared" si="45"/>
        <v>5</v>
      </c>
      <c r="AO67" s="262">
        <f>AN67/INDEX(Parameters!$B:$B,MATCH("AfschrijftermijnVVE"&amp;12*$C67,Parameters!$A:$A,0))</f>
        <v>0.1388888888888889</v>
      </c>
      <c r="AP67" s="179">
        <f t="shared" si="46"/>
        <v>134</v>
      </c>
      <c r="AQ67" s="202">
        <f>IF(AP67&lt;&gt;"nvt",INDEX('Tarieven W&amp;O'!$G:$G,$AP67),0)</f>
        <v>1E-4</v>
      </c>
      <c r="AR67" s="463">
        <f>-INDEX(Parameters!$B:$B,MATCH(AR$3&amp;$M67&amp;O67,Parameters!$A:$A,0))*(AQ67)</f>
        <v>-1.0000000000000001E-5</v>
      </c>
      <c r="AS67" s="262">
        <v>0</v>
      </c>
      <c r="AT67" s="442">
        <f>IF(M67="WBA CM Ethernet",0,'EDC Minus'!$H$27)</f>
        <v>0</v>
      </c>
      <c r="AU67" s="202">
        <f t="shared" si="47"/>
        <v>9.0000000000000006E-5</v>
      </c>
      <c r="AV67" s="202">
        <f t="shared" si="48"/>
        <v>0.1389788888888889</v>
      </c>
      <c r="AW67" s="202"/>
      <c r="AX67" s="202">
        <f>Parameters!$B$6*AV67</f>
        <v>1.389788888888889E-3</v>
      </c>
      <c r="AY67" s="202">
        <v>0</v>
      </c>
      <c r="AZ67" s="202"/>
      <c r="BA67" s="150">
        <f t="shared" si="16"/>
        <v>1.389788888888889E-3</v>
      </c>
      <c r="BB67" s="150"/>
      <c r="BC67" s="151">
        <f t="shared" si="17"/>
        <v>0.14036867777777778</v>
      </c>
      <c r="BD67" s="123"/>
      <c r="BE67" s="140">
        <f t="shared" si="36"/>
        <v>1027.6374091</v>
      </c>
      <c r="BF67" s="141">
        <f t="shared" si="37"/>
        <v>0.99986342507027026</v>
      </c>
      <c r="BG67" s="142" t="b">
        <f t="shared" si="49"/>
        <v>0</v>
      </c>
      <c r="BH67" s="148"/>
      <c r="BI67" s="188" t="s">
        <v>539</v>
      </c>
      <c r="BJ67" s="189"/>
      <c r="BK67">
        <f>VLOOKUP(J67,'Tarieven ZM'!$B$7:$I$146,8,0)</f>
        <v>0</v>
      </c>
      <c r="BL67" s="179" t="str">
        <f>INDEX(Mapping!$M:$M,MATCH($J67,Mapping!$B:$B,0))</f>
        <v>nvt</v>
      </c>
      <c r="BM67" s="282">
        <v>0</v>
      </c>
      <c r="BN67" s="262">
        <f>BM67/INDEX(Parameters!$B:$B,MATCH("AfschrijftermijnVVE"&amp;12*$C67,Parameters!$A:$A,0))</f>
        <v>0</v>
      </c>
      <c r="BO67" s="262">
        <f>AS67+INDEX('inkoop ULL tbv Epacity'!I:I,MATCH($BL67,'inkoop ULL tbv Epacity'!H:H,0))</f>
        <v>0</v>
      </c>
      <c r="BP67" s="263">
        <f t="shared" si="18"/>
        <v>0</v>
      </c>
      <c r="BQ67" s="203"/>
      <c r="BR67" s="262">
        <f>Parameters!$B$12*AG67</f>
        <v>102.77777777777779</v>
      </c>
      <c r="BS67" s="262">
        <f>SUM(Distributievergoedingen!$F$12,Distributievergoedingen!$I$12,Distributievergoedingen!$L$12,Distributievergoedingen!$O$12)*AF67+SUM(Distributievergoedingen!$O$12*AA67+Distributievergoedingen!$R$12+Distributievergoedingen!$U$12+Distributievergoedingen!$X$12)/(MAX(36,12*L67))</f>
        <v>112.77777777777777</v>
      </c>
      <c r="BT67" s="262"/>
      <c r="BU67" s="150">
        <f t="shared" si="19"/>
        <v>215.55555555555554</v>
      </c>
      <c r="BW67" s="151">
        <f t="shared" si="20"/>
        <v>215.55555555555554</v>
      </c>
      <c r="BY67" s="140">
        <f t="shared" si="21"/>
        <v>812.22222222222229</v>
      </c>
      <c r="BZ67" s="141">
        <f t="shared" si="22"/>
        <v>0.7902702702702703</v>
      </c>
      <c r="CA67" s="142" t="b">
        <f t="shared" si="23"/>
        <v>0</v>
      </c>
    </row>
    <row r="68" spans="1:79">
      <c r="A68" s="160" t="str">
        <f t="shared" si="38"/>
        <v>3ADSLAddnationaal352/352</v>
      </c>
      <c r="B68" s="142" t="str">
        <f t="shared" si="39"/>
        <v>3ADSL352/352Add</v>
      </c>
      <c r="C68" s="198">
        <v>3</v>
      </c>
      <c r="D68" s="198" t="s">
        <v>42</v>
      </c>
      <c r="E68" s="198" t="s">
        <v>103</v>
      </c>
      <c r="F68" s="198" t="s">
        <v>115</v>
      </c>
      <c r="G68" s="199" t="s">
        <v>113</v>
      </c>
      <c r="H68" s="198" t="s">
        <v>108</v>
      </c>
      <c r="J68" s="142" t="str">
        <f t="shared" si="40"/>
        <v>ADSL352/352Add</v>
      </c>
      <c r="L68" s="160">
        <f>INDEX(Mapping!$J:$J,MATCH(C$3&amp;C68,Mapping!$B:$B,0))</f>
        <v>1</v>
      </c>
      <c r="M68" s="179" t="str">
        <f>INDEX(Mapping!$H:$H,MATCH(D68&amp;H68&amp;$E68,Mapping!$B:$B,0))</f>
        <v>WBA ZM Ethernet</v>
      </c>
      <c r="N68" s="179" t="str">
        <f>INDEX(Mapping!$J:$J,MATCH(D68&amp;H68&amp;$E68,Mapping!$B:$B,0))</f>
        <v>premium</v>
      </c>
      <c r="O68" s="179" t="str">
        <f>INDEX(Mapping!$I:$I,MATCH($D68,Mapping!$B:$B,0))</f>
        <v>ADSL</v>
      </c>
      <c r="P68" s="179" t="str">
        <f>INDEX(Mapping!$H:$H,MATCH($F68,Mapping!$B:$B,0))</f>
        <v>nvt</v>
      </c>
      <c r="Q68" s="283" t="str">
        <f>INDEX(Mapping!$K:$K,MATCH($D68&amp;$H68&amp;E68,Mapping!$B:$B,0))</f>
        <v>metro</v>
      </c>
      <c r="R68" s="179" t="str">
        <f>INDEX(Mapping!$I:$I,MATCH(D68&amp;H68&amp;$E68,Mapping!$B:$B,0))</f>
        <v>1 Mbps/1 Mbps</v>
      </c>
      <c r="S68" s="203"/>
      <c r="T68" s="283" t="str">
        <f>INDEX(Mapping!$L:$L,MATCH($D68&amp;$H68&amp;E68,Mapping!$B:$B,0))</f>
        <v>metro-nationaal</v>
      </c>
      <c r="U68" s="142" t="str">
        <f t="shared" si="41"/>
        <v>WBA ZM Ethernet1 Mbps/1 Mbpspremiummetro</v>
      </c>
      <c r="W68" s="160">
        <f>MATCH($J68,'Tarieven ZM'!$B:$B,0)</f>
        <v>65</v>
      </c>
      <c r="X68" s="148">
        <f>INDEX('Tarieven ZM'!$H:$H,$W68)</f>
        <v>1000</v>
      </c>
      <c r="Y68" s="161">
        <f>-INDEX(Parameters!$B:$B,MATCH(Y$3,Parameters!$A:$A,0))*$X68</f>
        <v>0</v>
      </c>
      <c r="Z68" s="149">
        <f>-INDEX(Parameters!$B:$B,MATCH(Z$3,Parameters!$A:$A,0))*$X68</f>
        <v>0</v>
      </c>
      <c r="AA68" s="148">
        <f t="shared" si="42"/>
        <v>1000</v>
      </c>
      <c r="AB68" s="148">
        <f>AA68/INDEX(Parameters!$B:$B,MATCH("AfschrijftermijnVVE"&amp;12*$C68,Parameters!$A:$A,0))</f>
        <v>27.777777777777779</v>
      </c>
      <c r="AC68" s="148">
        <f>INDEX('Tarieven ZM'!$G:$G,$W68)</f>
        <v>1000</v>
      </c>
      <c r="AD68" s="161">
        <f>-INDEX(Parameters!$B:$B,MATCH(AD$3,Parameters!$A:$A,0))*$AC68</f>
        <v>0</v>
      </c>
      <c r="AE68" s="161">
        <f>-INDEX(Parameters!$B:$B,MATCH(AE$3,Parameters!$A:$A,0))*$AC68</f>
        <v>0</v>
      </c>
      <c r="AF68" s="148">
        <f t="shared" si="43"/>
        <v>1000</v>
      </c>
      <c r="AG68" s="151">
        <f t="shared" si="44"/>
        <v>1027.7777777777778</v>
      </c>
      <c r="AH68" s="123"/>
      <c r="AI68" s="147">
        <f>IF(R68&lt;&gt;"n.a.",MATCH($U68,'Tarieven W&amp;O'!$B:$B,0),"nvt")</f>
        <v>138</v>
      </c>
      <c r="AJ68" s="148">
        <f>IF(AI68&lt;&gt;"nvt",INDEX('Tarieven W&amp;O'!$H:$H,$AI68),0)</f>
        <v>0</v>
      </c>
      <c r="AK68" s="148">
        <f>IF(AI68&lt;&gt;"nvt",INDEX('Tarieven W&amp;O'!$I:$I,$AI68),0)</f>
        <v>5</v>
      </c>
      <c r="AL68" s="277">
        <f>IF(AI68&lt;&gt;"nvt",-INDEX(Parameters!$B:$B,MATCH(AL$3&amp;$M68,Parameters!$A:$A,0))*(AJ68+AK68),0)</f>
        <v>0</v>
      </c>
      <c r="AM68" s="442"/>
      <c r="AN68" s="179">
        <f t="shared" si="45"/>
        <v>5</v>
      </c>
      <c r="AO68" s="262">
        <f>AN68/INDEX(Parameters!$B:$B,MATCH("AfschrijftermijnVVE"&amp;12*$C68,Parameters!$A:$A,0))</f>
        <v>0.1388888888888889</v>
      </c>
      <c r="AP68" s="179">
        <f t="shared" si="46"/>
        <v>138</v>
      </c>
      <c r="AQ68" s="202">
        <f>IF(AP68&lt;&gt;"nvt",INDEX('Tarieven W&amp;O'!$G:$G,$AP68),0)</f>
        <v>7.41</v>
      </c>
      <c r="AR68" s="463">
        <f>-INDEX(Parameters!$B:$B,MATCH(AR$3&amp;$M68&amp;O68,Parameters!$A:$A,0))*(AQ68)</f>
        <v>0</v>
      </c>
      <c r="AS68" s="262">
        <v>0</v>
      </c>
      <c r="AT68" s="442">
        <f>IF(M68="WBA CM Ethernet",0,'EDC Minus'!$H$27)</f>
        <v>1</v>
      </c>
      <c r="AU68" s="202">
        <f t="shared" si="47"/>
        <v>8.41</v>
      </c>
      <c r="AV68" s="202">
        <f t="shared" si="48"/>
        <v>8.5488888888888894</v>
      </c>
      <c r="AW68" s="202"/>
      <c r="AX68" s="202">
        <f>Parameters!$B$6*AV68</f>
        <v>8.5488888888888892E-2</v>
      </c>
      <c r="AY68" s="202">
        <v>0</v>
      </c>
      <c r="AZ68" s="202"/>
      <c r="BA68" s="150">
        <f t="shared" si="16"/>
        <v>8.5488888888888892E-2</v>
      </c>
      <c r="BB68" s="150"/>
      <c r="BC68" s="151">
        <f t="shared" si="17"/>
        <v>8.6343777777777788</v>
      </c>
      <c r="BD68" s="123"/>
      <c r="BE68" s="140">
        <f t="shared" ref="BE68:BE93" si="50">AG68-BC68</f>
        <v>1019.1434</v>
      </c>
      <c r="BF68" s="141">
        <f t="shared" ref="BF68:BF93" si="51">IF(AG68=0,-999%,BE68/AG68)</f>
        <v>0.99159898378378375</v>
      </c>
      <c r="BG68" s="142" t="b">
        <f t="shared" si="49"/>
        <v>0</v>
      </c>
      <c r="BH68" s="148"/>
      <c r="BI68" s="188" t="s">
        <v>539</v>
      </c>
      <c r="BJ68" s="189"/>
      <c r="BK68">
        <f>VLOOKUP(J68,'Tarieven ZM'!$B$7:$I$146,8,0)</f>
        <v>0</v>
      </c>
      <c r="BL68" s="179" t="str">
        <f>INDEX(Mapping!$M:$M,MATCH($J68,Mapping!$B:$B,0))</f>
        <v>nvt</v>
      </c>
      <c r="BM68" s="282">
        <v>0</v>
      </c>
      <c r="BN68" s="262">
        <f>BM68/INDEX(Parameters!$B:$B,MATCH("AfschrijftermijnVVE"&amp;12*$C68,Parameters!$A:$A,0))</f>
        <v>0</v>
      </c>
      <c r="BO68" s="262">
        <f>AS68+INDEX('inkoop ULL tbv Epacity'!I:I,MATCH($BL68,'inkoop ULL tbv Epacity'!H:H,0))</f>
        <v>0</v>
      </c>
      <c r="BP68" s="263">
        <f t="shared" si="18"/>
        <v>0</v>
      </c>
      <c r="BQ68" s="203"/>
      <c r="BR68" s="262">
        <f>Parameters!$B$12*AG68</f>
        <v>102.77777777777779</v>
      </c>
      <c r="BS68" s="262">
        <f>SUM(Distributievergoedingen!$F$12,Distributievergoedingen!$I$12,Distributievergoedingen!$L$12,Distributievergoedingen!$O$12)*AF68+SUM(Distributievergoedingen!$O$12*AA68+Distributievergoedingen!$R$12+Distributievergoedingen!$U$12+Distributievergoedingen!$X$12)/(MAX(36,12*L68))</f>
        <v>112.77777777777777</v>
      </c>
      <c r="BT68" s="262"/>
      <c r="BU68" s="150">
        <f t="shared" si="19"/>
        <v>215.55555555555554</v>
      </c>
      <c r="BW68" s="151">
        <f t="shared" si="20"/>
        <v>215.55555555555554</v>
      </c>
      <c r="BY68" s="140">
        <f t="shared" si="21"/>
        <v>812.22222222222229</v>
      </c>
      <c r="BZ68" s="141">
        <f t="shared" si="22"/>
        <v>0.7902702702702703</v>
      </c>
      <c r="CA68" s="142" t="b">
        <f t="shared" si="23"/>
        <v>0</v>
      </c>
    </row>
    <row r="69" spans="1:79">
      <c r="A69" s="160" t="str">
        <f t="shared" si="38"/>
        <v>3ADSLAddnationaal448/448</v>
      </c>
      <c r="B69" s="142" t="str">
        <f t="shared" si="39"/>
        <v>3ADSL448/448Add</v>
      </c>
      <c r="C69" s="198">
        <v>3</v>
      </c>
      <c r="D69" s="198" t="s">
        <v>42</v>
      </c>
      <c r="E69" s="198" t="s">
        <v>103</v>
      </c>
      <c r="F69" s="198" t="s">
        <v>115</v>
      </c>
      <c r="G69" s="199" t="s">
        <v>113</v>
      </c>
      <c r="H69" s="198" t="s">
        <v>79</v>
      </c>
      <c r="J69" s="142" t="str">
        <f t="shared" si="40"/>
        <v>ADSL448/448Add</v>
      </c>
      <c r="L69" s="160">
        <f>INDEX(Mapping!$J:$J,MATCH(C$3&amp;C69,Mapping!$B:$B,0))</f>
        <v>1</v>
      </c>
      <c r="M69" s="179" t="str">
        <f>INDEX(Mapping!$H:$H,MATCH(D69&amp;H69&amp;$E69,Mapping!$B:$B,0))</f>
        <v>WBA ZM Ethernet</v>
      </c>
      <c r="N69" s="179" t="str">
        <f>INDEX(Mapping!$J:$J,MATCH(D69&amp;H69&amp;$E69,Mapping!$B:$B,0))</f>
        <v>premium</v>
      </c>
      <c r="O69" s="179" t="str">
        <f>INDEX(Mapping!$I:$I,MATCH($D69,Mapping!$B:$B,0))</f>
        <v>ADSL</v>
      </c>
      <c r="P69" s="179" t="str">
        <f>INDEX(Mapping!$H:$H,MATCH($F69,Mapping!$B:$B,0))</f>
        <v>nvt</v>
      </c>
      <c r="Q69" s="283" t="str">
        <f>INDEX(Mapping!$K:$K,MATCH($D69&amp;$H69&amp;E69,Mapping!$B:$B,0))</f>
        <v>metro</v>
      </c>
      <c r="R69" s="179" t="str">
        <f>INDEX(Mapping!$I:$I,MATCH(D69&amp;H69&amp;$E69,Mapping!$B:$B,0))</f>
        <v>1 Mbps/1 Mbps</v>
      </c>
      <c r="S69" s="203"/>
      <c r="T69" s="283" t="str">
        <f>INDEX(Mapping!$L:$L,MATCH($D69&amp;$H69&amp;E69,Mapping!$B:$B,0))</f>
        <v>metro-nationaal</v>
      </c>
      <c r="U69" s="142" t="str">
        <f t="shared" si="41"/>
        <v>WBA ZM Ethernet1 Mbps/1 Mbpspremiummetro</v>
      </c>
      <c r="W69" s="160">
        <f>MATCH($J69,'Tarieven ZM'!$B:$B,0)</f>
        <v>66</v>
      </c>
      <c r="X69" s="148">
        <f>INDEX('Tarieven ZM'!$H:$H,$W69)</f>
        <v>1000</v>
      </c>
      <c r="Y69" s="161">
        <f>-INDEX(Parameters!$B:$B,MATCH(Y$3,Parameters!$A:$A,0))*$X69</f>
        <v>0</v>
      </c>
      <c r="Z69" s="149">
        <f>-INDEX(Parameters!$B:$B,MATCH(Z$3,Parameters!$A:$A,0))*$X69</f>
        <v>0</v>
      </c>
      <c r="AA69" s="148">
        <f t="shared" si="42"/>
        <v>1000</v>
      </c>
      <c r="AB69" s="148">
        <f>AA69/INDEX(Parameters!$B:$B,MATCH("AfschrijftermijnVVE"&amp;12*$C69,Parameters!$A:$A,0))</f>
        <v>27.777777777777779</v>
      </c>
      <c r="AC69" s="148">
        <f>INDEX('Tarieven ZM'!$G:$G,$W69)</f>
        <v>1000</v>
      </c>
      <c r="AD69" s="161">
        <f>-INDEX(Parameters!$B:$B,MATCH(AD$3,Parameters!$A:$A,0))*$AC69</f>
        <v>0</v>
      </c>
      <c r="AE69" s="161">
        <f>-INDEX(Parameters!$B:$B,MATCH(AE$3,Parameters!$A:$A,0))*$AC69</f>
        <v>0</v>
      </c>
      <c r="AF69" s="148">
        <f t="shared" si="43"/>
        <v>1000</v>
      </c>
      <c r="AG69" s="151">
        <f t="shared" si="44"/>
        <v>1027.7777777777778</v>
      </c>
      <c r="AH69" s="123"/>
      <c r="AI69" s="147">
        <f>IF(R69&lt;&gt;"n.a.",MATCH($U69,'Tarieven W&amp;O'!$B:$B,0),"nvt")</f>
        <v>138</v>
      </c>
      <c r="AJ69" s="148">
        <f>IF(AI69&lt;&gt;"nvt",INDEX('Tarieven W&amp;O'!$H:$H,$AI69),0)</f>
        <v>0</v>
      </c>
      <c r="AK69" s="148">
        <f>IF(AI69&lt;&gt;"nvt",INDEX('Tarieven W&amp;O'!$I:$I,$AI69),0)</f>
        <v>5</v>
      </c>
      <c r="AL69" s="277">
        <f>IF(AI69&lt;&gt;"nvt",-INDEX(Parameters!$B:$B,MATCH(AL$3&amp;$M69,Parameters!$A:$A,0))*(AJ69+AK69),0)</f>
        <v>0</v>
      </c>
      <c r="AM69" s="442"/>
      <c r="AN69" s="179">
        <f t="shared" si="45"/>
        <v>5</v>
      </c>
      <c r="AO69" s="262">
        <f>AN69/INDEX(Parameters!$B:$B,MATCH("AfschrijftermijnVVE"&amp;12*$C69,Parameters!$A:$A,0))</f>
        <v>0.1388888888888889</v>
      </c>
      <c r="AP69" s="179">
        <f t="shared" si="46"/>
        <v>138</v>
      </c>
      <c r="AQ69" s="202">
        <f>IF(AP69&lt;&gt;"nvt",INDEX('Tarieven W&amp;O'!$G:$G,$AP69),0)</f>
        <v>7.41</v>
      </c>
      <c r="AR69" s="463">
        <f>-INDEX(Parameters!$B:$B,MATCH(AR$3&amp;$M69&amp;O69,Parameters!$A:$A,0))*(AQ69)</f>
        <v>0</v>
      </c>
      <c r="AS69" s="262">
        <v>0</v>
      </c>
      <c r="AT69" s="442">
        <f>IF(M69="WBA CM Ethernet",0,'EDC Minus'!$H$27)</f>
        <v>1</v>
      </c>
      <c r="AU69" s="202">
        <f t="shared" si="47"/>
        <v>8.41</v>
      </c>
      <c r="AV69" s="202">
        <f t="shared" si="48"/>
        <v>8.5488888888888894</v>
      </c>
      <c r="AW69" s="202"/>
      <c r="AX69" s="202">
        <f>Parameters!$B$6*AV69</f>
        <v>8.5488888888888892E-2</v>
      </c>
      <c r="AY69" s="202">
        <v>0</v>
      </c>
      <c r="AZ69" s="202"/>
      <c r="BA69" s="150">
        <f t="shared" ref="BA69:BA93" si="52">SUM(AX69:AZ69)</f>
        <v>8.5488888888888892E-2</v>
      </c>
      <c r="BB69" s="150"/>
      <c r="BC69" s="151">
        <f t="shared" ref="BC69:BC93" si="53">SUM(AV69,BA69)</f>
        <v>8.6343777777777788</v>
      </c>
      <c r="BD69" s="123"/>
      <c r="BE69" s="140">
        <f t="shared" si="50"/>
        <v>1019.1434</v>
      </c>
      <c r="BF69" s="141">
        <f t="shared" si="51"/>
        <v>0.99159898378378375</v>
      </c>
      <c r="BG69" s="142" t="b">
        <f t="shared" si="49"/>
        <v>0</v>
      </c>
      <c r="BH69" s="148"/>
      <c r="BI69" s="188" t="s">
        <v>539</v>
      </c>
      <c r="BJ69" s="189"/>
      <c r="BK69">
        <f>VLOOKUP(J69,'Tarieven ZM'!$B$7:$I$146,8,0)</f>
        <v>0</v>
      </c>
      <c r="BL69" s="179" t="str">
        <f>INDEX(Mapping!$M:$M,MATCH($J69,Mapping!$B:$B,0))</f>
        <v>nvt</v>
      </c>
      <c r="BM69" s="282">
        <v>0</v>
      </c>
      <c r="BN69" s="262">
        <f>BM69/INDEX(Parameters!$B:$B,MATCH("AfschrijftermijnVVE"&amp;12*$C69,Parameters!$A:$A,0))</f>
        <v>0</v>
      </c>
      <c r="BO69" s="262">
        <f>AS69+INDEX('inkoop ULL tbv Epacity'!I:I,MATCH($BL69,'inkoop ULL tbv Epacity'!H:H,0))</f>
        <v>0</v>
      </c>
      <c r="BP69" s="263">
        <f t="shared" ref="BP69:BP93" si="54">BN69+BO69</f>
        <v>0</v>
      </c>
      <c r="BQ69" s="203"/>
      <c r="BR69" s="262">
        <f>Parameters!$B$12*AG69</f>
        <v>102.77777777777779</v>
      </c>
      <c r="BS69" s="262">
        <f>SUM(Distributievergoedingen!$F$12,Distributievergoedingen!$I$12,Distributievergoedingen!$L$12,Distributievergoedingen!$O$12)*AF69+SUM(Distributievergoedingen!$O$12*AA69+Distributievergoedingen!$R$12+Distributievergoedingen!$U$12+Distributievergoedingen!$X$12)/(MAX(36,12*L69))</f>
        <v>112.77777777777777</v>
      </c>
      <c r="BT69" s="262"/>
      <c r="BU69" s="150">
        <f t="shared" ref="BU69:BU93" si="55">SUM(BR69:BT69)</f>
        <v>215.55555555555554</v>
      </c>
      <c r="BW69" s="151">
        <f t="shared" ref="BW69:BW93" si="56">SUM(BP69,BU69)</f>
        <v>215.55555555555554</v>
      </c>
      <c r="BY69" s="140">
        <f t="shared" ref="BY69:BY93" si="57">AG69-BW69</f>
        <v>812.22222222222229</v>
      </c>
      <c r="BZ69" s="141">
        <f t="shared" ref="BZ69:BZ93" si="58">IF(AG69=0,-999%,BY69/AG69)</f>
        <v>0.7902702702702703</v>
      </c>
      <c r="CA69" s="142" t="b">
        <f t="shared" ref="CA69:CA93" si="59">BZ69&lt;0</f>
        <v>0</v>
      </c>
    </row>
    <row r="70" spans="1:79">
      <c r="A70" s="160" t="str">
        <f t="shared" si="38"/>
        <v>3ADSLAddnationaal512/512</v>
      </c>
      <c r="B70" s="142" t="str">
        <f t="shared" si="39"/>
        <v>3ADSL512/512Add</v>
      </c>
      <c r="C70" s="198">
        <v>3</v>
      </c>
      <c r="D70" s="198" t="s">
        <v>42</v>
      </c>
      <c r="E70" s="198" t="s">
        <v>103</v>
      </c>
      <c r="F70" s="198" t="s">
        <v>115</v>
      </c>
      <c r="G70" s="199" t="s">
        <v>113</v>
      </c>
      <c r="H70" s="198" t="s">
        <v>50</v>
      </c>
      <c r="J70" s="142" t="str">
        <f t="shared" si="40"/>
        <v>ADSL512/512Add</v>
      </c>
      <c r="L70" s="160">
        <f>INDEX(Mapping!$J:$J,MATCH(C$3&amp;C70,Mapping!$B:$B,0))</f>
        <v>1</v>
      </c>
      <c r="M70" s="179" t="str">
        <f>INDEX(Mapping!$H:$H,MATCH(D70&amp;H70&amp;$E70,Mapping!$B:$B,0))</f>
        <v>WBA ZM Ethernet</v>
      </c>
      <c r="N70" s="179" t="str">
        <f>INDEX(Mapping!$J:$J,MATCH(D70&amp;H70&amp;$E70,Mapping!$B:$B,0))</f>
        <v>premium</v>
      </c>
      <c r="O70" s="179" t="str">
        <f>INDEX(Mapping!$I:$I,MATCH($D70,Mapping!$B:$B,0))</f>
        <v>ADSL</v>
      </c>
      <c r="P70" s="179" t="str">
        <f>INDEX(Mapping!$H:$H,MATCH($F70,Mapping!$B:$B,0))</f>
        <v>nvt</v>
      </c>
      <c r="Q70" s="283" t="str">
        <f>INDEX(Mapping!$K:$K,MATCH($D70&amp;$H70&amp;E70,Mapping!$B:$B,0))</f>
        <v>metro</v>
      </c>
      <c r="R70" s="179" t="str">
        <f>INDEX(Mapping!$I:$I,MATCH(D70&amp;H70&amp;$E70,Mapping!$B:$B,0))</f>
        <v>1 Mbps/1 Mbps</v>
      </c>
      <c r="S70" s="203"/>
      <c r="T70" s="283" t="str">
        <f>INDEX(Mapping!$L:$L,MATCH($D70&amp;$H70&amp;E70,Mapping!$B:$B,0))</f>
        <v>metro-nationaal</v>
      </c>
      <c r="U70" s="142" t="str">
        <f t="shared" si="41"/>
        <v>WBA ZM Ethernet1 Mbps/1 Mbpspremiummetro</v>
      </c>
      <c r="W70" s="160">
        <f>MATCH($J70,'Tarieven ZM'!$B:$B,0)</f>
        <v>67</v>
      </c>
      <c r="X70" s="148">
        <f>INDEX('Tarieven ZM'!$H:$H,$W70)</f>
        <v>1000</v>
      </c>
      <c r="Y70" s="161">
        <f>-INDEX(Parameters!$B:$B,MATCH(Y$3,Parameters!$A:$A,0))*$X70</f>
        <v>0</v>
      </c>
      <c r="Z70" s="149">
        <f>-INDEX(Parameters!$B:$B,MATCH(Z$3,Parameters!$A:$A,0))*$X70</f>
        <v>0</v>
      </c>
      <c r="AA70" s="148">
        <f t="shared" si="42"/>
        <v>1000</v>
      </c>
      <c r="AB70" s="148">
        <f>AA70/INDEX(Parameters!$B:$B,MATCH("AfschrijftermijnVVE"&amp;12*$C70,Parameters!$A:$A,0))</f>
        <v>27.777777777777779</v>
      </c>
      <c r="AC70" s="148">
        <f>INDEX('Tarieven ZM'!$G:$G,$W70)</f>
        <v>1000</v>
      </c>
      <c r="AD70" s="161">
        <f>-INDEX(Parameters!$B:$B,MATCH(AD$3,Parameters!$A:$A,0))*$AC70</f>
        <v>0</v>
      </c>
      <c r="AE70" s="161">
        <f>-INDEX(Parameters!$B:$B,MATCH(AE$3,Parameters!$A:$A,0))*$AC70</f>
        <v>0</v>
      </c>
      <c r="AF70" s="148">
        <f t="shared" si="43"/>
        <v>1000</v>
      </c>
      <c r="AG70" s="151">
        <f t="shared" si="44"/>
        <v>1027.7777777777778</v>
      </c>
      <c r="AH70" s="123"/>
      <c r="AI70" s="147">
        <f>IF(R70&lt;&gt;"n.a.",MATCH($U70,'Tarieven W&amp;O'!$B:$B,0),"nvt")</f>
        <v>138</v>
      </c>
      <c r="AJ70" s="148">
        <f>IF(AI70&lt;&gt;"nvt",INDEX('Tarieven W&amp;O'!$H:$H,$AI70),0)</f>
        <v>0</v>
      </c>
      <c r="AK70" s="148">
        <f>IF(AI70&lt;&gt;"nvt",INDEX('Tarieven W&amp;O'!$I:$I,$AI70),0)</f>
        <v>5</v>
      </c>
      <c r="AL70" s="277">
        <f>IF(AI70&lt;&gt;"nvt",-INDEX(Parameters!$B:$B,MATCH(AL$3&amp;$M70,Parameters!$A:$A,0))*(AJ70+AK70),0)</f>
        <v>0</v>
      </c>
      <c r="AM70" s="442"/>
      <c r="AN70" s="179">
        <f t="shared" si="45"/>
        <v>5</v>
      </c>
      <c r="AO70" s="262">
        <f>AN70/INDEX(Parameters!$B:$B,MATCH("AfschrijftermijnVVE"&amp;12*$C70,Parameters!$A:$A,0))</f>
        <v>0.1388888888888889</v>
      </c>
      <c r="AP70" s="179">
        <f t="shared" si="46"/>
        <v>138</v>
      </c>
      <c r="AQ70" s="202">
        <f>IF(AP70&lt;&gt;"nvt",INDEX('Tarieven W&amp;O'!$G:$G,$AP70),0)</f>
        <v>7.41</v>
      </c>
      <c r="AR70" s="463">
        <f>-INDEX(Parameters!$B:$B,MATCH(AR$3&amp;$M70&amp;O70,Parameters!$A:$A,0))*(AQ70)</f>
        <v>0</v>
      </c>
      <c r="AS70" s="262">
        <v>0</v>
      </c>
      <c r="AT70" s="442">
        <f>IF(M70="WBA CM Ethernet",0,'EDC Minus'!$H$27)</f>
        <v>1</v>
      </c>
      <c r="AU70" s="202">
        <f t="shared" si="47"/>
        <v>8.41</v>
      </c>
      <c r="AV70" s="202">
        <f t="shared" si="48"/>
        <v>8.5488888888888894</v>
      </c>
      <c r="AW70" s="202"/>
      <c r="AX70" s="202">
        <f>Parameters!$B$6*AV70</f>
        <v>8.5488888888888892E-2</v>
      </c>
      <c r="AY70" s="202">
        <v>0</v>
      </c>
      <c r="AZ70" s="202"/>
      <c r="BA70" s="150">
        <f t="shared" si="52"/>
        <v>8.5488888888888892E-2</v>
      </c>
      <c r="BB70" s="150"/>
      <c r="BC70" s="151">
        <f t="shared" si="53"/>
        <v>8.6343777777777788</v>
      </c>
      <c r="BD70" s="123"/>
      <c r="BE70" s="140">
        <f t="shared" si="50"/>
        <v>1019.1434</v>
      </c>
      <c r="BF70" s="141">
        <f t="shared" si="51"/>
        <v>0.99159898378378375</v>
      </c>
      <c r="BG70" s="142" t="b">
        <f t="shared" si="49"/>
        <v>0</v>
      </c>
      <c r="BH70" s="148"/>
      <c r="BI70" s="188" t="s">
        <v>539</v>
      </c>
      <c r="BJ70" s="189"/>
      <c r="BK70">
        <f>VLOOKUP(J70,'Tarieven ZM'!$B$7:$I$146,8,0)</f>
        <v>0</v>
      </c>
      <c r="BL70" s="179" t="str">
        <f>INDEX(Mapping!$M:$M,MATCH($J70,Mapping!$B:$B,0))</f>
        <v>nvt</v>
      </c>
      <c r="BM70" s="282">
        <v>0</v>
      </c>
      <c r="BN70" s="262">
        <f>BM70/INDEX(Parameters!$B:$B,MATCH("AfschrijftermijnVVE"&amp;12*$C70,Parameters!$A:$A,0))</f>
        <v>0</v>
      </c>
      <c r="BO70" s="262">
        <f>AS70+INDEX('inkoop ULL tbv Epacity'!I:I,MATCH($BL70,'inkoop ULL tbv Epacity'!H:H,0))</f>
        <v>0</v>
      </c>
      <c r="BP70" s="263">
        <f t="shared" si="54"/>
        <v>0</v>
      </c>
      <c r="BQ70" s="203"/>
      <c r="BR70" s="262">
        <f>Parameters!$B$12*AG70</f>
        <v>102.77777777777779</v>
      </c>
      <c r="BS70" s="262">
        <f>SUM(Distributievergoedingen!$F$12,Distributievergoedingen!$I$12,Distributievergoedingen!$L$12,Distributievergoedingen!$O$12)*AF70+SUM(Distributievergoedingen!$O$12*AA70+Distributievergoedingen!$R$12+Distributievergoedingen!$U$12+Distributievergoedingen!$X$12)/(MAX(36,12*L70))</f>
        <v>112.77777777777777</v>
      </c>
      <c r="BT70" s="262"/>
      <c r="BU70" s="150">
        <f t="shared" si="55"/>
        <v>215.55555555555554</v>
      </c>
      <c r="BW70" s="151">
        <f t="shared" si="56"/>
        <v>215.55555555555554</v>
      </c>
      <c r="BY70" s="140">
        <f t="shared" si="57"/>
        <v>812.22222222222229</v>
      </c>
      <c r="BZ70" s="141">
        <f t="shared" si="58"/>
        <v>0.7902702702702703</v>
      </c>
      <c r="CA70" s="142" t="b">
        <f t="shared" si="59"/>
        <v>0</v>
      </c>
    </row>
    <row r="71" spans="1:79">
      <c r="A71" s="160" t="str">
        <f t="shared" si="38"/>
        <v>3SDSLAddnationaal224/224</v>
      </c>
      <c r="B71" s="142" t="str">
        <f t="shared" si="39"/>
        <v>3SDSL224/224Add</v>
      </c>
      <c r="C71" s="198">
        <v>3</v>
      </c>
      <c r="D71" s="198" t="s">
        <v>64</v>
      </c>
      <c r="E71" s="198" t="s">
        <v>103</v>
      </c>
      <c r="F71" s="198" t="s">
        <v>115</v>
      </c>
      <c r="G71" s="199" t="s">
        <v>113</v>
      </c>
      <c r="H71" s="198" t="s">
        <v>107</v>
      </c>
      <c r="J71" s="142" t="str">
        <f t="shared" si="40"/>
        <v>SDSL224/224Add</v>
      </c>
      <c r="L71" s="160">
        <f>INDEX(Mapping!$J:$J,MATCH(C$3&amp;C71,Mapping!$B:$B,0))</f>
        <v>1</v>
      </c>
      <c r="M71" s="179" t="str">
        <f>INDEX(Mapping!$H:$H,MATCH(D71&amp;H71&amp;$E71,Mapping!$B:$B,0))</f>
        <v>WBA CM Ethernet</v>
      </c>
      <c r="N71" s="179" t="str">
        <f>INDEX(Mapping!$J:$J,MATCH(D71&amp;H71&amp;$E71,Mapping!$B:$B,0))</f>
        <v>add</v>
      </c>
      <c r="O71" s="179" t="str">
        <f>INDEX(Mapping!$I:$I,MATCH($D71,Mapping!$B:$B,0))</f>
        <v>SDSL</v>
      </c>
      <c r="P71" s="179" t="str">
        <f>INDEX(Mapping!$H:$H,MATCH($F71,Mapping!$B:$B,0))</f>
        <v>nvt</v>
      </c>
      <c r="Q71" s="283" t="str">
        <f>INDEX(Mapping!$K:$K,MATCH($D71&amp;$H71&amp;E71,Mapping!$B:$B,0))</f>
        <v>national</v>
      </c>
      <c r="R71" s="179" t="str">
        <f>INDEX(Mapping!$I:$I,MATCH(D71&amp;H71&amp;$E71,Mapping!$B:$B,0))</f>
        <v>&lt;=256 kbps/&lt;=256 kbps</v>
      </c>
      <c r="S71" s="203"/>
      <c r="T71" s="283" t="str">
        <f>INDEX(Mapping!$L:$L,MATCH($D71&amp;$H71&amp;E71,Mapping!$B:$B,0))</f>
        <v>nvt</v>
      </c>
      <c r="U71" s="142" t="str">
        <f t="shared" si="41"/>
        <v>WBA CM Ethernet&lt;=256 kbps/&lt;=256 kbpsaddnational</v>
      </c>
      <c r="W71" s="160">
        <f>MATCH($J71,'Tarieven ZM'!$B:$B,0)</f>
        <v>68</v>
      </c>
      <c r="X71" s="148">
        <f>INDEX('Tarieven ZM'!$H:$H,$W71)</f>
        <v>1000</v>
      </c>
      <c r="Y71" s="161">
        <f>-INDEX(Parameters!$B:$B,MATCH(Y$3,Parameters!$A:$A,0))*$X71</f>
        <v>0</v>
      </c>
      <c r="Z71" s="149">
        <f>-INDEX(Parameters!$B:$B,MATCH(Z$3,Parameters!$A:$A,0))*$X71</f>
        <v>0</v>
      </c>
      <c r="AA71" s="148">
        <f t="shared" si="42"/>
        <v>1000</v>
      </c>
      <c r="AB71" s="148">
        <f>AA71/INDEX(Parameters!$B:$B,MATCH("AfschrijftermijnVVE"&amp;12*$C71,Parameters!$A:$A,0))</f>
        <v>27.777777777777779</v>
      </c>
      <c r="AC71" s="148">
        <f>INDEX('Tarieven ZM'!$G:$G,$W71)</f>
        <v>1000</v>
      </c>
      <c r="AD71" s="161">
        <f>-INDEX(Parameters!$B:$B,MATCH(AD$3,Parameters!$A:$A,0))*$AC71</f>
        <v>0</v>
      </c>
      <c r="AE71" s="161">
        <f>-INDEX(Parameters!$B:$B,MATCH(AE$3,Parameters!$A:$A,0))*$AC71</f>
        <v>0</v>
      </c>
      <c r="AF71" s="148">
        <f t="shared" si="43"/>
        <v>1000</v>
      </c>
      <c r="AG71" s="151">
        <f t="shared" si="44"/>
        <v>1027.7777777777778</v>
      </c>
      <c r="AH71" s="123"/>
      <c r="AI71" s="147">
        <f>IF(R71&lt;&gt;"n.a.",MATCH($U71,'Tarieven W&amp;O'!$B:$B,0),"nvt")</f>
        <v>134</v>
      </c>
      <c r="AJ71" s="148">
        <f>IF(AI71&lt;&gt;"nvt",INDEX('Tarieven W&amp;O'!$H:$H,$AI71),0)</f>
        <v>0</v>
      </c>
      <c r="AK71" s="148">
        <f>IF(AI71&lt;&gt;"nvt",INDEX('Tarieven W&amp;O'!$I:$I,$AI71),0)</f>
        <v>5</v>
      </c>
      <c r="AL71" s="277">
        <f>IF(AI71&lt;&gt;"nvt",-INDEX(Parameters!$B:$B,MATCH(AL$3&amp;$M71,Parameters!$A:$A,0))*(AJ71+AK71),0)</f>
        <v>0</v>
      </c>
      <c r="AM71" s="442"/>
      <c r="AN71" s="179">
        <f t="shared" si="45"/>
        <v>5</v>
      </c>
      <c r="AO71" s="262">
        <f>AN71/INDEX(Parameters!$B:$B,MATCH("AfschrijftermijnVVE"&amp;12*$C71,Parameters!$A:$A,0))</f>
        <v>0.1388888888888889</v>
      </c>
      <c r="AP71" s="179">
        <f t="shared" si="46"/>
        <v>134</v>
      </c>
      <c r="AQ71" s="202">
        <f>IF(AP71&lt;&gt;"nvt",INDEX('Tarieven W&amp;O'!$G:$G,$AP71),0)</f>
        <v>1E-4</v>
      </c>
      <c r="AR71" s="463">
        <f>-INDEX(Parameters!$B:$B,MATCH(AR$3&amp;$M71&amp;O71,Parameters!$A:$A,0))*(AQ71)</f>
        <v>-1.0000000000000001E-5</v>
      </c>
      <c r="AS71" s="262">
        <v>0</v>
      </c>
      <c r="AT71" s="442">
        <f>IF(M71="WBA CM Ethernet",0,'EDC Minus'!$H$27)</f>
        <v>0</v>
      </c>
      <c r="AU71" s="202">
        <f t="shared" si="47"/>
        <v>9.0000000000000006E-5</v>
      </c>
      <c r="AV71" s="202">
        <f t="shared" si="48"/>
        <v>0.1389788888888889</v>
      </c>
      <c r="AW71" s="202"/>
      <c r="AX71" s="202">
        <f>Parameters!$B$6*AV71</f>
        <v>1.389788888888889E-3</v>
      </c>
      <c r="AY71" s="202">
        <v>0</v>
      </c>
      <c r="AZ71" s="202"/>
      <c r="BA71" s="150">
        <f t="shared" si="52"/>
        <v>1.389788888888889E-3</v>
      </c>
      <c r="BB71" s="150"/>
      <c r="BC71" s="151">
        <f t="shared" si="53"/>
        <v>0.14036867777777778</v>
      </c>
      <c r="BD71" s="123"/>
      <c r="BE71" s="140">
        <f t="shared" si="50"/>
        <v>1027.6374091</v>
      </c>
      <c r="BF71" s="141">
        <f t="shared" si="51"/>
        <v>0.99986342507027026</v>
      </c>
      <c r="BG71" s="142" t="b">
        <f t="shared" si="49"/>
        <v>0</v>
      </c>
      <c r="BH71" s="148"/>
      <c r="BI71" s="188" t="s">
        <v>539</v>
      </c>
      <c r="BJ71" s="189"/>
      <c r="BK71">
        <f>VLOOKUP(J71,'Tarieven ZM'!$B$7:$I$146,8,0)</f>
        <v>0</v>
      </c>
      <c r="BL71" s="179" t="str">
        <f>INDEX(Mapping!$M:$M,MATCH($J71,Mapping!$B:$B,0))</f>
        <v>nvt</v>
      </c>
      <c r="BM71" s="282">
        <v>0</v>
      </c>
      <c r="BN71" s="262">
        <f>BM71/INDEX(Parameters!$B:$B,MATCH("AfschrijftermijnVVE"&amp;12*$C71,Parameters!$A:$A,0))</f>
        <v>0</v>
      </c>
      <c r="BO71" s="262">
        <f>AS71+INDEX('inkoop ULL tbv Epacity'!I:I,MATCH($BL71,'inkoop ULL tbv Epacity'!H:H,0))</f>
        <v>0</v>
      </c>
      <c r="BP71" s="263">
        <f t="shared" si="54"/>
        <v>0</v>
      </c>
      <c r="BQ71" s="203"/>
      <c r="BR71" s="262">
        <f>Parameters!$B$12*AG71</f>
        <v>102.77777777777779</v>
      </c>
      <c r="BS71" s="262">
        <f>SUM(Distributievergoedingen!$F$12,Distributievergoedingen!$I$12,Distributievergoedingen!$L$12,Distributievergoedingen!$O$12)*AF71+SUM(Distributievergoedingen!$O$12*AA71+Distributievergoedingen!$R$12+Distributievergoedingen!$U$12+Distributievergoedingen!$X$12)/(MAX(36,12*L71))</f>
        <v>112.77777777777777</v>
      </c>
      <c r="BT71" s="262"/>
      <c r="BU71" s="150">
        <f t="shared" si="55"/>
        <v>215.55555555555554</v>
      </c>
      <c r="BW71" s="151">
        <f t="shared" si="56"/>
        <v>215.55555555555554</v>
      </c>
      <c r="BY71" s="140">
        <f t="shared" si="57"/>
        <v>812.22222222222229</v>
      </c>
      <c r="BZ71" s="141">
        <f t="shared" si="58"/>
        <v>0.7902702702702703</v>
      </c>
      <c r="CA71" s="142" t="b">
        <f t="shared" si="59"/>
        <v>0</v>
      </c>
    </row>
    <row r="72" spans="1:79">
      <c r="A72" s="160" t="str">
        <f t="shared" si="38"/>
        <v>3SDSLAddnationaal256/256</v>
      </c>
      <c r="B72" s="142" t="str">
        <f t="shared" si="39"/>
        <v>3SDSL256/256Add</v>
      </c>
      <c r="C72" s="198">
        <v>3</v>
      </c>
      <c r="D72" s="198" t="s">
        <v>64</v>
      </c>
      <c r="E72" s="198" t="s">
        <v>103</v>
      </c>
      <c r="F72" s="198" t="s">
        <v>115</v>
      </c>
      <c r="G72" s="199" t="s">
        <v>113</v>
      </c>
      <c r="H72" s="198" t="s">
        <v>48</v>
      </c>
      <c r="J72" s="142" t="str">
        <f t="shared" si="40"/>
        <v>SDSL256/256Add</v>
      </c>
      <c r="L72" s="160">
        <f>INDEX(Mapping!$J:$J,MATCH(C$3&amp;C72,Mapping!$B:$B,0))</f>
        <v>1</v>
      </c>
      <c r="M72" s="179" t="str">
        <f>INDEX(Mapping!$H:$H,MATCH(D72&amp;H72&amp;$E72,Mapping!$B:$B,0))</f>
        <v>WBA CM Ethernet</v>
      </c>
      <c r="N72" s="179" t="str">
        <f>INDEX(Mapping!$J:$J,MATCH(D72&amp;H72&amp;$E72,Mapping!$B:$B,0))</f>
        <v>add</v>
      </c>
      <c r="O72" s="179" t="str">
        <f>INDEX(Mapping!$I:$I,MATCH($D72,Mapping!$B:$B,0))</f>
        <v>SDSL</v>
      </c>
      <c r="P72" s="179" t="str">
        <f>INDEX(Mapping!$H:$H,MATCH($F72,Mapping!$B:$B,0))</f>
        <v>nvt</v>
      </c>
      <c r="Q72" s="283" t="str">
        <f>INDEX(Mapping!$K:$K,MATCH($D72&amp;$H72&amp;E72,Mapping!$B:$B,0))</f>
        <v>national</v>
      </c>
      <c r="R72" s="179" t="str">
        <f>INDEX(Mapping!$I:$I,MATCH(D72&amp;H72&amp;$E72,Mapping!$B:$B,0))</f>
        <v>&lt;=256 kbps/&lt;=256 kbps</v>
      </c>
      <c r="S72" s="203"/>
      <c r="T72" s="283" t="str">
        <f>INDEX(Mapping!$L:$L,MATCH($D72&amp;$H72&amp;E72,Mapping!$B:$B,0))</f>
        <v>nvt</v>
      </c>
      <c r="U72" s="142" t="str">
        <f t="shared" si="41"/>
        <v>WBA CM Ethernet&lt;=256 kbps/&lt;=256 kbpsaddnational</v>
      </c>
      <c r="W72" s="160">
        <f>MATCH($J72,'Tarieven ZM'!$B:$B,0)</f>
        <v>69</v>
      </c>
      <c r="X72" s="148">
        <f>INDEX('Tarieven ZM'!$H:$H,$W72)</f>
        <v>1000</v>
      </c>
      <c r="Y72" s="161">
        <f>-INDEX(Parameters!$B:$B,MATCH(Y$3,Parameters!$A:$A,0))*$X72</f>
        <v>0</v>
      </c>
      <c r="Z72" s="149">
        <f>-INDEX(Parameters!$B:$B,MATCH(Z$3,Parameters!$A:$A,0))*$X72</f>
        <v>0</v>
      </c>
      <c r="AA72" s="148">
        <f t="shared" si="42"/>
        <v>1000</v>
      </c>
      <c r="AB72" s="148">
        <f>AA72/INDEX(Parameters!$B:$B,MATCH("AfschrijftermijnVVE"&amp;12*$C72,Parameters!$A:$A,0))</f>
        <v>27.777777777777779</v>
      </c>
      <c r="AC72" s="148">
        <f>INDEX('Tarieven ZM'!$G:$G,$W72)</f>
        <v>1000</v>
      </c>
      <c r="AD72" s="161">
        <f>-INDEX(Parameters!$B:$B,MATCH(AD$3,Parameters!$A:$A,0))*$AC72</f>
        <v>0</v>
      </c>
      <c r="AE72" s="161">
        <f>-INDEX(Parameters!$B:$B,MATCH(AE$3,Parameters!$A:$A,0))*$AC72</f>
        <v>0</v>
      </c>
      <c r="AF72" s="148">
        <f t="shared" si="43"/>
        <v>1000</v>
      </c>
      <c r="AG72" s="151">
        <f t="shared" si="44"/>
        <v>1027.7777777777778</v>
      </c>
      <c r="AH72" s="123"/>
      <c r="AI72" s="147">
        <f>IF(R72&lt;&gt;"n.a.",MATCH($U72,'Tarieven W&amp;O'!$B:$B,0),"nvt")</f>
        <v>134</v>
      </c>
      <c r="AJ72" s="148">
        <f>IF(AI72&lt;&gt;"nvt",INDEX('Tarieven W&amp;O'!$H:$H,$AI72),0)</f>
        <v>0</v>
      </c>
      <c r="AK72" s="148">
        <f>IF(AI72&lt;&gt;"nvt",INDEX('Tarieven W&amp;O'!$I:$I,$AI72),0)</f>
        <v>5</v>
      </c>
      <c r="AL72" s="277">
        <f>IF(AI72&lt;&gt;"nvt",-INDEX(Parameters!$B:$B,MATCH(AL$3&amp;$M72,Parameters!$A:$A,0))*(AJ72+AK72),0)</f>
        <v>0</v>
      </c>
      <c r="AM72" s="442"/>
      <c r="AN72" s="179">
        <f t="shared" si="45"/>
        <v>5</v>
      </c>
      <c r="AO72" s="262">
        <f>AN72/INDEX(Parameters!$B:$B,MATCH("AfschrijftermijnVVE"&amp;12*$C72,Parameters!$A:$A,0))</f>
        <v>0.1388888888888889</v>
      </c>
      <c r="AP72" s="179">
        <f t="shared" si="46"/>
        <v>134</v>
      </c>
      <c r="AQ72" s="202">
        <f>IF(AP72&lt;&gt;"nvt",INDEX('Tarieven W&amp;O'!$G:$G,$AP72),0)</f>
        <v>1E-4</v>
      </c>
      <c r="AR72" s="463">
        <f>-INDEX(Parameters!$B:$B,MATCH(AR$3&amp;$M72&amp;O72,Parameters!$A:$A,0))*(AQ72)</f>
        <v>-1.0000000000000001E-5</v>
      </c>
      <c r="AS72" s="262">
        <v>0</v>
      </c>
      <c r="AT72" s="442">
        <f>IF(M72="WBA CM Ethernet",0,'EDC Minus'!$H$27)</f>
        <v>0</v>
      </c>
      <c r="AU72" s="202">
        <f t="shared" si="47"/>
        <v>9.0000000000000006E-5</v>
      </c>
      <c r="AV72" s="202">
        <f t="shared" si="48"/>
        <v>0.1389788888888889</v>
      </c>
      <c r="AW72" s="202"/>
      <c r="AX72" s="202">
        <f>Parameters!$B$6*AV72</f>
        <v>1.389788888888889E-3</v>
      </c>
      <c r="AY72" s="202">
        <v>0</v>
      </c>
      <c r="AZ72" s="202"/>
      <c r="BA72" s="150">
        <f t="shared" si="52"/>
        <v>1.389788888888889E-3</v>
      </c>
      <c r="BB72" s="150"/>
      <c r="BC72" s="151">
        <f t="shared" si="53"/>
        <v>0.14036867777777778</v>
      </c>
      <c r="BD72" s="123"/>
      <c r="BE72" s="140">
        <f t="shared" si="50"/>
        <v>1027.6374091</v>
      </c>
      <c r="BF72" s="141">
        <f t="shared" si="51"/>
        <v>0.99986342507027026</v>
      </c>
      <c r="BG72" s="142" t="b">
        <f t="shared" si="49"/>
        <v>0</v>
      </c>
      <c r="BH72" s="148"/>
      <c r="BI72" s="188" t="s">
        <v>539</v>
      </c>
      <c r="BJ72" s="189"/>
      <c r="BK72">
        <f>VLOOKUP(J72,'Tarieven ZM'!$B$7:$I$146,8,0)</f>
        <v>0</v>
      </c>
      <c r="BL72" s="179" t="str">
        <f>INDEX(Mapping!$M:$M,MATCH($J72,Mapping!$B:$B,0))</f>
        <v>nvt</v>
      </c>
      <c r="BM72" s="282">
        <v>0</v>
      </c>
      <c r="BN72" s="262">
        <f>BM72/INDEX(Parameters!$B:$B,MATCH("AfschrijftermijnVVE"&amp;12*$C72,Parameters!$A:$A,0))</f>
        <v>0</v>
      </c>
      <c r="BO72" s="262">
        <f>AS72+INDEX('inkoop ULL tbv Epacity'!I:I,MATCH($BL72,'inkoop ULL tbv Epacity'!H:H,0))</f>
        <v>0</v>
      </c>
      <c r="BP72" s="263">
        <f t="shared" si="54"/>
        <v>0</v>
      </c>
      <c r="BQ72" s="203"/>
      <c r="BR72" s="262">
        <f>Parameters!$B$12*AG72</f>
        <v>102.77777777777779</v>
      </c>
      <c r="BS72" s="262">
        <f>SUM(Distributievergoedingen!$F$12,Distributievergoedingen!$I$12,Distributievergoedingen!$L$12,Distributievergoedingen!$O$12)*AF72+SUM(Distributievergoedingen!$O$12*AA72+Distributievergoedingen!$R$12+Distributievergoedingen!$U$12+Distributievergoedingen!$X$12)/(MAX(36,12*L72))</f>
        <v>112.77777777777777</v>
      </c>
      <c r="BT72" s="262"/>
      <c r="BU72" s="150">
        <f t="shared" si="55"/>
        <v>215.55555555555554</v>
      </c>
      <c r="BW72" s="151">
        <f t="shared" si="56"/>
        <v>215.55555555555554</v>
      </c>
      <c r="BY72" s="140">
        <f t="shared" si="57"/>
        <v>812.22222222222229</v>
      </c>
      <c r="BZ72" s="141">
        <f t="shared" si="58"/>
        <v>0.7902702702702703</v>
      </c>
      <c r="CA72" s="142" t="b">
        <f t="shared" si="59"/>
        <v>0</v>
      </c>
    </row>
    <row r="73" spans="1:79">
      <c r="A73" s="160" t="str">
        <f t="shared" si="38"/>
        <v>3SDSLAddnationaal448/448</v>
      </c>
      <c r="B73" s="142" t="str">
        <f t="shared" si="39"/>
        <v>3SDSL448/448Add</v>
      </c>
      <c r="C73" s="198">
        <v>3</v>
      </c>
      <c r="D73" s="198" t="s">
        <v>64</v>
      </c>
      <c r="E73" s="198" t="s">
        <v>103</v>
      </c>
      <c r="F73" s="198" t="s">
        <v>115</v>
      </c>
      <c r="G73" s="199" t="s">
        <v>113</v>
      </c>
      <c r="H73" s="198" t="s">
        <v>79</v>
      </c>
      <c r="J73" s="142" t="str">
        <f t="shared" si="40"/>
        <v>SDSL448/448Add</v>
      </c>
      <c r="L73" s="160">
        <f>INDEX(Mapping!$J:$J,MATCH(C$3&amp;C73,Mapping!$B:$B,0))</f>
        <v>1</v>
      </c>
      <c r="M73" s="179" t="str">
        <f>INDEX(Mapping!$H:$H,MATCH(D73&amp;H73&amp;$E73,Mapping!$B:$B,0))</f>
        <v>WBA ZM Ethernet</v>
      </c>
      <c r="N73" s="179" t="str">
        <f>INDEX(Mapping!$J:$J,MATCH(D73&amp;H73&amp;$E73,Mapping!$B:$B,0))</f>
        <v>premium</v>
      </c>
      <c r="O73" s="179" t="str">
        <f>INDEX(Mapping!$I:$I,MATCH($D73,Mapping!$B:$B,0))</f>
        <v>SDSL</v>
      </c>
      <c r="P73" s="179" t="str">
        <f>INDEX(Mapping!$H:$H,MATCH($F73,Mapping!$B:$B,0))</f>
        <v>nvt</v>
      </c>
      <c r="Q73" s="283" t="str">
        <f>INDEX(Mapping!$K:$K,MATCH($D73&amp;$H73&amp;E73,Mapping!$B:$B,0))</f>
        <v>metro</v>
      </c>
      <c r="R73" s="179" t="str">
        <f>INDEX(Mapping!$I:$I,MATCH(D73&amp;H73&amp;$E73,Mapping!$B:$B,0))</f>
        <v>1 Mbps/1 Mbps</v>
      </c>
      <c r="S73" s="203"/>
      <c r="T73" s="283" t="str">
        <f>INDEX(Mapping!$L:$L,MATCH($D73&amp;$H73&amp;E73,Mapping!$B:$B,0))</f>
        <v>metro-nationaal</v>
      </c>
      <c r="U73" s="142" t="str">
        <f t="shared" si="41"/>
        <v>WBA ZM Ethernet1 Mbps/1 Mbpspremiummetro</v>
      </c>
      <c r="W73" s="160">
        <f>MATCH($J73,'Tarieven ZM'!$B:$B,0)</f>
        <v>70</v>
      </c>
      <c r="X73" s="148">
        <f>INDEX('Tarieven ZM'!$H:$H,$W73)</f>
        <v>1000</v>
      </c>
      <c r="Y73" s="161">
        <f>-INDEX(Parameters!$B:$B,MATCH(Y$3,Parameters!$A:$A,0))*$X73</f>
        <v>0</v>
      </c>
      <c r="Z73" s="149">
        <f>-INDEX(Parameters!$B:$B,MATCH(Z$3,Parameters!$A:$A,0))*$X73</f>
        <v>0</v>
      </c>
      <c r="AA73" s="148">
        <f t="shared" si="42"/>
        <v>1000</v>
      </c>
      <c r="AB73" s="148">
        <f>AA73/INDEX(Parameters!$B:$B,MATCH("AfschrijftermijnVVE"&amp;12*$C73,Parameters!$A:$A,0))</f>
        <v>27.777777777777779</v>
      </c>
      <c r="AC73" s="148">
        <f>INDEX('Tarieven ZM'!$G:$G,$W73)</f>
        <v>1000</v>
      </c>
      <c r="AD73" s="161">
        <f>-INDEX(Parameters!$B:$B,MATCH(AD$3,Parameters!$A:$A,0))*$AC73</f>
        <v>0</v>
      </c>
      <c r="AE73" s="161">
        <f>-INDEX(Parameters!$B:$B,MATCH(AE$3,Parameters!$A:$A,0))*$AC73</f>
        <v>0</v>
      </c>
      <c r="AF73" s="148">
        <f t="shared" si="43"/>
        <v>1000</v>
      </c>
      <c r="AG73" s="151">
        <f t="shared" si="44"/>
        <v>1027.7777777777778</v>
      </c>
      <c r="AH73" s="123"/>
      <c r="AI73" s="147">
        <f>IF(R73&lt;&gt;"n.a.",MATCH($U73,'Tarieven W&amp;O'!$B:$B,0),"nvt")</f>
        <v>138</v>
      </c>
      <c r="AJ73" s="148">
        <f>IF(AI73&lt;&gt;"nvt",INDEX('Tarieven W&amp;O'!$H:$H,$AI73),0)</f>
        <v>0</v>
      </c>
      <c r="AK73" s="148">
        <f>IF(AI73&lt;&gt;"nvt",INDEX('Tarieven W&amp;O'!$I:$I,$AI73),0)</f>
        <v>5</v>
      </c>
      <c r="AL73" s="277">
        <f>IF(AI73&lt;&gt;"nvt",-INDEX(Parameters!$B:$B,MATCH(AL$3&amp;$M73,Parameters!$A:$A,0))*(AJ73+AK73),0)</f>
        <v>0</v>
      </c>
      <c r="AM73" s="442"/>
      <c r="AN73" s="179">
        <f t="shared" si="45"/>
        <v>5</v>
      </c>
      <c r="AO73" s="262">
        <f>AN73/INDEX(Parameters!$B:$B,MATCH("AfschrijftermijnVVE"&amp;12*$C73,Parameters!$A:$A,0))</f>
        <v>0.1388888888888889</v>
      </c>
      <c r="AP73" s="179">
        <f t="shared" si="46"/>
        <v>138</v>
      </c>
      <c r="AQ73" s="202">
        <f>IF(AP73&lt;&gt;"nvt",INDEX('Tarieven W&amp;O'!$G:$G,$AP73),0)</f>
        <v>7.41</v>
      </c>
      <c r="AR73" s="463">
        <f>-INDEX(Parameters!$B:$B,MATCH(AR$3&amp;$M73&amp;O73,Parameters!$A:$A,0))*(AQ73)</f>
        <v>0</v>
      </c>
      <c r="AS73" s="262">
        <v>0</v>
      </c>
      <c r="AT73" s="442">
        <f>IF(M73="WBA CM Ethernet",0,'EDC Minus'!$H$27)</f>
        <v>1</v>
      </c>
      <c r="AU73" s="202">
        <f t="shared" si="47"/>
        <v>8.41</v>
      </c>
      <c r="AV73" s="202">
        <f t="shared" si="48"/>
        <v>8.5488888888888894</v>
      </c>
      <c r="AW73" s="202"/>
      <c r="AX73" s="202">
        <f>Parameters!$B$6*AV73</f>
        <v>8.5488888888888892E-2</v>
      </c>
      <c r="AY73" s="202">
        <v>0</v>
      </c>
      <c r="AZ73" s="202"/>
      <c r="BA73" s="150">
        <f t="shared" si="52"/>
        <v>8.5488888888888892E-2</v>
      </c>
      <c r="BB73" s="150"/>
      <c r="BC73" s="151">
        <f t="shared" si="53"/>
        <v>8.6343777777777788</v>
      </c>
      <c r="BD73" s="123"/>
      <c r="BE73" s="140">
        <f t="shared" si="50"/>
        <v>1019.1434</v>
      </c>
      <c r="BF73" s="141">
        <f t="shared" si="51"/>
        <v>0.99159898378378375</v>
      </c>
      <c r="BG73" s="142" t="b">
        <f t="shared" si="49"/>
        <v>0</v>
      </c>
      <c r="BH73" s="148"/>
      <c r="BI73" s="188" t="s">
        <v>539</v>
      </c>
      <c r="BJ73" s="189"/>
      <c r="BK73">
        <f>VLOOKUP(J73,'Tarieven ZM'!$B$7:$I$146,8,0)</f>
        <v>0</v>
      </c>
      <c r="BL73" s="179" t="str">
        <f>INDEX(Mapping!$M:$M,MATCH($J73,Mapping!$B:$B,0))</f>
        <v>nvt</v>
      </c>
      <c r="BM73" s="282">
        <v>0</v>
      </c>
      <c r="BN73" s="262">
        <f>BM73/INDEX(Parameters!$B:$B,MATCH("AfschrijftermijnVVE"&amp;12*$C73,Parameters!$A:$A,0))</f>
        <v>0</v>
      </c>
      <c r="BO73" s="262">
        <f>AS73+INDEX('inkoop ULL tbv Epacity'!I:I,MATCH($BL73,'inkoop ULL tbv Epacity'!H:H,0))</f>
        <v>0</v>
      </c>
      <c r="BP73" s="263">
        <f t="shared" si="54"/>
        <v>0</v>
      </c>
      <c r="BQ73" s="203"/>
      <c r="BR73" s="262">
        <f>Parameters!$B$12*AG73</f>
        <v>102.77777777777779</v>
      </c>
      <c r="BS73" s="262">
        <f>SUM(Distributievergoedingen!$F$12,Distributievergoedingen!$I$12,Distributievergoedingen!$L$12,Distributievergoedingen!$O$12)*AF73+SUM(Distributievergoedingen!$O$12*AA73+Distributievergoedingen!$R$12+Distributievergoedingen!$U$12+Distributievergoedingen!$X$12)/(MAX(36,12*L73))</f>
        <v>112.77777777777777</v>
      </c>
      <c r="BT73" s="262"/>
      <c r="BU73" s="150">
        <f t="shared" si="55"/>
        <v>215.55555555555554</v>
      </c>
      <c r="BW73" s="151">
        <f t="shared" si="56"/>
        <v>215.55555555555554</v>
      </c>
      <c r="BY73" s="140">
        <f t="shared" si="57"/>
        <v>812.22222222222229</v>
      </c>
      <c r="BZ73" s="141">
        <f t="shared" si="58"/>
        <v>0.7902702702702703</v>
      </c>
      <c r="CA73" s="142" t="b">
        <f t="shared" si="59"/>
        <v>0</v>
      </c>
    </row>
    <row r="74" spans="1:79">
      <c r="A74" s="160" t="str">
        <f t="shared" si="38"/>
        <v>3SDSLAddnationaal512/512</v>
      </c>
      <c r="B74" s="142" t="str">
        <f t="shared" si="39"/>
        <v>3SDSL512/512Add</v>
      </c>
      <c r="C74" s="198">
        <v>3</v>
      </c>
      <c r="D74" s="198" t="s">
        <v>64</v>
      </c>
      <c r="E74" s="198" t="s">
        <v>103</v>
      </c>
      <c r="F74" s="198" t="s">
        <v>115</v>
      </c>
      <c r="G74" s="199" t="s">
        <v>113</v>
      </c>
      <c r="H74" s="198" t="s">
        <v>50</v>
      </c>
      <c r="J74" s="142" t="str">
        <f t="shared" si="40"/>
        <v>SDSL512/512Add</v>
      </c>
      <c r="L74" s="160">
        <f>INDEX(Mapping!$J:$J,MATCH(C$3&amp;C74,Mapping!$B:$B,0))</f>
        <v>1</v>
      </c>
      <c r="M74" s="179" t="str">
        <f>INDEX(Mapping!$H:$H,MATCH(D74&amp;H74&amp;$E74,Mapping!$B:$B,0))</f>
        <v>WBA ZM Ethernet</v>
      </c>
      <c r="N74" s="179" t="str">
        <f>INDEX(Mapping!$J:$J,MATCH(D74&amp;H74&amp;$E74,Mapping!$B:$B,0))</f>
        <v>premium</v>
      </c>
      <c r="O74" s="179" t="str">
        <f>INDEX(Mapping!$I:$I,MATCH($D74,Mapping!$B:$B,0))</f>
        <v>SDSL</v>
      </c>
      <c r="P74" s="179" t="str">
        <f>INDEX(Mapping!$H:$H,MATCH($F74,Mapping!$B:$B,0))</f>
        <v>nvt</v>
      </c>
      <c r="Q74" s="283" t="str">
        <f>INDEX(Mapping!$K:$K,MATCH($D74&amp;$H74&amp;E74,Mapping!$B:$B,0))</f>
        <v>metro</v>
      </c>
      <c r="R74" s="179" t="str">
        <f>INDEX(Mapping!$I:$I,MATCH(D74&amp;H74&amp;$E74,Mapping!$B:$B,0))</f>
        <v>1 Mbps/1 Mbps</v>
      </c>
      <c r="S74" s="203"/>
      <c r="T74" s="283" t="str">
        <f>INDEX(Mapping!$L:$L,MATCH($D74&amp;$H74&amp;E74,Mapping!$B:$B,0))</f>
        <v>metro-nationaal</v>
      </c>
      <c r="U74" s="142" t="str">
        <f t="shared" si="41"/>
        <v>WBA ZM Ethernet1 Mbps/1 Mbpspremiummetro</v>
      </c>
      <c r="W74" s="160">
        <f>MATCH($J74,'Tarieven ZM'!$B:$B,0)</f>
        <v>71</v>
      </c>
      <c r="X74" s="148">
        <f>INDEX('Tarieven ZM'!$H:$H,$W74)</f>
        <v>1000</v>
      </c>
      <c r="Y74" s="161">
        <f>-INDEX(Parameters!$B:$B,MATCH(Y$3,Parameters!$A:$A,0))*$X74</f>
        <v>0</v>
      </c>
      <c r="Z74" s="149">
        <f>-INDEX(Parameters!$B:$B,MATCH(Z$3,Parameters!$A:$A,0))*$X74</f>
        <v>0</v>
      </c>
      <c r="AA74" s="148">
        <f t="shared" si="42"/>
        <v>1000</v>
      </c>
      <c r="AB74" s="148">
        <f>AA74/INDEX(Parameters!$B:$B,MATCH("AfschrijftermijnVVE"&amp;12*$C74,Parameters!$A:$A,0))</f>
        <v>27.777777777777779</v>
      </c>
      <c r="AC74" s="148">
        <f>INDEX('Tarieven ZM'!$G:$G,$W74)</f>
        <v>1000</v>
      </c>
      <c r="AD74" s="161">
        <f>-INDEX(Parameters!$B:$B,MATCH(AD$3,Parameters!$A:$A,0))*$AC74</f>
        <v>0</v>
      </c>
      <c r="AE74" s="161">
        <f>-INDEX(Parameters!$B:$B,MATCH(AE$3,Parameters!$A:$A,0))*$AC74</f>
        <v>0</v>
      </c>
      <c r="AF74" s="148">
        <f t="shared" si="43"/>
        <v>1000</v>
      </c>
      <c r="AG74" s="151">
        <f t="shared" si="44"/>
        <v>1027.7777777777778</v>
      </c>
      <c r="AH74" s="123"/>
      <c r="AI74" s="147">
        <f>IF(R74&lt;&gt;"n.a.",MATCH($U74,'Tarieven W&amp;O'!$B:$B,0),"nvt")</f>
        <v>138</v>
      </c>
      <c r="AJ74" s="148">
        <f>IF(AI74&lt;&gt;"nvt",INDEX('Tarieven W&amp;O'!$H:$H,$AI74),0)</f>
        <v>0</v>
      </c>
      <c r="AK74" s="148">
        <f>IF(AI74&lt;&gt;"nvt",INDEX('Tarieven W&amp;O'!$I:$I,$AI74),0)</f>
        <v>5</v>
      </c>
      <c r="AL74" s="277">
        <f>IF(AI74&lt;&gt;"nvt",-INDEX(Parameters!$B:$B,MATCH(AL$3&amp;$M74,Parameters!$A:$A,0))*(AJ74+AK74),0)</f>
        <v>0</v>
      </c>
      <c r="AM74" s="442"/>
      <c r="AN74" s="179">
        <f t="shared" si="45"/>
        <v>5</v>
      </c>
      <c r="AO74" s="262">
        <f>AN74/INDEX(Parameters!$B:$B,MATCH("AfschrijftermijnVVE"&amp;12*$C74,Parameters!$A:$A,0))</f>
        <v>0.1388888888888889</v>
      </c>
      <c r="AP74" s="179">
        <f t="shared" si="46"/>
        <v>138</v>
      </c>
      <c r="AQ74" s="202">
        <f>IF(AP74&lt;&gt;"nvt",INDEX('Tarieven W&amp;O'!$G:$G,$AP74),0)</f>
        <v>7.41</v>
      </c>
      <c r="AR74" s="463">
        <f>-INDEX(Parameters!$B:$B,MATCH(AR$3&amp;$M74&amp;O74,Parameters!$A:$A,0))*(AQ74)</f>
        <v>0</v>
      </c>
      <c r="AS74" s="262">
        <v>0</v>
      </c>
      <c r="AT74" s="442">
        <f>IF(M74="WBA CM Ethernet",0,'EDC Minus'!$H$27)</f>
        <v>1</v>
      </c>
      <c r="AU74" s="202">
        <f t="shared" si="47"/>
        <v>8.41</v>
      </c>
      <c r="AV74" s="202">
        <f t="shared" si="48"/>
        <v>8.5488888888888894</v>
      </c>
      <c r="AW74" s="202"/>
      <c r="AX74" s="202">
        <f>Parameters!$B$6*AV74</f>
        <v>8.5488888888888892E-2</v>
      </c>
      <c r="AY74" s="202">
        <v>0</v>
      </c>
      <c r="AZ74" s="202"/>
      <c r="BA74" s="150">
        <f t="shared" si="52"/>
        <v>8.5488888888888892E-2</v>
      </c>
      <c r="BB74" s="150"/>
      <c r="BC74" s="151">
        <f t="shared" si="53"/>
        <v>8.6343777777777788</v>
      </c>
      <c r="BD74" s="123"/>
      <c r="BE74" s="140">
        <f t="shared" si="50"/>
        <v>1019.1434</v>
      </c>
      <c r="BF74" s="141">
        <f t="shared" si="51"/>
        <v>0.99159898378378375</v>
      </c>
      <c r="BG74" s="142" t="b">
        <f t="shared" si="49"/>
        <v>0</v>
      </c>
      <c r="BH74" s="148"/>
      <c r="BI74" s="188" t="s">
        <v>539</v>
      </c>
      <c r="BJ74" s="189"/>
      <c r="BK74">
        <f>VLOOKUP(J74,'Tarieven ZM'!$B$7:$I$146,8,0)</f>
        <v>0</v>
      </c>
      <c r="BL74" s="179" t="str">
        <f>INDEX(Mapping!$M:$M,MATCH($J74,Mapping!$B:$B,0))</f>
        <v>nvt</v>
      </c>
      <c r="BM74" s="282">
        <v>0</v>
      </c>
      <c r="BN74" s="262">
        <f>BM74/INDEX(Parameters!$B:$B,MATCH("AfschrijftermijnVVE"&amp;12*$C74,Parameters!$A:$A,0))</f>
        <v>0</v>
      </c>
      <c r="BO74" s="262">
        <f>AS74+INDEX('inkoop ULL tbv Epacity'!I:I,MATCH($BL74,'inkoop ULL tbv Epacity'!H:H,0))</f>
        <v>0</v>
      </c>
      <c r="BP74" s="263">
        <f t="shared" si="54"/>
        <v>0</v>
      </c>
      <c r="BQ74" s="203"/>
      <c r="BR74" s="262">
        <f>Parameters!$B$12*AG74</f>
        <v>102.77777777777779</v>
      </c>
      <c r="BS74" s="262">
        <f>SUM(Distributievergoedingen!$F$12,Distributievergoedingen!$I$12,Distributievergoedingen!$L$12,Distributievergoedingen!$O$12)*AF74+SUM(Distributievergoedingen!$O$12*AA74+Distributievergoedingen!$R$12+Distributievergoedingen!$U$12+Distributievergoedingen!$X$12)/(MAX(36,12*L74))</f>
        <v>112.77777777777777</v>
      </c>
      <c r="BT74" s="262"/>
      <c r="BU74" s="150">
        <f t="shared" si="55"/>
        <v>215.55555555555554</v>
      </c>
      <c r="BW74" s="151">
        <f t="shared" si="56"/>
        <v>215.55555555555554</v>
      </c>
      <c r="BY74" s="140">
        <f t="shared" si="57"/>
        <v>812.22222222222229</v>
      </c>
      <c r="BZ74" s="141">
        <f t="shared" si="58"/>
        <v>0.7902702702702703</v>
      </c>
      <c r="CA74" s="142" t="b">
        <f t="shared" si="59"/>
        <v>0</v>
      </c>
    </row>
    <row r="75" spans="1:79">
      <c r="A75" s="160" t="str">
        <f t="shared" si="38"/>
        <v>3SDSLAddnationaal1024/1024</v>
      </c>
      <c r="B75" s="142" t="str">
        <f t="shared" si="39"/>
        <v>3SDSL1024/1024Add</v>
      </c>
      <c r="C75" s="198">
        <v>3</v>
      </c>
      <c r="D75" s="198" t="s">
        <v>64</v>
      </c>
      <c r="E75" s="198" t="s">
        <v>103</v>
      </c>
      <c r="F75" s="198" t="s">
        <v>115</v>
      </c>
      <c r="G75" s="199" t="s">
        <v>113</v>
      </c>
      <c r="H75" s="198" t="s">
        <v>66</v>
      </c>
      <c r="J75" s="142" t="str">
        <f t="shared" si="40"/>
        <v>SDSL1024/1024Add</v>
      </c>
      <c r="L75" s="160">
        <f>INDEX(Mapping!$J:$J,MATCH(C$3&amp;C75,Mapping!$B:$B,0))</f>
        <v>1</v>
      </c>
      <c r="M75" s="179" t="str">
        <f>INDEX(Mapping!$H:$H,MATCH(D75&amp;H75&amp;$E75,Mapping!$B:$B,0))</f>
        <v>WBA ZM Ethernet</v>
      </c>
      <c r="N75" s="179" t="str">
        <f>INDEX(Mapping!$J:$J,MATCH(D75&amp;H75&amp;$E75,Mapping!$B:$B,0))</f>
        <v>premium</v>
      </c>
      <c r="O75" s="179" t="str">
        <f>INDEX(Mapping!$I:$I,MATCH($D75,Mapping!$B:$B,0))</f>
        <v>SDSL</v>
      </c>
      <c r="P75" s="179" t="str">
        <f>INDEX(Mapping!$H:$H,MATCH($F75,Mapping!$B:$B,0))</f>
        <v>nvt</v>
      </c>
      <c r="Q75" s="283" t="str">
        <f>INDEX(Mapping!$K:$K,MATCH($D75&amp;$H75&amp;E75,Mapping!$B:$B,0))</f>
        <v>metro</v>
      </c>
      <c r="R75" s="179" t="str">
        <f>INDEX(Mapping!$I:$I,MATCH(D75&amp;H75&amp;$E75,Mapping!$B:$B,0))</f>
        <v>1 Mbps/1 Mbps</v>
      </c>
      <c r="S75" s="203"/>
      <c r="T75" s="283" t="str">
        <f>INDEX(Mapping!$L:$L,MATCH($D75&amp;$H75&amp;E75,Mapping!$B:$B,0))</f>
        <v>metro-nationaal</v>
      </c>
      <c r="U75" s="142" t="str">
        <f t="shared" si="41"/>
        <v>WBA ZM Ethernet1 Mbps/1 Mbpspremiummetro</v>
      </c>
      <c r="W75" s="160">
        <f>MATCH($J75,'Tarieven ZM'!$B:$B,0)</f>
        <v>72</v>
      </c>
      <c r="X75" s="148">
        <f>INDEX('Tarieven ZM'!$H:$H,$W75)</f>
        <v>1000</v>
      </c>
      <c r="Y75" s="161">
        <f>-INDEX(Parameters!$B:$B,MATCH(Y$3,Parameters!$A:$A,0))*$X75</f>
        <v>0</v>
      </c>
      <c r="Z75" s="149">
        <f>-INDEX(Parameters!$B:$B,MATCH(Z$3,Parameters!$A:$A,0))*$X75</f>
        <v>0</v>
      </c>
      <c r="AA75" s="148">
        <f t="shared" si="42"/>
        <v>1000</v>
      </c>
      <c r="AB75" s="148">
        <f>AA75/INDEX(Parameters!$B:$B,MATCH("AfschrijftermijnVVE"&amp;12*$C75,Parameters!$A:$A,0))</f>
        <v>27.777777777777779</v>
      </c>
      <c r="AC75" s="148">
        <f>INDEX('Tarieven ZM'!$G:$G,$W75)</f>
        <v>1000</v>
      </c>
      <c r="AD75" s="161">
        <f>-INDEX(Parameters!$B:$B,MATCH(AD$3,Parameters!$A:$A,0))*$AC75</f>
        <v>0</v>
      </c>
      <c r="AE75" s="161">
        <f>-INDEX(Parameters!$B:$B,MATCH(AE$3,Parameters!$A:$A,0))*$AC75</f>
        <v>0</v>
      </c>
      <c r="AF75" s="148">
        <f t="shared" si="43"/>
        <v>1000</v>
      </c>
      <c r="AG75" s="151">
        <f t="shared" si="44"/>
        <v>1027.7777777777778</v>
      </c>
      <c r="AH75" s="123"/>
      <c r="AI75" s="147">
        <f>IF(R75&lt;&gt;"n.a.",MATCH($U75,'Tarieven W&amp;O'!$B:$B,0),"nvt")</f>
        <v>138</v>
      </c>
      <c r="AJ75" s="148">
        <f>IF(AI75&lt;&gt;"nvt",INDEX('Tarieven W&amp;O'!$H:$H,$AI75),0)</f>
        <v>0</v>
      </c>
      <c r="AK75" s="148">
        <f>IF(AI75&lt;&gt;"nvt",INDEX('Tarieven W&amp;O'!$I:$I,$AI75),0)</f>
        <v>5</v>
      </c>
      <c r="AL75" s="277">
        <f>IF(AI75&lt;&gt;"nvt",-INDEX(Parameters!$B:$B,MATCH(AL$3&amp;$M75,Parameters!$A:$A,0))*(AJ75+AK75),0)</f>
        <v>0</v>
      </c>
      <c r="AM75" s="442"/>
      <c r="AN75" s="179">
        <f t="shared" si="45"/>
        <v>5</v>
      </c>
      <c r="AO75" s="262">
        <f>AN75/INDEX(Parameters!$B:$B,MATCH("AfschrijftermijnVVE"&amp;12*$C75,Parameters!$A:$A,0))</f>
        <v>0.1388888888888889</v>
      </c>
      <c r="AP75" s="179">
        <f t="shared" si="46"/>
        <v>138</v>
      </c>
      <c r="AQ75" s="202">
        <f>IF(AP75&lt;&gt;"nvt",INDEX('Tarieven W&amp;O'!$G:$G,$AP75),0)</f>
        <v>7.41</v>
      </c>
      <c r="AR75" s="463">
        <f>-INDEX(Parameters!$B:$B,MATCH(AR$3&amp;$M75&amp;O75,Parameters!$A:$A,0))*(AQ75)</f>
        <v>0</v>
      </c>
      <c r="AS75" s="262">
        <v>0</v>
      </c>
      <c r="AT75" s="442">
        <f>IF(M75="WBA CM Ethernet",0,'EDC Minus'!$H$27)</f>
        <v>1</v>
      </c>
      <c r="AU75" s="202">
        <f t="shared" si="47"/>
        <v>8.41</v>
      </c>
      <c r="AV75" s="202">
        <f t="shared" si="48"/>
        <v>8.5488888888888894</v>
      </c>
      <c r="AW75" s="202"/>
      <c r="AX75" s="202">
        <f>Parameters!$B$6*AV75</f>
        <v>8.5488888888888892E-2</v>
      </c>
      <c r="AY75" s="202">
        <v>0</v>
      </c>
      <c r="AZ75" s="202"/>
      <c r="BA75" s="150">
        <f t="shared" si="52"/>
        <v>8.5488888888888892E-2</v>
      </c>
      <c r="BB75" s="150"/>
      <c r="BC75" s="151">
        <f t="shared" si="53"/>
        <v>8.6343777777777788</v>
      </c>
      <c r="BD75" s="123"/>
      <c r="BE75" s="140">
        <f t="shared" si="50"/>
        <v>1019.1434</v>
      </c>
      <c r="BF75" s="141">
        <f t="shared" si="51"/>
        <v>0.99159898378378375</v>
      </c>
      <c r="BG75" s="142" t="b">
        <f t="shared" si="49"/>
        <v>0</v>
      </c>
      <c r="BH75" s="148"/>
      <c r="BI75" s="188" t="s">
        <v>539</v>
      </c>
      <c r="BJ75" s="189"/>
      <c r="BK75">
        <f>VLOOKUP(J75,'Tarieven ZM'!$B$7:$I$146,8,0)</f>
        <v>0</v>
      </c>
      <c r="BL75" s="179" t="str">
        <f>INDEX(Mapping!$M:$M,MATCH($J75,Mapping!$B:$B,0))</f>
        <v>nvt</v>
      </c>
      <c r="BM75" s="282">
        <v>0</v>
      </c>
      <c r="BN75" s="262">
        <f>BM75/INDEX(Parameters!$B:$B,MATCH("AfschrijftermijnVVE"&amp;12*$C75,Parameters!$A:$A,0))</f>
        <v>0</v>
      </c>
      <c r="BO75" s="262">
        <f>AS75+INDEX('inkoop ULL tbv Epacity'!I:I,MATCH($BL75,'inkoop ULL tbv Epacity'!H:H,0))</f>
        <v>0</v>
      </c>
      <c r="BP75" s="263">
        <f t="shared" si="54"/>
        <v>0</v>
      </c>
      <c r="BQ75" s="203"/>
      <c r="BR75" s="262">
        <f>Parameters!$B$12*AG75</f>
        <v>102.77777777777779</v>
      </c>
      <c r="BS75" s="262">
        <f>SUM(Distributievergoedingen!$F$12,Distributievergoedingen!$I$12,Distributievergoedingen!$L$12,Distributievergoedingen!$O$12)*AF75+SUM(Distributievergoedingen!$O$12*AA75+Distributievergoedingen!$R$12+Distributievergoedingen!$U$12+Distributievergoedingen!$X$12)/(MAX(36,12*L75))</f>
        <v>112.77777777777777</v>
      </c>
      <c r="BT75" s="262"/>
      <c r="BU75" s="150">
        <f t="shared" si="55"/>
        <v>215.55555555555554</v>
      </c>
      <c r="BW75" s="151">
        <f t="shared" si="56"/>
        <v>215.55555555555554</v>
      </c>
      <c r="BY75" s="140">
        <f t="shared" si="57"/>
        <v>812.22222222222229</v>
      </c>
      <c r="BZ75" s="141">
        <f t="shared" si="58"/>
        <v>0.7902702702702703</v>
      </c>
      <c r="CA75" s="142" t="b">
        <f t="shared" si="59"/>
        <v>0</v>
      </c>
    </row>
    <row r="76" spans="1:79">
      <c r="A76" s="160" t="str">
        <f t="shared" si="38"/>
        <v>3SDSLAddnationaal1536/1536</v>
      </c>
      <c r="B76" s="142" t="str">
        <f t="shared" si="39"/>
        <v>3SDSL1536/1536Add</v>
      </c>
      <c r="C76" s="198">
        <v>3</v>
      </c>
      <c r="D76" s="198" t="s">
        <v>64</v>
      </c>
      <c r="E76" s="198" t="s">
        <v>103</v>
      </c>
      <c r="F76" s="198" t="s">
        <v>115</v>
      </c>
      <c r="G76" s="199" t="s">
        <v>113</v>
      </c>
      <c r="H76" s="198" t="s">
        <v>67</v>
      </c>
      <c r="J76" s="142" t="str">
        <f t="shared" si="40"/>
        <v>SDSL1536/1536Add</v>
      </c>
      <c r="L76" s="160">
        <f>INDEX(Mapping!$J:$J,MATCH(C$3&amp;C76,Mapping!$B:$B,0))</f>
        <v>1</v>
      </c>
      <c r="M76" s="179" t="str">
        <f>INDEX(Mapping!$H:$H,MATCH(D76&amp;H76&amp;$E76,Mapping!$B:$B,0))</f>
        <v>WBA ZM Ethernet</v>
      </c>
      <c r="N76" s="179" t="str">
        <f>INDEX(Mapping!$J:$J,MATCH(D76&amp;H76&amp;$E76,Mapping!$B:$B,0))</f>
        <v>premium</v>
      </c>
      <c r="O76" s="179" t="str">
        <f>INDEX(Mapping!$I:$I,MATCH($D76,Mapping!$B:$B,0))</f>
        <v>SDSL</v>
      </c>
      <c r="P76" s="179" t="str">
        <f>INDEX(Mapping!$H:$H,MATCH($F76,Mapping!$B:$B,0))</f>
        <v>nvt</v>
      </c>
      <c r="Q76" s="283" t="str">
        <f>INDEX(Mapping!$K:$K,MATCH($D76&amp;$H76&amp;E76,Mapping!$B:$B,0))</f>
        <v>metro</v>
      </c>
      <c r="R76" s="179" t="str">
        <f>INDEX(Mapping!$I:$I,MATCH(D76&amp;H76&amp;$E76,Mapping!$B:$B,0))</f>
        <v>2 Mbps/2 Mbps</v>
      </c>
      <c r="S76" s="203"/>
      <c r="T76" s="283" t="str">
        <f>INDEX(Mapping!$L:$L,MATCH($D76&amp;$H76&amp;E76,Mapping!$B:$B,0))</f>
        <v>metro-nationaal</v>
      </c>
      <c r="U76" s="142" t="str">
        <f t="shared" si="41"/>
        <v>WBA ZM Ethernet2 Mbps/2 Mbpspremiummetro</v>
      </c>
      <c r="W76" s="160">
        <f>MATCH($J76,'Tarieven ZM'!$B:$B,0)</f>
        <v>73</v>
      </c>
      <c r="X76" s="148">
        <f>INDEX('Tarieven ZM'!$H:$H,$W76)</f>
        <v>1000</v>
      </c>
      <c r="Y76" s="161">
        <f>-INDEX(Parameters!$B:$B,MATCH(Y$3,Parameters!$A:$A,0))*$X76</f>
        <v>0</v>
      </c>
      <c r="Z76" s="149">
        <f>-INDEX(Parameters!$B:$B,MATCH(Z$3,Parameters!$A:$A,0))*$X76</f>
        <v>0</v>
      </c>
      <c r="AA76" s="148">
        <f t="shared" si="42"/>
        <v>1000</v>
      </c>
      <c r="AB76" s="148">
        <f>AA76/INDEX(Parameters!$B:$B,MATCH("AfschrijftermijnVVE"&amp;12*$C76,Parameters!$A:$A,0))</f>
        <v>27.777777777777779</v>
      </c>
      <c r="AC76" s="148">
        <f>INDEX('Tarieven ZM'!$G:$G,$W76)</f>
        <v>1000</v>
      </c>
      <c r="AD76" s="161">
        <f>-INDEX(Parameters!$B:$B,MATCH(AD$3,Parameters!$A:$A,0))*$AC76</f>
        <v>0</v>
      </c>
      <c r="AE76" s="161">
        <f>-INDEX(Parameters!$B:$B,MATCH(AE$3,Parameters!$A:$A,0))*$AC76</f>
        <v>0</v>
      </c>
      <c r="AF76" s="148">
        <f t="shared" si="43"/>
        <v>1000</v>
      </c>
      <c r="AG76" s="151">
        <f t="shared" si="44"/>
        <v>1027.7777777777778</v>
      </c>
      <c r="AH76" s="123"/>
      <c r="AI76" s="147">
        <f>IF(R76&lt;&gt;"n.a.",MATCH($U76,'Tarieven W&amp;O'!$B:$B,0),"nvt")</f>
        <v>139</v>
      </c>
      <c r="AJ76" s="148">
        <f>IF(AI76&lt;&gt;"nvt",INDEX('Tarieven W&amp;O'!$H:$H,$AI76),0)</f>
        <v>0</v>
      </c>
      <c r="AK76" s="148">
        <f>IF(AI76&lt;&gt;"nvt",INDEX('Tarieven W&amp;O'!$I:$I,$AI76),0)</f>
        <v>5</v>
      </c>
      <c r="AL76" s="277">
        <f>IF(AI76&lt;&gt;"nvt",-INDEX(Parameters!$B:$B,MATCH(AL$3&amp;$M76,Parameters!$A:$A,0))*(AJ76+AK76),0)</f>
        <v>0</v>
      </c>
      <c r="AM76" s="442"/>
      <c r="AN76" s="179">
        <f t="shared" si="45"/>
        <v>5</v>
      </c>
      <c r="AO76" s="262">
        <f>AN76/INDEX(Parameters!$B:$B,MATCH("AfschrijftermijnVVE"&amp;12*$C76,Parameters!$A:$A,0))</f>
        <v>0.1388888888888889</v>
      </c>
      <c r="AP76" s="179">
        <f t="shared" si="46"/>
        <v>139</v>
      </c>
      <c r="AQ76" s="202">
        <f>IF(AP76&lt;&gt;"nvt",INDEX('Tarieven W&amp;O'!$G:$G,$AP76),0)</f>
        <v>14.82</v>
      </c>
      <c r="AR76" s="463">
        <f>-INDEX(Parameters!$B:$B,MATCH(AR$3&amp;$M76&amp;O76,Parameters!$A:$A,0))*(AQ76)</f>
        <v>0</v>
      </c>
      <c r="AS76" s="262">
        <v>0</v>
      </c>
      <c r="AT76" s="442">
        <f>IF(M76="WBA CM Ethernet",0,'EDC Minus'!$H$27)</f>
        <v>1</v>
      </c>
      <c r="AU76" s="202">
        <f t="shared" si="47"/>
        <v>15.82</v>
      </c>
      <c r="AV76" s="202">
        <f t="shared" si="48"/>
        <v>15.95888888888889</v>
      </c>
      <c r="AW76" s="202"/>
      <c r="AX76" s="202">
        <f>Parameters!$B$6*AV76</f>
        <v>0.15958888888888889</v>
      </c>
      <c r="AY76" s="202">
        <v>0</v>
      </c>
      <c r="AZ76" s="202"/>
      <c r="BA76" s="150">
        <f t="shared" si="52"/>
        <v>0.15958888888888889</v>
      </c>
      <c r="BB76" s="150"/>
      <c r="BC76" s="151">
        <f t="shared" si="53"/>
        <v>16.118477777777777</v>
      </c>
      <c r="BD76" s="123"/>
      <c r="BE76" s="140">
        <f t="shared" si="50"/>
        <v>1011.6593</v>
      </c>
      <c r="BF76" s="141">
        <f t="shared" si="51"/>
        <v>0.98431715675675668</v>
      </c>
      <c r="BG76" s="142" t="b">
        <f t="shared" si="49"/>
        <v>0</v>
      </c>
      <c r="BH76" s="148"/>
      <c r="BI76" s="188" t="s">
        <v>539</v>
      </c>
      <c r="BJ76" s="189"/>
      <c r="BK76">
        <f>VLOOKUP(J76,'Tarieven ZM'!$B$7:$I$146,8,0)</f>
        <v>0</v>
      </c>
      <c r="BL76" s="179" t="str">
        <f>INDEX(Mapping!$M:$M,MATCH($J76,Mapping!$B:$B,0))</f>
        <v>nvt</v>
      </c>
      <c r="BM76" s="282">
        <v>0</v>
      </c>
      <c r="BN76" s="262">
        <f>BM76/INDEX(Parameters!$B:$B,MATCH("AfschrijftermijnVVE"&amp;12*$C76,Parameters!$A:$A,0))</f>
        <v>0</v>
      </c>
      <c r="BO76" s="262">
        <f>AS76+INDEX('inkoop ULL tbv Epacity'!I:I,MATCH($BL76,'inkoop ULL tbv Epacity'!H:H,0))</f>
        <v>0</v>
      </c>
      <c r="BP76" s="263">
        <f t="shared" si="54"/>
        <v>0</v>
      </c>
      <c r="BQ76" s="203"/>
      <c r="BR76" s="262">
        <f>Parameters!$B$12*AG76</f>
        <v>102.77777777777779</v>
      </c>
      <c r="BS76" s="262">
        <f>SUM(Distributievergoedingen!$F$12,Distributievergoedingen!$I$12,Distributievergoedingen!$L$12,Distributievergoedingen!$O$12)*AF76+SUM(Distributievergoedingen!$O$12*AA76+Distributievergoedingen!$R$12+Distributievergoedingen!$U$12+Distributievergoedingen!$X$12)/(MAX(36,12*L76))</f>
        <v>112.77777777777777</v>
      </c>
      <c r="BT76" s="262"/>
      <c r="BU76" s="150">
        <f t="shared" si="55"/>
        <v>215.55555555555554</v>
      </c>
      <c r="BW76" s="151">
        <f t="shared" si="56"/>
        <v>215.55555555555554</v>
      </c>
      <c r="BY76" s="140">
        <f t="shared" si="57"/>
        <v>812.22222222222229</v>
      </c>
      <c r="BZ76" s="141">
        <f t="shared" si="58"/>
        <v>0.7902702702702703</v>
      </c>
      <c r="CA76" s="142" t="b">
        <f t="shared" si="59"/>
        <v>0</v>
      </c>
    </row>
    <row r="77" spans="1:79">
      <c r="A77" s="160" t="str">
        <f t="shared" si="38"/>
        <v>3SDSLAddnationaal2048/2048</v>
      </c>
      <c r="B77" s="142" t="str">
        <f t="shared" si="39"/>
        <v>3SDSL2048/2048Add</v>
      </c>
      <c r="C77" s="198">
        <v>3</v>
      </c>
      <c r="D77" s="198" t="s">
        <v>64</v>
      </c>
      <c r="E77" s="198" t="s">
        <v>103</v>
      </c>
      <c r="F77" s="198" t="s">
        <v>115</v>
      </c>
      <c r="G77" s="199" t="s">
        <v>113</v>
      </c>
      <c r="H77" s="198" t="s">
        <v>68</v>
      </c>
      <c r="J77" s="142" t="str">
        <f t="shared" si="40"/>
        <v>SDSL2048/2048Add</v>
      </c>
      <c r="L77" s="160">
        <f>INDEX(Mapping!$J:$J,MATCH(C$3&amp;C77,Mapping!$B:$B,0))</f>
        <v>1</v>
      </c>
      <c r="M77" s="179" t="str">
        <f>INDEX(Mapping!$H:$H,MATCH(D77&amp;H77&amp;$E77,Mapping!$B:$B,0))</f>
        <v>WBA ZM Ethernet</v>
      </c>
      <c r="N77" s="179" t="str">
        <f>INDEX(Mapping!$J:$J,MATCH(D77&amp;H77&amp;$E77,Mapping!$B:$B,0))</f>
        <v>premium</v>
      </c>
      <c r="O77" s="179" t="str">
        <f>INDEX(Mapping!$I:$I,MATCH($D77,Mapping!$B:$B,0))</f>
        <v>SDSL</v>
      </c>
      <c r="P77" s="179" t="str">
        <f>INDEX(Mapping!$H:$H,MATCH($F77,Mapping!$B:$B,0))</f>
        <v>nvt</v>
      </c>
      <c r="Q77" s="283" t="str">
        <f>INDEX(Mapping!$K:$K,MATCH($D77&amp;$H77&amp;E77,Mapping!$B:$B,0))</f>
        <v>metro</v>
      </c>
      <c r="R77" s="179" t="str">
        <f>INDEX(Mapping!$I:$I,MATCH(D77&amp;H77&amp;$E77,Mapping!$B:$B,0))</f>
        <v>2 Mbps/2 Mbps</v>
      </c>
      <c r="S77" s="203"/>
      <c r="T77" s="283" t="str">
        <f>INDEX(Mapping!$L:$L,MATCH($D77&amp;$H77&amp;E77,Mapping!$B:$B,0))</f>
        <v>metro-nationaal</v>
      </c>
      <c r="U77" s="142" t="str">
        <f t="shared" si="41"/>
        <v>WBA ZM Ethernet2 Mbps/2 Mbpspremiummetro</v>
      </c>
      <c r="W77" s="160">
        <f>MATCH($J77,'Tarieven ZM'!$B:$B,0)</f>
        <v>74</v>
      </c>
      <c r="X77" s="148">
        <f>INDEX('Tarieven ZM'!$H:$H,$W77)</f>
        <v>1000</v>
      </c>
      <c r="Y77" s="161">
        <f>-INDEX(Parameters!$B:$B,MATCH(Y$3,Parameters!$A:$A,0))*$X77</f>
        <v>0</v>
      </c>
      <c r="Z77" s="149">
        <f>-INDEX(Parameters!$B:$B,MATCH(Z$3,Parameters!$A:$A,0))*$X77</f>
        <v>0</v>
      </c>
      <c r="AA77" s="148">
        <f t="shared" si="42"/>
        <v>1000</v>
      </c>
      <c r="AB77" s="148">
        <f>AA77/INDEX(Parameters!$B:$B,MATCH("AfschrijftermijnVVE"&amp;12*$C77,Parameters!$A:$A,0))</f>
        <v>27.777777777777779</v>
      </c>
      <c r="AC77" s="148">
        <f>INDEX('Tarieven ZM'!$G:$G,$W77)</f>
        <v>1000</v>
      </c>
      <c r="AD77" s="161">
        <f>-INDEX(Parameters!$B:$B,MATCH(AD$3,Parameters!$A:$A,0))*$AC77</f>
        <v>0</v>
      </c>
      <c r="AE77" s="161">
        <f>-INDEX(Parameters!$B:$B,MATCH(AE$3,Parameters!$A:$A,0))*$AC77</f>
        <v>0</v>
      </c>
      <c r="AF77" s="148">
        <f t="shared" si="43"/>
        <v>1000</v>
      </c>
      <c r="AG77" s="151">
        <f t="shared" si="44"/>
        <v>1027.7777777777778</v>
      </c>
      <c r="AH77" s="123"/>
      <c r="AI77" s="147">
        <f>IF(R77&lt;&gt;"n.a.",MATCH($U77,'Tarieven W&amp;O'!$B:$B,0),"nvt")</f>
        <v>139</v>
      </c>
      <c r="AJ77" s="148">
        <f>IF(AI77&lt;&gt;"nvt",INDEX('Tarieven W&amp;O'!$H:$H,$AI77),0)</f>
        <v>0</v>
      </c>
      <c r="AK77" s="148">
        <f>IF(AI77&lt;&gt;"nvt",INDEX('Tarieven W&amp;O'!$I:$I,$AI77),0)</f>
        <v>5</v>
      </c>
      <c r="AL77" s="277">
        <f>IF(AI77&lt;&gt;"nvt",-INDEX(Parameters!$B:$B,MATCH(AL$3&amp;$M77,Parameters!$A:$A,0))*(AJ77+AK77),0)</f>
        <v>0</v>
      </c>
      <c r="AM77" s="442"/>
      <c r="AN77" s="179">
        <f t="shared" si="45"/>
        <v>5</v>
      </c>
      <c r="AO77" s="262">
        <f>AN77/INDEX(Parameters!$B:$B,MATCH("AfschrijftermijnVVE"&amp;12*$C77,Parameters!$A:$A,0))</f>
        <v>0.1388888888888889</v>
      </c>
      <c r="AP77" s="179">
        <f t="shared" si="46"/>
        <v>139</v>
      </c>
      <c r="AQ77" s="202">
        <f>IF(AP77&lt;&gt;"nvt",INDEX('Tarieven W&amp;O'!$G:$G,$AP77),0)</f>
        <v>14.82</v>
      </c>
      <c r="AR77" s="463">
        <f>-INDEX(Parameters!$B:$B,MATCH(AR$3&amp;$M77&amp;O77,Parameters!$A:$A,0))*(AQ77)</f>
        <v>0</v>
      </c>
      <c r="AS77" s="262">
        <v>0</v>
      </c>
      <c r="AT77" s="442">
        <f>IF(M77="WBA CM Ethernet",0,'EDC Minus'!$H$27)</f>
        <v>1</v>
      </c>
      <c r="AU77" s="202">
        <f t="shared" si="47"/>
        <v>15.82</v>
      </c>
      <c r="AV77" s="202">
        <f t="shared" si="48"/>
        <v>15.95888888888889</v>
      </c>
      <c r="AW77" s="202"/>
      <c r="AX77" s="202">
        <f>Parameters!$B$6*AV77</f>
        <v>0.15958888888888889</v>
      </c>
      <c r="AY77" s="202">
        <v>0</v>
      </c>
      <c r="AZ77" s="202"/>
      <c r="BA77" s="150">
        <f t="shared" si="52"/>
        <v>0.15958888888888889</v>
      </c>
      <c r="BB77" s="150"/>
      <c r="BC77" s="151">
        <f t="shared" si="53"/>
        <v>16.118477777777777</v>
      </c>
      <c r="BD77" s="123"/>
      <c r="BE77" s="140">
        <f t="shared" si="50"/>
        <v>1011.6593</v>
      </c>
      <c r="BF77" s="141">
        <f t="shared" si="51"/>
        <v>0.98431715675675668</v>
      </c>
      <c r="BG77" s="142" t="b">
        <f t="shared" si="49"/>
        <v>0</v>
      </c>
      <c r="BH77" s="148"/>
      <c r="BI77" s="188" t="s">
        <v>539</v>
      </c>
      <c r="BJ77" s="189"/>
      <c r="BK77">
        <f>VLOOKUP(J77,'Tarieven ZM'!$B$7:$I$146,8,0)</f>
        <v>0</v>
      </c>
      <c r="BL77" s="179" t="str">
        <f>INDEX(Mapping!$M:$M,MATCH($J77,Mapping!$B:$B,0))</f>
        <v>nvt</v>
      </c>
      <c r="BM77" s="282">
        <v>0</v>
      </c>
      <c r="BN77" s="262">
        <f>BM77/INDEX(Parameters!$B:$B,MATCH("AfschrijftermijnVVE"&amp;12*$C77,Parameters!$A:$A,0))</f>
        <v>0</v>
      </c>
      <c r="BO77" s="262">
        <f>AS77+INDEX('inkoop ULL tbv Epacity'!I:I,MATCH($BL77,'inkoop ULL tbv Epacity'!H:H,0))</f>
        <v>0</v>
      </c>
      <c r="BP77" s="263">
        <f t="shared" si="54"/>
        <v>0</v>
      </c>
      <c r="BQ77" s="203"/>
      <c r="BR77" s="262">
        <f>Parameters!$B$12*AG77</f>
        <v>102.77777777777779</v>
      </c>
      <c r="BS77" s="262">
        <f>SUM(Distributievergoedingen!$F$12,Distributievergoedingen!$I$12,Distributievergoedingen!$L$12,Distributievergoedingen!$O$12)*AF77+SUM(Distributievergoedingen!$O$12*AA77+Distributievergoedingen!$R$12+Distributievergoedingen!$U$12+Distributievergoedingen!$X$12)/(MAX(36,12*L77))</f>
        <v>112.77777777777777</v>
      </c>
      <c r="BT77" s="262"/>
      <c r="BU77" s="150">
        <f t="shared" si="55"/>
        <v>215.55555555555554</v>
      </c>
      <c r="BW77" s="151">
        <f t="shared" si="56"/>
        <v>215.55555555555554</v>
      </c>
      <c r="BY77" s="140">
        <f t="shared" si="57"/>
        <v>812.22222222222229</v>
      </c>
      <c r="BZ77" s="141">
        <f t="shared" si="58"/>
        <v>0.7902702702702703</v>
      </c>
      <c r="CA77" s="142" t="b">
        <f t="shared" si="59"/>
        <v>0</v>
      </c>
    </row>
    <row r="78" spans="1:79">
      <c r="A78" s="160" t="str">
        <f t="shared" si="38"/>
        <v>3VDSLAddnationaal128/128</v>
      </c>
      <c r="B78" s="142" t="str">
        <f t="shared" si="39"/>
        <v>3VDSL128/128Add</v>
      </c>
      <c r="C78" s="198">
        <v>3</v>
      </c>
      <c r="D78" s="198" t="s">
        <v>77</v>
      </c>
      <c r="E78" s="198" t="s">
        <v>103</v>
      </c>
      <c r="F78" s="198" t="s">
        <v>115</v>
      </c>
      <c r="G78" s="199" t="s">
        <v>113</v>
      </c>
      <c r="H78" s="198" t="s">
        <v>43</v>
      </c>
      <c r="J78" s="142" t="str">
        <f t="shared" si="40"/>
        <v>VDSL128/128Add</v>
      </c>
      <c r="L78" s="160">
        <f>INDEX(Mapping!$J:$J,MATCH(C$3&amp;C78,Mapping!$B:$B,0))</f>
        <v>1</v>
      </c>
      <c r="M78" s="179" t="str">
        <f>INDEX(Mapping!$H:$H,MATCH(D78&amp;H78&amp;$E78,Mapping!$B:$B,0))</f>
        <v>WBA CM Ethernet</v>
      </c>
      <c r="N78" s="179" t="str">
        <f>INDEX(Mapping!$J:$J,MATCH(D78&amp;H78&amp;$E78,Mapping!$B:$B,0))</f>
        <v>add</v>
      </c>
      <c r="O78" s="179" t="str">
        <f>INDEX(Mapping!$I:$I,MATCH($D78,Mapping!$B:$B,0))</f>
        <v>VDSL</v>
      </c>
      <c r="P78" s="179" t="str">
        <f>INDEX(Mapping!$H:$H,MATCH($F78,Mapping!$B:$B,0))</f>
        <v>nvt</v>
      </c>
      <c r="Q78" s="283" t="str">
        <f>INDEX(Mapping!$K:$K,MATCH($D78&amp;$H78&amp;E78,Mapping!$B:$B,0))</f>
        <v>national</v>
      </c>
      <c r="R78" s="179" t="str">
        <f>INDEX(Mapping!$I:$I,MATCH(D78&amp;H78&amp;$E78,Mapping!$B:$B,0))</f>
        <v>&lt;=256 kbps/&lt;=256 kbps</v>
      </c>
      <c r="S78" s="203"/>
      <c r="T78" s="283" t="str">
        <f>INDEX(Mapping!$L:$L,MATCH($D78&amp;$H78&amp;E78,Mapping!$B:$B,0))</f>
        <v>nvt</v>
      </c>
      <c r="U78" s="142" t="str">
        <f t="shared" si="41"/>
        <v>WBA CM Ethernet&lt;=256 kbps/&lt;=256 kbpsaddnational</v>
      </c>
      <c r="W78" s="160">
        <f>MATCH($J78,'Tarieven ZM'!$B:$B,0)</f>
        <v>75</v>
      </c>
      <c r="X78" s="148">
        <f>INDEX('Tarieven ZM'!$H:$H,$W78)</f>
        <v>1000</v>
      </c>
      <c r="Y78" s="161">
        <f>-INDEX(Parameters!$B:$B,MATCH(Y$3,Parameters!$A:$A,0))*$X78</f>
        <v>0</v>
      </c>
      <c r="Z78" s="149">
        <f>-INDEX(Parameters!$B:$B,MATCH(Z$3,Parameters!$A:$A,0))*$X78</f>
        <v>0</v>
      </c>
      <c r="AA78" s="148">
        <f t="shared" si="42"/>
        <v>1000</v>
      </c>
      <c r="AB78" s="148">
        <f>AA78/INDEX(Parameters!$B:$B,MATCH("AfschrijftermijnVVE"&amp;12*$C78,Parameters!$A:$A,0))</f>
        <v>27.777777777777779</v>
      </c>
      <c r="AC78" s="148">
        <f>INDEX('Tarieven ZM'!$G:$G,$W78)</f>
        <v>1000</v>
      </c>
      <c r="AD78" s="161">
        <f>-INDEX(Parameters!$B:$B,MATCH(AD$3,Parameters!$A:$A,0))*$AC78</f>
        <v>0</v>
      </c>
      <c r="AE78" s="161">
        <f>-INDEX(Parameters!$B:$B,MATCH(AE$3,Parameters!$A:$A,0))*$AC78</f>
        <v>0</v>
      </c>
      <c r="AF78" s="148">
        <f t="shared" si="43"/>
        <v>1000</v>
      </c>
      <c r="AG78" s="151">
        <f t="shared" si="44"/>
        <v>1027.7777777777778</v>
      </c>
      <c r="AH78" s="123"/>
      <c r="AI78" s="147">
        <f>IF(R78&lt;&gt;"n.a.",MATCH($U78,'Tarieven W&amp;O'!$B:$B,0),"nvt")</f>
        <v>134</v>
      </c>
      <c r="AJ78" s="148">
        <f>IF(AI78&lt;&gt;"nvt",INDEX('Tarieven W&amp;O'!$H:$H,$AI78),0)</f>
        <v>0</v>
      </c>
      <c r="AK78" s="148">
        <f>IF(AI78&lt;&gt;"nvt",INDEX('Tarieven W&amp;O'!$I:$I,$AI78),0)</f>
        <v>5</v>
      </c>
      <c r="AL78" s="277">
        <f>IF(AI78&lt;&gt;"nvt",-INDEX(Parameters!$B:$B,MATCH(AL$3&amp;$M78,Parameters!$A:$A,0))*(AJ78+AK78),0)</f>
        <v>0</v>
      </c>
      <c r="AM78" s="442"/>
      <c r="AN78" s="179">
        <f t="shared" si="45"/>
        <v>5</v>
      </c>
      <c r="AO78" s="262">
        <f>AN78/INDEX(Parameters!$B:$B,MATCH("AfschrijftermijnVVE"&amp;12*$C78,Parameters!$A:$A,0))</f>
        <v>0.1388888888888889</v>
      </c>
      <c r="AP78" s="179">
        <f t="shared" si="46"/>
        <v>134</v>
      </c>
      <c r="AQ78" s="202">
        <f>IF(AP78&lt;&gt;"nvt",INDEX('Tarieven W&amp;O'!$G:$G,$AP78),0)</f>
        <v>1E-4</v>
      </c>
      <c r="AR78" s="463">
        <f>-INDEX(Parameters!$B:$B,MATCH(AR$3&amp;$M78&amp;O78,Parameters!$A:$A,0))*(AQ78)</f>
        <v>-1.0000000000000001E-5</v>
      </c>
      <c r="AS78" s="262">
        <v>0</v>
      </c>
      <c r="AT78" s="442">
        <f>IF(M78="WBA CM Ethernet",0,'EDC Minus'!$H$27)</f>
        <v>0</v>
      </c>
      <c r="AU78" s="202">
        <f t="shared" si="47"/>
        <v>9.0000000000000006E-5</v>
      </c>
      <c r="AV78" s="202">
        <f t="shared" si="48"/>
        <v>0.1389788888888889</v>
      </c>
      <c r="AW78" s="202"/>
      <c r="AX78" s="202">
        <f>Parameters!$B$6*AV78</f>
        <v>1.389788888888889E-3</v>
      </c>
      <c r="AY78" s="202">
        <v>0</v>
      </c>
      <c r="AZ78" s="202"/>
      <c r="BA78" s="150">
        <f t="shared" si="52"/>
        <v>1.389788888888889E-3</v>
      </c>
      <c r="BB78" s="150"/>
      <c r="BC78" s="151">
        <f t="shared" si="53"/>
        <v>0.14036867777777778</v>
      </c>
      <c r="BD78" s="123"/>
      <c r="BE78" s="140">
        <f t="shared" si="50"/>
        <v>1027.6374091</v>
      </c>
      <c r="BF78" s="141">
        <f t="shared" si="51"/>
        <v>0.99986342507027026</v>
      </c>
      <c r="BG78" s="142" t="b">
        <f t="shared" si="49"/>
        <v>0</v>
      </c>
      <c r="BH78" s="148"/>
      <c r="BI78" s="188" t="s">
        <v>539</v>
      </c>
      <c r="BJ78" s="189"/>
      <c r="BK78">
        <f>VLOOKUP(J78,'Tarieven ZM'!$B$7:$I$146,8,0)</f>
        <v>0</v>
      </c>
      <c r="BL78" s="179" t="str">
        <f>INDEX(Mapping!$M:$M,MATCH($J78,Mapping!$B:$B,0))</f>
        <v>nvt</v>
      </c>
      <c r="BM78" s="282">
        <v>0</v>
      </c>
      <c r="BN78" s="262">
        <f>BM78/INDEX(Parameters!$B:$B,MATCH("AfschrijftermijnVVE"&amp;12*$C78,Parameters!$A:$A,0))</f>
        <v>0</v>
      </c>
      <c r="BO78" s="262">
        <f>AS78+INDEX('inkoop ULL tbv Epacity'!I:I,MATCH($BL78,'inkoop ULL tbv Epacity'!H:H,0))</f>
        <v>0</v>
      </c>
      <c r="BP78" s="263">
        <f t="shared" si="54"/>
        <v>0</v>
      </c>
      <c r="BQ78" s="203"/>
      <c r="BR78" s="262">
        <f>Parameters!$B$12*AG78</f>
        <v>102.77777777777779</v>
      </c>
      <c r="BS78" s="262">
        <f>SUM(Distributievergoedingen!$F$12,Distributievergoedingen!$I$12,Distributievergoedingen!$L$12,Distributievergoedingen!$O$12)*AF78+SUM(Distributievergoedingen!$O$12*AA78+Distributievergoedingen!$R$12+Distributievergoedingen!$U$12+Distributievergoedingen!$X$12)/(MAX(36,12*L78))</f>
        <v>112.77777777777777</v>
      </c>
      <c r="BT78" s="262"/>
      <c r="BU78" s="150">
        <f t="shared" si="55"/>
        <v>215.55555555555554</v>
      </c>
      <c r="BW78" s="151">
        <f t="shared" si="56"/>
        <v>215.55555555555554</v>
      </c>
      <c r="BY78" s="140">
        <f t="shared" si="57"/>
        <v>812.22222222222229</v>
      </c>
      <c r="BZ78" s="141">
        <f t="shared" si="58"/>
        <v>0.7902702702702703</v>
      </c>
      <c r="CA78" s="142" t="b">
        <f t="shared" si="59"/>
        <v>0</v>
      </c>
    </row>
    <row r="79" spans="1:79">
      <c r="A79" s="160" t="str">
        <f t="shared" si="38"/>
        <v>3VDSLAddnationaal256/256</v>
      </c>
      <c r="B79" s="142" t="str">
        <f t="shared" si="39"/>
        <v>3VDSL256/256Add</v>
      </c>
      <c r="C79" s="198">
        <v>3</v>
      </c>
      <c r="D79" s="198" t="s">
        <v>77</v>
      </c>
      <c r="E79" s="198" t="s">
        <v>103</v>
      </c>
      <c r="F79" s="198" t="s">
        <v>115</v>
      </c>
      <c r="G79" s="199" t="s">
        <v>113</v>
      </c>
      <c r="H79" s="198" t="s">
        <v>48</v>
      </c>
      <c r="J79" s="142" t="str">
        <f t="shared" si="40"/>
        <v>VDSL256/256Add</v>
      </c>
      <c r="L79" s="160">
        <f>INDEX(Mapping!$J:$J,MATCH(C$3&amp;C79,Mapping!$B:$B,0))</f>
        <v>1</v>
      </c>
      <c r="M79" s="179" t="str">
        <f>INDEX(Mapping!$H:$H,MATCH(D79&amp;H79&amp;$E79,Mapping!$B:$B,0))</f>
        <v>WBA CM Ethernet</v>
      </c>
      <c r="N79" s="179" t="str">
        <f>INDEX(Mapping!$J:$J,MATCH(D79&amp;H79&amp;$E79,Mapping!$B:$B,0))</f>
        <v>add</v>
      </c>
      <c r="O79" s="179" t="str">
        <f>INDEX(Mapping!$I:$I,MATCH($D79,Mapping!$B:$B,0))</f>
        <v>VDSL</v>
      </c>
      <c r="P79" s="179" t="str">
        <f>INDEX(Mapping!$H:$H,MATCH($F79,Mapping!$B:$B,0))</f>
        <v>nvt</v>
      </c>
      <c r="Q79" s="283" t="str">
        <f>INDEX(Mapping!$K:$K,MATCH($D79&amp;$H79&amp;E79,Mapping!$B:$B,0))</f>
        <v>national</v>
      </c>
      <c r="R79" s="179" t="str">
        <f>INDEX(Mapping!$I:$I,MATCH(D79&amp;H79&amp;$E79,Mapping!$B:$B,0))</f>
        <v>&lt;=256 kbps/&lt;=256 kbps</v>
      </c>
      <c r="S79" s="203"/>
      <c r="T79" s="283" t="str">
        <f>INDEX(Mapping!$L:$L,MATCH($D79&amp;$H79&amp;E79,Mapping!$B:$B,0))</f>
        <v>nvt</v>
      </c>
      <c r="U79" s="142" t="str">
        <f t="shared" si="41"/>
        <v>WBA CM Ethernet&lt;=256 kbps/&lt;=256 kbpsaddnational</v>
      </c>
      <c r="W79" s="160">
        <f>MATCH($J79,'Tarieven ZM'!$B:$B,0)</f>
        <v>76</v>
      </c>
      <c r="X79" s="148">
        <f>INDEX('Tarieven ZM'!$H:$H,$W79)</f>
        <v>1000</v>
      </c>
      <c r="Y79" s="161">
        <f>-INDEX(Parameters!$B:$B,MATCH(Y$3,Parameters!$A:$A,0))*$X79</f>
        <v>0</v>
      </c>
      <c r="Z79" s="149">
        <f>-INDEX(Parameters!$B:$B,MATCH(Z$3,Parameters!$A:$A,0))*$X79</f>
        <v>0</v>
      </c>
      <c r="AA79" s="148">
        <f t="shared" si="42"/>
        <v>1000</v>
      </c>
      <c r="AB79" s="148">
        <f>AA79/INDEX(Parameters!$B:$B,MATCH("AfschrijftermijnVVE"&amp;12*$C79,Parameters!$A:$A,0))</f>
        <v>27.777777777777779</v>
      </c>
      <c r="AC79" s="148">
        <f>INDEX('Tarieven ZM'!$G:$G,$W79)</f>
        <v>1000</v>
      </c>
      <c r="AD79" s="161">
        <f>-INDEX(Parameters!$B:$B,MATCH(AD$3,Parameters!$A:$A,0))*$AC79</f>
        <v>0</v>
      </c>
      <c r="AE79" s="161">
        <f>-INDEX(Parameters!$B:$B,MATCH(AE$3,Parameters!$A:$A,0))*$AC79</f>
        <v>0</v>
      </c>
      <c r="AF79" s="148">
        <f t="shared" si="43"/>
        <v>1000</v>
      </c>
      <c r="AG79" s="151">
        <f t="shared" si="44"/>
        <v>1027.7777777777778</v>
      </c>
      <c r="AH79" s="123"/>
      <c r="AI79" s="147">
        <f>IF(R79&lt;&gt;"n.a.",MATCH($U79,'Tarieven W&amp;O'!$B:$B,0),"nvt")</f>
        <v>134</v>
      </c>
      <c r="AJ79" s="148">
        <f>IF(AI79&lt;&gt;"nvt",INDEX('Tarieven W&amp;O'!$H:$H,$AI79),0)</f>
        <v>0</v>
      </c>
      <c r="AK79" s="148">
        <f>IF(AI79&lt;&gt;"nvt",INDEX('Tarieven W&amp;O'!$I:$I,$AI79),0)</f>
        <v>5</v>
      </c>
      <c r="AL79" s="277">
        <f>IF(AI79&lt;&gt;"nvt",-INDEX(Parameters!$B:$B,MATCH(AL$3&amp;$M79,Parameters!$A:$A,0))*(AJ79+AK79),0)</f>
        <v>0</v>
      </c>
      <c r="AM79" s="442"/>
      <c r="AN79" s="179">
        <f t="shared" si="45"/>
        <v>5</v>
      </c>
      <c r="AO79" s="262">
        <f>AN79/INDEX(Parameters!$B:$B,MATCH("AfschrijftermijnVVE"&amp;12*$C79,Parameters!$A:$A,0))</f>
        <v>0.1388888888888889</v>
      </c>
      <c r="AP79" s="179">
        <f t="shared" si="46"/>
        <v>134</v>
      </c>
      <c r="AQ79" s="202">
        <f>IF(AP79&lt;&gt;"nvt",INDEX('Tarieven W&amp;O'!$G:$G,$AP79),0)</f>
        <v>1E-4</v>
      </c>
      <c r="AR79" s="463">
        <f>-INDEX(Parameters!$B:$B,MATCH(AR$3&amp;$M79&amp;O79,Parameters!$A:$A,0))*(AQ79)</f>
        <v>-1.0000000000000001E-5</v>
      </c>
      <c r="AS79" s="262">
        <v>0</v>
      </c>
      <c r="AT79" s="442">
        <f>IF(M79="WBA CM Ethernet",0,'EDC Minus'!$H$27)</f>
        <v>0</v>
      </c>
      <c r="AU79" s="202">
        <f t="shared" si="47"/>
        <v>9.0000000000000006E-5</v>
      </c>
      <c r="AV79" s="202">
        <f t="shared" si="48"/>
        <v>0.1389788888888889</v>
      </c>
      <c r="AW79" s="202"/>
      <c r="AX79" s="202">
        <f>Parameters!$B$6*AV79</f>
        <v>1.389788888888889E-3</v>
      </c>
      <c r="AY79" s="202">
        <v>0</v>
      </c>
      <c r="AZ79" s="202"/>
      <c r="BA79" s="150">
        <f t="shared" si="52"/>
        <v>1.389788888888889E-3</v>
      </c>
      <c r="BB79" s="150"/>
      <c r="BC79" s="151">
        <f t="shared" si="53"/>
        <v>0.14036867777777778</v>
      </c>
      <c r="BD79" s="123"/>
      <c r="BE79" s="140">
        <f t="shared" si="50"/>
        <v>1027.6374091</v>
      </c>
      <c r="BF79" s="141">
        <f t="shared" si="51"/>
        <v>0.99986342507027026</v>
      </c>
      <c r="BG79" s="142" t="b">
        <f t="shared" si="49"/>
        <v>0</v>
      </c>
      <c r="BH79" s="148"/>
      <c r="BI79" s="188" t="s">
        <v>539</v>
      </c>
      <c r="BJ79" s="189"/>
      <c r="BK79">
        <f>VLOOKUP(J79,'Tarieven ZM'!$B$7:$I$146,8,0)</f>
        <v>0</v>
      </c>
      <c r="BL79" s="179" t="str">
        <f>INDEX(Mapping!$M:$M,MATCH($J79,Mapping!$B:$B,0))</f>
        <v>nvt</v>
      </c>
      <c r="BM79" s="282">
        <v>0</v>
      </c>
      <c r="BN79" s="262">
        <f>BM79/INDEX(Parameters!$B:$B,MATCH("AfschrijftermijnVVE"&amp;12*$C79,Parameters!$A:$A,0))</f>
        <v>0</v>
      </c>
      <c r="BO79" s="262">
        <f>AS79+INDEX('inkoop ULL tbv Epacity'!I:I,MATCH($BL79,'inkoop ULL tbv Epacity'!H:H,0))</f>
        <v>0</v>
      </c>
      <c r="BP79" s="263">
        <f t="shared" si="54"/>
        <v>0</v>
      </c>
      <c r="BQ79" s="203"/>
      <c r="BR79" s="262">
        <f>Parameters!$B$12*AG79</f>
        <v>102.77777777777779</v>
      </c>
      <c r="BS79" s="262">
        <f>SUM(Distributievergoedingen!$F$12,Distributievergoedingen!$I$12,Distributievergoedingen!$L$12,Distributievergoedingen!$O$12)*AF79+SUM(Distributievergoedingen!$O$12*AA79+Distributievergoedingen!$R$12+Distributievergoedingen!$U$12+Distributievergoedingen!$X$12)/(MAX(36,12*L79))</f>
        <v>112.77777777777777</v>
      </c>
      <c r="BT79" s="262"/>
      <c r="BU79" s="150">
        <f t="shared" si="55"/>
        <v>215.55555555555554</v>
      </c>
      <c r="BW79" s="151">
        <f t="shared" si="56"/>
        <v>215.55555555555554</v>
      </c>
      <c r="BY79" s="140">
        <f t="shared" si="57"/>
        <v>812.22222222222229</v>
      </c>
      <c r="BZ79" s="141">
        <f t="shared" si="58"/>
        <v>0.7902702702702703</v>
      </c>
      <c r="CA79" s="142" t="b">
        <f t="shared" si="59"/>
        <v>0</v>
      </c>
    </row>
    <row r="80" spans="1:79">
      <c r="A80" s="160" t="str">
        <f t="shared" si="38"/>
        <v>3VDSLAddnationaal448/448</v>
      </c>
      <c r="B80" s="142" t="str">
        <f t="shared" si="39"/>
        <v>3VDSL448/448Add</v>
      </c>
      <c r="C80" s="198">
        <v>3</v>
      </c>
      <c r="D80" s="198" t="s">
        <v>77</v>
      </c>
      <c r="E80" s="198" t="s">
        <v>103</v>
      </c>
      <c r="F80" s="198" t="s">
        <v>115</v>
      </c>
      <c r="G80" s="199" t="s">
        <v>113</v>
      </c>
      <c r="H80" s="198" t="s">
        <v>79</v>
      </c>
      <c r="J80" s="142" t="str">
        <f t="shared" si="40"/>
        <v>VDSL448/448Add</v>
      </c>
      <c r="L80" s="160">
        <f>INDEX(Mapping!$J:$J,MATCH(C$3&amp;C80,Mapping!$B:$B,0))</f>
        <v>1</v>
      </c>
      <c r="M80" s="179" t="str">
        <f>INDEX(Mapping!$H:$H,MATCH(D80&amp;H80&amp;$E80,Mapping!$B:$B,0))</f>
        <v>WBA ZM Ethernet</v>
      </c>
      <c r="N80" s="179" t="str">
        <f>INDEX(Mapping!$J:$J,MATCH(D80&amp;H80&amp;$E80,Mapping!$B:$B,0))</f>
        <v>premium</v>
      </c>
      <c r="O80" s="179" t="str">
        <f>INDEX(Mapping!$I:$I,MATCH($D80,Mapping!$B:$B,0))</f>
        <v>VDSL</v>
      </c>
      <c r="P80" s="179" t="str">
        <f>INDEX(Mapping!$H:$H,MATCH($F80,Mapping!$B:$B,0))</f>
        <v>nvt</v>
      </c>
      <c r="Q80" s="283" t="str">
        <f>INDEX(Mapping!$K:$K,MATCH($D80&amp;$H80&amp;E80,Mapping!$B:$B,0))</f>
        <v>metro</v>
      </c>
      <c r="R80" s="179" t="str">
        <f>INDEX(Mapping!$I:$I,MATCH(D80&amp;H80&amp;$E80,Mapping!$B:$B,0))</f>
        <v>1 Mbps/1 Mbps</v>
      </c>
      <c r="S80" s="203"/>
      <c r="T80" s="283" t="str">
        <f>INDEX(Mapping!$L:$L,MATCH($D80&amp;$H80&amp;E80,Mapping!$B:$B,0))</f>
        <v>metro-nationaal</v>
      </c>
      <c r="U80" s="142" t="str">
        <f t="shared" si="41"/>
        <v>WBA ZM Ethernet1 Mbps/1 Mbpspremiummetro</v>
      </c>
      <c r="W80" s="160">
        <f>MATCH($J80,'Tarieven ZM'!$B:$B,0)</f>
        <v>77</v>
      </c>
      <c r="X80" s="148">
        <f>INDEX('Tarieven ZM'!$H:$H,$W80)</f>
        <v>1000</v>
      </c>
      <c r="Y80" s="161">
        <f>-INDEX(Parameters!$B:$B,MATCH(Y$3,Parameters!$A:$A,0))*$X80</f>
        <v>0</v>
      </c>
      <c r="Z80" s="149">
        <f>-INDEX(Parameters!$B:$B,MATCH(Z$3,Parameters!$A:$A,0))*$X80</f>
        <v>0</v>
      </c>
      <c r="AA80" s="148">
        <f t="shared" si="42"/>
        <v>1000</v>
      </c>
      <c r="AB80" s="148">
        <f>AA80/INDEX(Parameters!$B:$B,MATCH("AfschrijftermijnVVE"&amp;12*$C80,Parameters!$A:$A,0))</f>
        <v>27.777777777777779</v>
      </c>
      <c r="AC80" s="148">
        <f>INDEX('Tarieven ZM'!$G:$G,$W80)</f>
        <v>1000</v>
      </c>
      <c r="AD80" s="161">
        <f>-INDEX(Parameters!$B:$B,MATCH(AD$3,Parameters!$A:$A,0))*$AC80</f>
        <v>0</v>
      </c>
      <c r="AE80" s="161">
        <f>-INDEX(Parameters!$B:$B,MATCH(AE$3,Parameters!$A:$A,0))*$AC80</f>
        <v>0</v>
      </c>
      <c r="AF80" s="148">
        <f t="shared" si="43"/>
        <v>1000</v>
      </c>
      <c r="AG80" s="151">
        <f t="shared" si="44"/>
        <v>1027.7777777777778</v>
      </c>
      <c r="AH80" s="123"/>
      <c r="AI80" s="147">
        <f>IF(R80&lt;&gt;"n.a.",MATCH($U80,'Tarieven W&amp;O'!$B:$B,0),"nvt")</f>
        <v>138</v>
      </c>
      <c r="AJ80" s="148">
        <f>IF(AI80&lt;&gt;"nvt",INDEX('Tarieven W&amp;O'!$H:$H,$AI80),0)</f>
        <v>0</v>
      </c>
      <c r="AK80" s="148">
        <f>IF(AI80&lt;&gt;"nvt",INDEX('Tarieven W&amp;O'!$I:$I,$AI80),0)</f>
        <v>5</v>
      </c>
      <c r="AL80" s="277">
        <f>IF(AI80&lt;&gt;"nvt",-INDEX(Parameters!$B:$B,MATCH(AL$3&amp;$M80,Parameters!$A:$A,0))*(AJ80+AK80),0)</f>
        <v>0</v>
      </c>
      <c r="AM80" s="442"/>
      <c r="AN80" s="179">
        <f t="shared" si="45"/>
        <v>5</v>
      </c>
      <c r="AO80" s="262">
        <f>AN80/INDEX(Parameters!$B:$B,MATCH("AfschrijftermijnVVE"&amp;12*$C80,Parameters!$A:$A,0))</f>
        <v>0.1388888888888889</v>
      </c>
      <c r="AP80" s="179">
        <f t="shared" si="46"/>
        <v>138</v>
      </c>
      <c r="AQ80" s="202">
        <f>IF(AP80&lt;&gt;"nvt",INDEX('Tarieven W&amp;O'!$G:$G,$AP80),0)</f>
        <v>7.41</v>
      </c>
      <c r="AR80" s="463">
        <f>-INDEX(Parameters!$B:$B,MATCH(AR$3&amp;$M80&amp;O80,Parameters!$A:$A,0))*(AQ80)</f>
        <v>0</v>
      </c>
      <c r="AS80" s="262">
        <v>0</v>
      </c>
      <c r="AT80" s="442">
        <f>IF(M80="WBA CM Ethernet",0,'EDC Minus'!$H$27)</f>
        <v>1</v>
      </c>
      <c r="AU80" s="202">
        <f t="shared" si="47"/>
        <v>8.41</v>
      </c>
      <c r="AV80" s="202">
        <f t="shared" si="48"/>
        <v>8.5488888888888894</v>
      </c>
      <c r="AW80" s="202"/>
      <c r="AX80" s="202">
        <f>Parameters!$B$6*AV80</f>
        <v>8.5488888888888892E-2</v>
      </c>
      <c r="AY80" s="202">
        <v>0</v>
      </c>
      <c r="AZ80" s="202"/>
      <c r="BA80" s="150">
        <f t="shared" si="52"/>
        <v>8.5488888888888892E-2</v>
      </c>
      <c r="BB80" s="150"/>
      <c r="BC80" s="151">
        <f t="shared" si="53"/>
        <v>8.6343777777777788</v>
      </c>
      <c r="BD80" s="123"/>
      <c r="BE80" s="140">
        <f t="shared" si="50"/>
        <v>1019.1434</v>
      </c>
      <c r="BF80" s="141">
        <f t="shared" si="51"/>
        <v>0.99159898378378375</v>
      </c>
      <c r="BG80" s="142" t="b">
        <f t="shared" si="49"/>
        <v>0</v>
      </c>
      <c r="BH80" s="148"/>
      <c r="BI80" s="188" t="s">
        <v>539</v>
      </c>
      <c r="BJ80" s="189"/>
      <c r="BK80">
        <f>VLOOKUP(J80,'Tarieven ZM'!$B$7:$I$146,8,0)</f>
        <v>0</v>
      </c>
      <c r="BL80" s="179" t="str">
        <f>INDEX(Mapping!$M:$M,MATCH($J80,Mapping!$B:$B,0))</f>
        <v>nvt</v>
      </c>
      <c r="BM80" s="282">
        <v>0</v>
      </c>
      <c r="BN80" s="262">
        <f>BM80/INDEX(Parameters!$B:$B,MATCH("AfschrijftermijnVVE"&amp;12*$C80,Parameters!$A:$A,0))</f>
        <v>0</v>
      </c>
      <c r="BO80" s="262">
        <f>AS80+INDEX('inkoop ULL tbv Epacity'!I:I,MATCH($BL80,'inkoop ULL tbv Epacity'!H:H,0))</f>
        <v>0</v>
      </c>
      <c r="BP80" s="263">
        <f t="shared" si="54"/>
        <v>0</v>
      </c>
      <c r="BQ80" s="203"/>
      <c r="BR80" s="262">
        <f>Parameters!$B$12*AG80</f>
        <v>102.77777777777779</v>
      </c>
      <c r="BS80" s="262">
        <f>SUM(Distributievergoedingen!$F$12,Distributievergoedingen!$I$12,Distributievergoedingen!$L$12,Distributievergoedingen!$O$12)*AF80+SUM(Distributievergoedingen!$O$12*AA80+Distributievergoedingen!$R$12+Distributievergoedingen!$U$12+Distributievergoedingen!$X$12)/(MAX(36,12*L80))</f>
        <v>112.77777777777777</v>
      </c>
      <c r="BT80" s="262"/>
      <c r="BU80" s="150">
        <f t="shared" si="55"/>
        <v>215.55555555555554</v>
      </c>
      <c r="BW80" s="151">
        <f t="shared" si="56"/>
        <v>215.55555555555554</v>
      </c>
      <c r="BY80" s="140">
        <f t="shared" si="57"/>
        <v>812.22222222222229</v>
      </c>
      <c r="BZ80" s="141">
        <f t="shared" si="58"/>
        <v>0.7902702702702703</v>
      </c>
      <c r="CA80" s="142" t="b">
        <f t="shared" si="59"/>
        <v>0</v>
      </c>
    </row>
    <row r="81" spans="1:79">
      <c r="A81" s="160" t="str">
        <f t="shared" si="38"/>
        <v>3VDSLAddnationaal640/640</v>
      </c>
      <c r="B81" s="142" t="str">
        <f t="shared" si="39"/>
        <v>3VDSL640/640Add</v>
      </c>
      <c r="C81" s="198">
        <v>3</v>
      </c>
      <c r="D81" s="198" t="s">
        <v>77</v>
      </c>
      <c r="E81" s="198" t="s">
        <v>103</v>
      </c>
      <c r="F81" s="198" t="s">
        <v>115</v>
      </c>
      <c r="G81" s="199" t="s">
        <v>113</v>
      </c>
      <c r="H81" s="198" t="s">
        <v>80</v>
      </c>
      <c r="J81" s="142" t="str">
        <f t="shared" si="40"/>
        <v>VDSL640/640Add</v>
      </c>
      <c r="L81" s="160">
        <f>INDEX(Mapping!$J:$J,MATCH(C$3&amp;C81,Mapping!$B:$B,0))</f>
        <v>1</v>
      </c>
      <c r="M81" s="179" t="str">
        <f>INDEX(Mapping!$H:$H,MATCH(D81&amp;H81&amp;$E81,Mapping!$B:$B,0))</f>
        <v>WBA ZM Ethernet</v>
      </c>
      <c r="N81" s="179" t="str">
        <f>INDEX(Mapping!$J:$J,MATCH(D81&amp;H81&amp;$E81,Mapping!$B:$B,0))</f>
        <v>premium</v>
      </c>
      <c r="O81" s="179" t="str">
        <f>INDEX(Mapping!$I:$I,MATCH($D81,Mapping!$B:$B,0))</f>
        <v>VDSL</v>
      </c>
      <c r="P81" s="179" t="str">
        <f>INDEX(Mapping!$H:$H,MATCH($F81,Mapping!$B:$B,0))</f>
        <v>nvt</v>
      </c>
      <c r="Q81" s="283" t="str">
        <f>INDEX(Mapping!$K:$K,MATCH($D81&amp;$H81&amp;E81,Mapping!$B:$B,0))</f>
        <v>metro</v>
      </c>
      <c r="R81" s="179" t="str">
        <f>INDEX(Mapping!$I:$I,MATCH(D81&amp;H81&amp;$E81,Mapping!$B:$B,0))</f>
        <v>1 Mbps/1 Mbps</v>
      </c>
      <c r="S81" s="203"/>
      <c r="T81" s="283" t="str">
        <f>INDEX(Mapping!$L:$L,MATCH($D81&amp;$H81&amp;E81,Mapping!$B:$B,0))</f>
        <v>metro-nationaal</v>
      </c>
      <c r="U81" s="142" t="str">
        <f t="shared" si="41"/>
        <v>WBA ZM Ethernet1 Mbps/1 Mbpspremiummetro</v>
      </c>
      <c r="W81" s="160">
        <f>MATCH($J81,'Tarieven ZM'!$B:$B,0)</f>
        <v>78</v>
      </c>
      <c r="X81" s="148">
        <f>INDEX('Tarieven ZM'!$H:$H,$W81)</f>
        <v>1000</v>
      </c>
      <c r="Y81" s="161">
        <f>-INDEX(Parameters!$B:$B,MATCH(Y$3,Parameters!$A:$A,0))*$X81</f>
        <v>0</v>
      </c>
      <c r="Z81" s="149">
        <f>-INDEX(Parameters!$B:$B,MATCH(Z$3,Parameters!$A:$A,0))*$X81</f>
        <v>0</v>
      </c>
      <c r="AA81" s="148">
        <f t="shared" si="42"/>
        <v>1000</v>
      </c>
      <c r="AB81" s="148">
        <f>AA81/INDEX(Parameters!$B:$B,MATCH("AfschrijftermijnVVE"&amp;12*$C81,Parameters!$A:$A,0))</f>
        <v>27.777777777777779</v>
      </c>
      <c r="AC81" s="148">
        <f>INDEX('Tarieven ZM'!$G:$G,$W81)</f>
        <v>1000</v>
      </c>
      <c r="AD81" s="161">
        <f>-INDEX(Parameters!$B:$B,MATCH(AD$3,Parameters!$A:$A,0))*$AC81</f>
        <v>0</v>
      </c>
      <c r="AE81" s="161">
        <f>-INDEX(Parameters!$B:$B,MATCH(AE$3,Parameters!$A:$A,0))*$AC81</f>
        <v>0</v>
      </c>
      <c r="AF81" s="148">
        <f t="shared" si="43"/>
        <v>1000</v>
      </c>
      <c r="AG81" s="151">
        <f t="shared" si="44"/>
        <v>1027.7777777777778</v>
      </c>
      <c r="AH81" s="123"/>
      <c r="AI81" s="147">
        <f>IF(R81&lt;&gt;"n.a.",MATCH($U81,'Tarieven W&amp;O'!$B:$B,0),"nvt")</f>
        <v>138</v>
      </c>
      <c r="AJ81" s="148">
        <f>IF(AI81&lt;&gt;"nvt",INDEX('Tarieven W&amp;O'!$H:$H,$AI81),0)</f>
        <v>0</v>
      </c>
      <c r="AK81" s="148">
        <f>IF(AI81&lt;&gt;"nvt",INDEX('Tarieven W&amp;O'!$I:$I,$AI81),0)</f>
        <v>5</v>
      </c>
      <c r="AL81" s="277">
        <f>IF(AI81&lt;&gt;"nvt",-INDEX(Parameters!$B:$B,MATCH(AL$3&amp;$M81,Parameters!$A:$A,0))*(AJ81+AK81),0)</f>
        <v>0</v>
      </c>
      <c r="AM81" s="442"/>
      <c r="AN81" s="179">
        <f t="shared" si="45"/>
        <v>5</v>
      </c>
      <c r="AO81" s="262">
        <f>AN81/INDEX(Parameters!$B:$B,MATCH("AfschrijftermijnVVE"&amp;12*$C81,Parameters!$A:$A,0))</f>
        <v>0.1388888888888889</v>
      </c>
      <c r="AP81" s="179">
        <f t="shared" si="46"/>
        <v>138</v>
      </c>
      <c r="AQ81" s="202">
        <f>IF(AP81&lt;&gt;"nvt",INDEX('Tarieven W&amp;O'!$G:$G,$AP81),0)</f>
        <v>7.41</v>
      </c>
      <c r="AR81" s="463">
        <f>-INDEX(Parameters!$B:$B,MATCH(AR$3&amp;$M81&amp;O81,Parameters!$A:$A,0))*(AQ81)</f>
        <v>0</v>
      </c>
      <c r="AS81" s="262">
        <v>0</v>
      </c>
      <c r="AT81" s="442">
        <f>IF(M81="WBA CM Ethernet",0,'EDC Minus'!$H$27)</f>
        <v>1</v>
      </c>
      <c r="AU81" s="202">
        <f t="shared" si="47"/>
        <v>8.41</v>
      </c>
      <c r="AV81" s="202">
        <f t="shared" si="48"/>
        <v>8.5488888888888894</v>
      </c>
      <c r="AW81" s="202"/>
      <c r="AX81" s="202">
        <f>Parameters!$B$6*AV81</f>
        <v>8.5488888888888892E-2</v>
      </c>
      <c r="AY81" s="202">
        <v>0</v>
      </c>
      <c r="AZ81" s="202"/>
      <c r="BA81" s="150">
        <f t="shared" si="52"/>
        <v>8.5488888888888892E-2</v>
      </c>
      <c r="BB81" s="150"/>
      <c r="BC81" s="151">
        <f t="shared" si="53"/>
        <v>8.6343777777777788</v>
      </c>
      <c r="BD81" s="123"/>
      <c r="BE81" s="140">
        <f t="shared" si="50"/>
        <v>1019.1434</v>
      </c>
      <c r="BF81" s="141">
        <f t="shared" si="51"/>
        <v>0.99159898378378375</v>
      </c>
      <c r="BG81" s="142" t="b">
        <f t="shared" si="49"/>
        <v>0</v>
      </c>
      <c r="BH81" s="148"/>
      <c r="BI81" s="188" t="s">
        <v>539</v>
      </c>
      <c r="BJ81" s="189"/>
      <c r="BK81">
        <f>VLOOKUP(J81,'Tarieven ZM'!$B$7:$I$146,8,0)</f>
        <v>0</v>
      </c>
      <c r="BL81" s="179" t="str">
        <f>INDEX(Mapping!$M:$M,MATCH($J81,Mapping!$B:$B,0))</f>
        <v>nvt</v>
      </c>
      <c r="BM81" s="282">
        <v>0</v>
      </c>
      <c r="BN81" s="262">
        <f>BM81/INDEX(Parameters!$B:$B,MATCH("AfschrijftermijnVVE"&amp;12*$C81,Parameters!$A:$A,0))</f>
        <v>0</v>
      </c>
      <c r="BO81" s="262">
        <f>AS81+INDEX('inkoop ULL tbv Epacity'!I:I,MATCH($BL81,'inkoop ULL tbv Epacity'!H:H,0))</f>
        <v>0</v>
      </c>
      <c r="BP81" s="263">
        <f t="shared" si="54"/>
        <v>0</v>
      </c>
      <c r="BQ81" s="203"/>
      <c r="BR81" s="262">
        <f>Parameters!$B$12*AG81</f>
        <v>102.77777777777779</v>
      </c>
      <c r="BS81" s="262">
        <f>SUM(Distributievergoedingen!$F$12,Distributievergoedingen!$I$12,Distributievergoedingen!$L$12,Distributievergoedingen!$O$12)*AF81+SUM(Distributievergoedingen!$O$12*AA81+Distributievergoedingen!$R$12+Distributievergoedingen!$U$12+Distributievergoedingen!$X$12)/(MAX(36,12*L81))</f>
        <v>112.77777777777777</v>
      </c>
      <c r="BT81" s="262"/>
      <c r="BU81" s="150">
        <f t="shared" si="55"/>
        <v>215.55555555555554</v>
      </c>
      <c r="BW81" s="151">
        <f t="shared" si="56"/>
        <v>215.55555555555554</v>
      </c>
      <c r="BY81" s="140">
        <f t="shared" si="57"/>
        <v>812.22222222222229</v>
      </c>
      <c r="BZ81" s="141">
        <f t="shared" si="58"/>
        <v>0.7902702702702703</v>
      </c>
      <c r="CA81" s="142" t="b">
        <f t="shared" si="59"/>
        <v>0</v>
      </c>
    </row>
    <row r="82" spans="1:79">
      <c r="A82" s="160" t="str">
        <f t="shared" si="38"/>
        <v>3VDSLAddnationaal1024/1024</v>
      </c>
      <c r="B82" s="142" t="str">
        <f t="shared" si="39"/>
        <v>3VDSL1024/1024Add</v>
      </c>
      <c r="C82" s="198">
        <v>3</v>
      </c>
      <c r="D82" s="198" t="s">
        <v>77</v>
      </c>
      <c r="E82" s="198" t="s">
        <v>103</v>
      </c>
      <c r="F82" s="198" t="s">
        <v>115</v>
      </c>
      <c r="G82" s="199" t="s">
        <v>113</v>
      </c>
      <c r="H82" s="198" t="s">
        <v>66</v>
      </c>
      <c r="J82" s="142" t="str">
        <f t="shared" si="40"/>
        <v>VDSL1024/1024Add</v>
      </c>
      <c r="L82" s="160">
        <f>INDEX(Mapping!$J:$J,MATCH(C$3&amp;C82,Mapping!$B:$B,0))</f>
        <v>1</v>
      </c>
      <c r="M82" s="179" t="str">
        <f>INDEX(Mapping!$H:$H,MATCH(D82&amp;H82&amp;$E82,Mapping!$B:$B,0))</f>
        <v>WBA ZM Ethernet</v>
      </c>
      <c r="N82" s="179" t="str">
        <f>INDEX(Mapping!$J:$J,MATCH(D82&amp;H82&amp;$E82,Mapping!$B:$B,0))</f>
        <v>premium</v>
      </c>
      <c r="O82" s="179" t="str">
        <f>INDEX(Mapping!$I:$I,MATCH($D82,Mapping!$B:$B,0))</f>
        <v>VDSL</v>
      </c>
      <c r="P82" s="179" t="str">
        <f>INDEX(Mapping!$H:$H,MATCH($F82,Mapping!$B:$B,0))</f>
        <v>nvt</v>
      </c>
      <c r="Q82" s="283" t="str">
        <f>INDEX(Mapping!$K:$K,MATCH($D82&amp;$H82&amp;E82,Mapping!$B:$B,0))</f>
        <v>metro</v>
      </c>
      <c r="R82" s="179" t="str">
        <f>INDEX(Mapping!$I:$I,MATCH(D82&amp;H82&amp;$E82,Mapping!$B:$B,0))</f>
        <v>1 Mbps/1 Mbps</v>
      </c>
      <c r="S82" s="203"/>
      <c r="T82" s="283" t="str">
        <f>INDEX(Mapping!$L:$L,MATCH($D82&amp;$H82&amp;E82,Mapping!$B:$B,0))</f>
        <v>metro-nationaal</v>
      </c>
      <c r="U82" s="142" t="str">
        <f t="shared" si="41"/>
        <v>WBA ZM Ethernet1 Mbps/1 Mbpspremiummetro</v>
      </c>
      <c r="W82" s="160">
        <f>MATCH($J82,'Tarieven ZM'!$B:$B,0)</f>
        <v>79</v>
      </c>
      <c r="X82" s="148">
        <f>INDEX('Tarieven ZM'!$H:$H,$W82)</f>
        <v>1000</v>
      </c>
      <c r="Y82" s="161">
        <f>-INDEX(Parameters!$B:$B,MATCH(Y$3,Parameters!$A:$A,0))*$X82</f>
        <v>0</v>
      </c>
      <c r="Z82" s="149">
        <f>-INDEX(Parameters!$B:$B,MATCH(Z$3,Parameters!$A:$A,0))*$X82</f>
        <v>0</v>
      </c>
      <c r="AA82" s="148">
        <f t="shared" si="42"/>
        <v>1000</v>
      </c>
      <c r="AB82" s="148">
        <f>AA82/INDEX(Parameters!$B:$B,MATCH("AfschrijftermijnVVE"&amp;12*$C82,Parameters!$A:$A,0))</f>
        <v>27.777777777777779</v>
      </c>
      <c r="AC82" s="148">
        <f>INDEX('Tarieven ZM'!$G:$G,$W82)</f>
        <v>1000</v>
      </c>
      <c r="AD82" s="161">
        <f>-INDEX(Parameters!$B:$B,MATCH(AD$3,Parameters!$A:$A,0))*$AC82</f>
        <v>0</v>
      </c>
      <c r="AE82" s="161">
        <f>-INDEX(Parameters!$B:$B,MATCH(AE$3,Parameters!$A:$A,0))*$AC82</f>
        <v>0</v>
      </c>
      <c r="AF82" s="148">
        <f t="shared" si="43"/>
        <v>1000</v>
      </c>
      <c r="AG82" s="151">
        <f t="shared" si="44"/>
        <v>1027.7777777777778</v>
      </c>
      <c r="AH82" s="123"/>
      <c r="AI82" s="147">
        <f>IF(R82&lt;&gt;"n.a.",MATCH($U82,'Tarieven W&amp;O'!$B:$B,0),"nvt")</f>
        <v>138</v>
      </c>
      <c r="AJ82" s="148">
        <f>IF(AI82&lt;&gt;"nvt",INDEX('Tarieven W&amp;O'!$H:$H,$AI82),0)</f>
        <v>0</v>
      </c>
      <c r="AK82" s="148">
        <f>IF(AI82&lt;&gt;"nvt",INDEX('Tarieven W&amp;O'!$I:$I,$AI82),0)</f>
        <v>5</v>
      </c>
      <c r="AL82" s="277">
        <f>IF(AI82&lt;&gt;"nvt",-INDEX(Parameters!$B:$B,MATCH(AL$3&amp;$M82,Parameters!$A:$A,0))*(AJ82+AK82),0)</f>
        <v>0</v>
      </c>
      <c r="AM82" s="442"/>
      <c r="AN82" s="179">
        <f t="shared" si="45"/>
        <v>5</v>
      </c>
      <c r="AO82" s="262">
        <f>AN82/INDEX(Parameters!$B:$B,MATCH("AfschrijftermijnVVE"&amp;12*$C82,Parameters!$A:$A,0))</f>
        <v>0.1388888888888889</v>
      </c>
      <c r="AP82" s="179">
        <f t="shared" si="46"/>
        <v>138</v>
      </c>
      <c r="AQ82" s="202">
        <f>IF(AP82&lt;&gt;"nvt",INDEX('Tarieven W&amp;O'!$G:$G,$AP82),0)</f>
        <v>7.41</v>
      </c>
      <c r="AR82" s="463">
        <f>-INDEX(Parameters!$B:$B,MATCH(AR$3&amp;$M82&amp;O82,Parameters!$A:$A,0))*(AQ82)</f>
        <v>0</v>
      </c>
      <c r="AS82" s="262">
        <v>0</v>
      </c>
      <c r="AT82" s="442">
        <f>IF(M82="WBA CM Ethernet",0,'EDC Minus'!$H$27)</f>
        <v>1</v>
      </c>
      <c r="AU82" s="202">
        <f t="shared" si="47"/>
        <v>8.41</v>
      </c>
      <c r="AV82" s="202">
        <f t="shared" si="48"/>
        <v>8.5488888888888894</v>
      </c>
      <c r="AW82" s="202"/>
      <c r="AX82" s="202">
        <f>Parameters!$B$6*AV82</f>
        <v>8.5488888888888892E-2</v>
      </c>
      <c r="AY82" s="202">
        <v>0</v>
      </c>
      <c r="AZ82" s="202"/>
      <c r="BA82" s="150">
        <f t="shared" si="52"/>
        <v>8.5488888888888892E-2</v>
      </c>
      <c r="BB82" s="150"/>
      <c r="BC82" s="151">
        <f t="shared" si="53"/>
        <v>8.6343777777777788</v>
      </c>
      <c r="BD82" s="123"/>
      <c r="BE82" s="140">
        <f t="shared" si="50"/>
        <v>1019.1434</v>
      </c>
      <c r="BF82" s="141">
        <f t="shared" si="51"/>
        <v>0.99159898378378375</v>
      </c>
      <c r="BG82" s="142" t="b">
        <f t="shared" si="49"/>
        <v>0</v>
      </c>
      <c r="BH82" s="148"/>
      <c r="BI82" s="188" t="s">
        <v>539</v>
      </c>
      <c r="BJ82" s="189"/>
      <c r="BK82">
        <f>VLOOKUP(J82,'Tarieven ZM'!$B$7:$I$146,8,0)</f>
        <v>0</v>
      </c>
      <c r="BL82" s="179" t="str">
        <f>INDEX(Mapping!$M:$M,MATCH($J82,Mapping!$B:$B,0))</f>
        <v>nvt</v>
      </c>
      <c r="BM82" s="282">
        <v>0</v>
      </c>
      <c r="BN82" s="262">
        <f>BM82/INDEX(Parameters!$B:$B,MATCH("AfschrijftermijnVVE"&amp;12*$C82,Parameters!$A:$A,0))</f>
        <v>0</v>
      </c>
      <c r="BO82" s="262">
        <f>AS82+INDEX('inkoop ULL tbv Epacity'!I:I,MATCH($BL82,'inkoop ULL tbv Epacity'!H:H,0))</f>
        <v>0</v>
      </c>
      <c r="BP82" s="263">
        <f t="shared" si="54"/>
        <v>0</v>
      </c>
      <c r="BQ82" s="203"/>
      <c r="BR82" s="262">
        <f>Parameters!$B$12*AG82</f>
        <v>102.77777777777779</v>
      </c>
      <c r="BS82" s="262">
        <f>SUM(Distributievergoedingen!$F$12,Distributievergoedingen!$I$12,Distributievergoedingen!$L$12,Distributievergoedingen!$O$12)*AF82+SUM(Distributievergoedingen!$O$12*AA82+Distributievergoedingen!$R$12+Distributievergoedingen!$U$12+Distributievergoedingen!$X$12)/(MAX(36,12*L82))</f>
        <v>112.77777777777777</v>
      </c>
      <c r="BT82" s="262"/>
      <c r="BU82" s="150">
        <f t="shared" si="55"/>
        <v>215.55555555555554</v>
      </c>
      <c r="BW82" s="151">
        <f t="shared" si="56"/>
        <v>215.55555555555554</v>
      </c>
      <c r="BY82" s="140">
        <f t="shared" si="57"/>
        <v>812.22222222222229</v>
      </c>
      <c r="BZ82" s="141">
        <f t="shared" si="58"/>
        <v>0.7902702702702703</v>
      </c>
      <c r="CA82" s="142" t="b">
        <f t="shared" si="59"/>
        <v>0</v>
      </c>
    </row>
    <row r="83" spans="1:79">
      <c r="A83" s="160" t="str">
        <f t="shared" si="38"/>
        <v>3VDSLAddnationaal2048/2048</v>
      </c>
      <c r="B83" s="142" t="str">
        <f t="shared" si="39"/>
        <v>3VDSL2048/2048Add</v>
      </c>
      <c r="C83" s="198">
        <v>3</v>
      </c>
      <c r="D83" s="198" t="s">
        <v>77</v>
      </c>
      <c r="E83" s="198" t="s">
        <v>103</v>
      </c>
      <c r="F83" s="198" t="s">
        <v>115</v>
      </c>
      <c r="G83" s="199" t="s">
        <v>113</v>
      </c>
      <c r="H83" s="198" t="s">
        <v>68</v>
      </c>
      <c r="J83" s="142" t="str">
        <f t="shared" si="40"/>
        <v>VDSL2048/2048Add</v>
      </c>
      <c r="L83" s="160">
        <f>INDEX(Mapping!$J:$J,MATCH(C$3&amp;C83,Mapping!$B:$B,0))</f>
        <v>1</v>
      </c>
      <c r="M83" s="179" t="str">
        <f>INDEX(Mapping!$H:$H,MATCH(D83&amp;H83&amp;$E83,Mapping!$B:$B,0))</f>
        <v>WBA ZM Ethernet</v>
      </c>
      <c r="N83" s="179" t="str">
        <f>INDEX(Mapping!$J:$J,MATCH(D83&amp;H83&amp;$E83,Mapping!$B:$B,0))</f>
        <v>premium</v>
      </c>
      <c r="O83" s="179" t="str">
        <f>INDEX(Mapping!$I:$I,MATCH($D83,Mapping!$B:$B,0))</f>
        <v>VDSL</v>
      </c>
      <c r="P83" s="179" t="str">
        <f>INDEX(Mapping!$H:$H,MATCH($F83,Mapping!$B:$B,0))</f>
        <v>nvt</v>
      </c>
      <c r="Q83" s="283" t="str">
        <f>INDEX(Mapping!$K:$K,MATCH($D83&amp;$H83&amp;E83,Mapping!$B:$B,0))</f>
        <v>metro</v>
      </c>
      <c r="R83" s="179" t="str">
        <f>INDEX(Mapping!$I:$I,MATCH(D83&amp;H83&amp;$E83,Mapping!$B:$B,0))</f>
        <v>2 Mbps/2 Mbps</v>
      </c>
      <c r="S83" s="203"/>
      <c r="T83" s="283" t="str">
        <f>INDEX(Mapping!$L:$L,MATCH($D83&amp;$H83&amp;E83,Mapping!$B:$B,0))</f>
        <v>metro-nationaal</v>
      </c>
      <c r="U83" s="142" t="str">
        <f t="shared" si="41"/>
        <v>WBA ZM Ethernet2 Mbps/2 Mbpspremiummetro</v>
      </c>
      <c r="W83" s="160">
        <f>MATCH($J83,'Tarieven ZM'!$B:$B,0)</f>
        <v>80</v>
      </c>
      <c r="X83" s="148">
        <f>INDEX('Tarieven ZM'!$H:$H,$W83)</f>
        <v>1000</v>
      </c>
      <c r="Y83" s="161">
        <f>-INDEX(Parameters!$B:$B,MATCH(Y$3,Parameters!$A:$A,0))*$X83</f>
        <v>0</v>
      </c>
      <c r="Z83" s="149">
        <f>-INDEX(Parameters!$B:$B,MATCH(Z$3,Parameters!$A:$A,0))*$X83</f>
        <v>0</v>
      </c>
      <c r="AA83" s="148">
        <f t="shared" si="42"/>
        <v>1000</v>
      </c>
      <c r="AB83" s="148">
        <f>AA83/INDEX(Parameters!$B:$B,MATCH("AfschrijftermijnVVE"&amp;12*$C83,Parameters!$A:$A,0))</f>
        <v>27.777777777777779</v>
      </c>
      <c r="AC83" s="148">
        <f>INDEX('Tarieven ZM'!$G:$G,$W83)</f>
        <v>1000</v>
      </c>
      <c r="AD83" s="161">
        <f>-INDEX(Parameters!$B:$B,MATCH(AD$3,Parameters!$A:$A,0))*$AC83</f>
        <v>0</v>
      </c>
      <c r="AE83" s="161">
        <f>-INDEX(Parameters!$B:$B,MATCH(AE$3,Parameters!$A:$A,0))*$AC83</f>
        <v>0</v>
      </c>
      <c r="AF83" s="148">
        <f t="shared" si="43"/>
        <v>1000</v>
      </c>
      <c r="AG83" s="151">
        <f t="shared" si="44"/>
        <v>1027.7777777777778</v>
      </c>
      <c r="AH83" s="123"/>
      <c r="AI83" s="147">
        <f>IF(R83&lt;&gt;"n.a.",MATCH($U83,'Tarieven W&amp;O'!$B:$B,0),"nvt")</f>
        <v>139</v>
      </c>
      <c r="AJ83" s="148">
        <f>IF(AI83&lt;&gt;"nvt",INDEX('Tarieven W&amp;O'!$H:$H,$AI83),0)</f>
        <v>0</v>
      </c>
      <c r="AK83" s="148">
        <f>IF(AI83&lt;&gt;"nvt",INDEX('Tarieven W&amp;O'!$I:$I,$AI83),0)</f>
        <v>5</v>
      </c>
      <c r="AL83" s="277">
        <f>IF(AI83&lt;&gt;"nvt",-INDEX(Parameters!$B:$B,MATCH(AL$3&amp;$M83,Parameters!$A:$A,0))*(AJ83+AK83),0)</f>
        <v>0</v>
      </c>
      <c r="AM83" s="442"/>
      <c r="AN83" s="179">
        <f t="shared" si="45"/>
        <v>5</v>
      </c>
      <c r="AO83" s="262">
        <f>AN83/INDEX(Parameters!$B:$B,MATCH("AfschrijftermijnVVE"&amp;12*$C83,Parameters!$A:$A,0))</f>
        <v>0.1388888888888889</v>
      </c>
      <c r="AP83" s="179">
        <f t="shared" si="46"/>
        <v>139</v>
      </c>
      <c r="AQ83" s="202">
        <f>IF(AP83&lt;&gt;"nvt",INDEX('Tarieven W&amp;O'!$G:$G,$AP83),0)</f>
        <v>14.82</v>
      </c>
      <c r="AR83" s="463">
        <f>-INDEX(Parameters!$B:$B,MATCH(AR$3&amp;$M83&amp;O83,Parameters!$A:$A,0))*(AQ83)</f>
        <v>0</v>
      </c>
      <c r="AS83" s="262">
        <v>0</v>
      </c>
      <c r="AT83" s="442">
        <f>IF(M83="WBA CM Ethernet",0,'EDC Minus'!$H$27)</f>
        <v>1</v>
      </c>
      <c r="AU83" s="202">
        <f t="shared" si="47"/>
        <v>15.82</v>
      </c>
      <c r="AV83" s="202">
        <f t="shared" si="48"/>
        <v>15.95888888888889</v>
      </c>
      <c r="AW83" s="202"/>
      <c r="AX83" s="202">
        <f>Parameters!$B$6*AV83</f>
        <v>0.15958888888888889</v>
      </c>
      <c r="AY83" s="202">
        <v>0</v>
      </c>
      <c r="AZ83" s="202"/>
      <c r="BA83" s="150">
        <f t="shared" si="52"/>
        <v>0.15958888888888889</v>
      </c>
      <c r="BB83" s="150"/>
      <c r="BC83" s="151">
        <f t="shared" si="53"/>
        <v>16.118477777777777</v>
      </c>
      <c r="BD83" s="123"/>
      <c r="BE83" s="140">
        <f t="shared" si="50"/>
        <v>1011.6593</v>
      </c>
      <c r="BF83" s="141">
        <f t="shared" si="51"/>
        <v>0.98431715675675668</v>
      </c>
      <c r="BG83" s="142" t="b">
        <f t="shared" si="49"/>
        <v>0</v>
      </c>
      <c r="BH83" s="148"/>
      <c r="BI83" s="188" t="s">
        <v>539</v>
      </c>
      <c r="BJ83" s="189"/>
      <c r="BK83">
        <f>VLOOKUP(J83,'Tarieven ZM'!$B$7:$I$146,8,0)</f>
        <v>0</v>
      </c>
      <c r="BL83" s="179" t="str">
        <f>INDEX(Mapping!$M:$M,MATCH($J83,Mapping!$B:$B,0))</f>
        <v>nvt</v>
      </c>
      <c r="BM83" s="282">
        <v>0</v>
      </c>
      <c r="BN83" s="262">
        <f>BM83/INDEX(Parameters!$B:$B,MATCH("AfschrijftermijnVVE"&amp;12*$C83,Parameters!$A:$A,0))</f>
        <v>0</v>
      </c>
      <c r="BO83" s="262">
        <f>AS83+INDEX('inkoop ULL tbv Epacity'!I:I,MATCH($BL83,'inkoop ULL tbv Epacity'!H:H,0))</f>
        <v>0</v>
      </c>
      <c r="BP83" s="263">
        <f t="shared" si="54"/>
        <v>0</v>
      </c>
      <c r="BQ83" s="203"/>
      <c r="BR83" s="262">
        <f>Parameters!$B$12*AG83</f>
        <v>102.77777777777779</v>
      </c>
      <c r="BS83" s="262">
        <f>SUM(Distributievergoedingen!$F$12,Distributievergoedingen!$I$12,Distributievergoedingen!$L$12,Distributievergoedingen!$O$12)*AF83+SUM(Distributievergoedingen!$O$12*AA83+Distributievergoedingen!$R$12+Distributievergoedingen!$U$12+Distributievergoedingen!$X$12)/(MAX(36,12*L83))</f>
        <v>112.77777777777777</v>
      </c>
      <c r="BT83" s="262"/>
      <c r="BU83" s="150">
        <f t="shared" si="55"/>
        <v>215.55555555555554</v>
      </c>
      <c r="BW83" s="151">
        <f t="shared" si="56"/>
        <v>215.55555555555554</v>
      </c>
      <c r="BY83" s="140">
        <f t="shared" si="57"/>
        <v>812.22222222222229</v>
      </c>
      <c r="BZ83" s="141">
        <f t="shared" si="58"/>
        <v>0.7902702702702703</v>
      </c>
      <c r="CA83" s="142" t="b">
        <f t="shared" si="59"/>
        <v>0</v>
      </c>
    </row>
    <row r="84" spans="1:79">
      <c r="A84" s="160" t="str">
        <f t="shared" si="38"/>
        <v>3VDSLAddnationaal3072/3072</v>
      </c>
      <c r="B84" s="142" t="str">
        <f t="shared" si="39"/>
        <v>3VDSL3072/3072Add</v>
      </c>
      <c r="C84" s="198">
        <v>3</v>
      </c>
      <c r="D84" s="198" t="s">
        <v>77</v>
      </c>
      <c r="E84" s="198" t="s">
        <v>103</v>
      </c>
      <c r="F84" s="198" t="s">
        <v>115</v>
      </c>
      <c r="G84" s="199" t="s">
        <v>113</v>
      </c>
      <c r="H84" s="198" t="s">
        <v>82</v>
      </c>
      <c r="J84" s="142" t="str">
        <f t="shared" si="40"/>
        <v>VDSL3072/3072Add</v>
      </c>
      <c r="L84" s="160">
        <f>INDEX(Mapping!$J:$J,MATCH(C$3&amp;C84,Mapping!$B:$B,0))</f>
        <v>1</v>
      </c>
      <c r="M84" s="179" t="str">
        <f>INDEX(Mapping!$H:$H,MATCH(D84&amp;H84&amp;$E84,Mapping!$B:$B,0))</f>
        <v>WBA ZM Ethernet</v>
      </c>
      <c r="N84" s="179" t="str">
        <f>INDEX(Mapping!$J:$J,MATCH(D84&amp;H84&amp;$E84,Mapping!$B:$B,0))</f>
        <v>premium</v>
      </c>
      <c r="O84" s="179" t="str">
        <f>INDEX(Mapping!$I:$I,MATCH($D84,Mapping!$B:$B,0))</f>
        <v>VDSL</v>
      </c>
      <c r="P84" s="179" t="str">
        <f>INDEX(Mapping!$H:$H,MATCH($F84,Mapping!$B:$B,0))</f>
        <v>nvt</v>
      </c>
      <c r="Q84" s="283" t="str">
        <f>INDEX(Mapping!$K:$K,MATCH($D84&amp;$H84&amp;E84,Mapping!$B:$B,0))</f>
        <v>metro</v>
      </c>
      <c r="R84" s="179" t="str">
        <f>INDEX(Mapping!$I:$I,MATCH(D84&amp;H84&amp;$E84,Mapping!$B:$B,0))</f>
        <v>5 Mbps/5 Mbps</v>
      </c>
      <c r="S84" s="203"/>
      <c r="T84" s="283" t="str">
        <f>INDEX(Mapping!$L:$L,MATCH($D84&amp;$H84&amp;E84,Mapping!$B:$B,0))</f>
        <v>metro-nationaal</v>
      </c>
      <c r="U84" s="142" t="str">
        <f t="shared" si="41"/>
        <v>WBA ZM Ethernet5 Mbps/5 Mbpspremiummetro</v>
      </c>
      <c r="W84" s="160">
        <f>MATCH($J84,'Tarieven ZM'!$B:$B,0)</f>
        <v>81</v>
      </c>
      <c r="X84" s="148">
        <f>INDEX('Tarieven ZM'!$H:$H,$W84)</f>
        <v>1000</v>
      </c>
      <c r="Y84" s="161">
        <f>-INDEX(Parameters!$B:$B,MATCH(Y$3,Parameters!$A:$A,0))*$X84</f>
        <v>0</v>
      </c>
      <c r="Z84" s="149">
        <f>-INDEX(Parameters!$B:$B,MATCH(Z$3,Parameters!$A:$A,0))*$X84</f>
        <v>0</v>
      </c>
      <c r="AA84" s="148">
        <f t="shared" si="42"/>
        <v>1000</v>
      </c>
      <c r="AB84" s="148">
        <f>AA84/INDEX(Parameters!$B:$B,MATCH("AfschrijftermijnVVE"&amp;12*$C84,Parameters!$A:$A,0))</f>
        <v>27.777777777777779</v>
      </c>
      <c r="AC84" s="148">
        <f>INDEX('Tarieven ZM'!$G:$G,$W84)</f>
        <v>1000</v>
      </c>
      <c r="AD84" s="161">
        <f>-INDEX(Parameters!$B:$B,MATCH(AD$3,Parameters!$A:$A,0))*$AC84</f>
        <v>0</v>
      </c>
      <c r="AE84" s="161">
        <f>-INDEX(Parameters!$B:$B,MATCH(AE$3,Parameters!$A:$A,0))*$AC84</f>
        <v>0</v>
      </c>
      <c r="AF84" s="148">
        <f t="shared" si="43"/>
        <v>1000</v>
      </c>
      <c r="AG84" s="151">
        <f t="shared" si="44"/>
        <v>1027.7777777777778</v>
      </c>
      <c r="AH84" s="123"/>
      <c r="AI84" s="147">
        <f>IF(R84&lt;&gt;"n.a.",MATCH($U84,'Tarieven W&amp;O'!$B:$B,0),"nvt")</f>
        <v>140</v>
      </c>
      <c r="AJ84" s="148">
        <f>IF(AI84&lt;&gt;"nvt",INDEX('Tarieven W&amp;O'!$H:$H,$AI84),0)</f>
        <v>0</v>
      </c>
      <c r="AK84" s="148">
        <f>IF(AI84&lt;&gt;"nvt",INDEX('Tarieven W&amp;O'!$I:$I,$AI84),0)</f>
        <v>5</v>
      </c>
      <c r="AL84" s="277">
        <f>IF(AI84&lt;&gt;"nvt",-INDEX(Parameters!$B:$B,MATCH(AL$3&amp;$M84,Parameters!$A:$A,0))*(AJ84+AK84),0)</f>
        <v>0</v>
      </c>
      <c r="AM84" s="442"/>
      <c r="AN84" s="179">
        <f t="shared" si="45"/>
        <v>5</v>
      </c>
      <c r="AO84" s="262">
        <f>AN84/INDEX(Parameters!$B:$B,MATCH("AfschrijftermijnVVE"&amp;12*$C84,Parameters!$A:$A,0))</f>
        <v>0.1388888888888889</v>
      </c>
      <c r="AP84" s="179">
        <f t="shared" si="46"/>
        <v>140</v>
      </c>
      <c r="AQ84" s="202">
        <f>IF(AP84&lt;&gt;"nvt",INDEX('Tarieven W&amp;O'!$G:$G,$AP84),0)</f>
        <v>18.53</v>
      </c>
      <c r="AR84" s="463">
        <f>-INDEX(Parameters!$B:$B,MATCH(AR$3&amp;$M84&amp;O84,Parameters!$A:$A,0))*(AQ84)</f>
        <v>0</v>
      </c>
      <c r="AS84" s="262">
        <v>0</v>
      </c>
      <c r="AT84" s="442">
        <f>IF(M84="WBA CM Ethernet",0,'EDC Minus'!$H$27)</f>
        <v>1</v>
      </c>
      <c r="AU84" s="202">
        <f t="shared" si="47"/>
        <v>19.53</v>
      </c>
      <c r="AV84" s="202">
        <f t="shared" si="48"/>
        <v>19.66888888888889</v>
      </c>
      <c r="AW84" s="202"/>
      <c r="AX84" s="202">
        <f>Parameters!$B$6*AV84</f>
        <v>0.19668888888888891</v>
      </c>
      <c r="AY84" s="202">
        <v>0</v>
      </c>
      <c r="AZ84" s="202"/>
      <c r="BA84" s="150">
        <f t="shared" si="52"/>
        <v>0.19668888888888891</v>
      </c>
      <c r="BB84" s="150"/>
      <c r="BC84" s="151">
        <f t="shared" si="53"/>
        <v>19.86557777777778</v>
      </c>
      <c r="BD84" s="123"/>
      <c r="BE84" s="140">
        <f t="shared" si="50"/>
        <v>1007.9122000000001</v>
      </c>
      <c r="BF84" s="141">
        <f t="shared" si="51"/>
        <v>0.98067132972972981</v>
      </c>
      <c r="BG84" s="142" t="b">
        <f t="shared" si="49"/>
        <v>0</v>
      </c>
      <c r="BH84" s="148"/>
      <c r="BI84" s="188" t="s">
        <v>539</v>
      </c>
      <c r="BJ84" s="189"/>
      <c r="BK84">
        <f>VLOOKUP(J84,'Tarieven ZM'!$B$7:$I$146,8,0)</f>
        <v>0</v>
      </c>
      <c r="BL84" s="179" t="str">
        <f>INDEX(Mapping!$M:$M,MATCH($J84,Mapping!$B:$B,0))</f>
        <v>Premium &gt; 2/2Mbps</v>
      </c>
      <c r="BM84" s="282">
        <v>0</v>
      </c>
      <c r="BN84" s="262">
        <f>BM84/INDEX(Parameters!$B:$B,MATCH("AfschrijftermijnVVE"&amp;12*$C84,Parameters!$A:$A,0))</f>
        <v>0</v>
      </c>
      <c r="BO84" s="262">
        <f>AS84+INDEX('inkoop ULL tbv Epacity'!I:I,MATCH($BL84,'inkoop ULL tbv Epacity'!H:H,0))</f>
        <v>16.02</v>
      </c>
      <c r="BP84" s="263">
        <f t="shared" si="54"/>
        <v>16.02</v>
      </c>
      <c r="BQ84" s="203"/>
      <c r="BR84" s="262">
        <f>Parameters!$B$12*AG84</f>
        <v>102.77777777777779</v>
      </c>
      <c r="BS84" s="262">
        <f>SUM(Distributievergoedingen!$F$12,Distributievergoedingen!$I$12,Distributievergoedingen!$L$12,Distributievergoedingen!$O$12)*AF84+SUM(Distributievergoedingen!$O$12*AA84+Distributievergoedingen!$R$12+Distributievergoedingen!$U$12+Distributievergoedingen!$X$12)/(MAX(36,12*L84))</f>
        <v>112.77777777777777</v>
      </c>
      <c r="BT84" s="262"/>
      <c r="BU84" s="150">
        <f t="shared" si="55"/>
        <v>215.55555555555554</v>
      </c>
      <c r="BW84" s="151">
        <f t="shared" si="56"/>
        <v>231.57555555555555</v>
      </c>
      <c r="BY84" s="140">
        <f t="shared" si="57"/>
        <v>796.2022222222223</v>
      </c>
      <c r="BZ84" s="141">
        <f t="shared" si="58"/>
        <v>0.77468324324324334</v>
      </c>
      <c r="CA84" s="142" t="b">
        <f t="shared" si="59"/>
        <v>0</v>
      </c>
    </row>
    <row r="85" spans="1:79">
      <c r="A85" s="160" t="str">
        <f t="shared" si="38"/>
        <v>3SA IPVPNAddnationaal128/128</v>
      </c>
      <c r="B85" s="142" t="str">
        <f t="shared" si="39"/>
        <v>3SA IPVPN128/128Add</v>
      </c>
      <c r="C85" s="198">
        <v>3</v>
      </c>
      <c r="D85" s="198" t="s">
        <v>93</v>
      </c>
      <c r="E85" s="198" t="s">
        <v>103</v>
      </c>
      <c r="F85" s="198" t="s">
        <v>115</v>
      </c>
      <c r="G85" s="199" t="s">
        <v>113</v>
      </c>
      <c r="H85" s="198" t="s">
        <v>43</v>
      </c>
      <c r="J85" s="142" t="str">
        <f t="shared" si="40"/>
        <v>SA IPVPN128/128Add</v>
      </c>
      <c r="L85" s="160">
        <f>INDEX(Mapping!$J:$J,MATCH(C$3&amp;C85,Mapping!$B:$B,0))</f>
        <v>1</v>
      </c>
      <c r="M85" s="179" t="str">
        <f>INDEX(Mapping!$H:$H,MATCH(D85&amp;H85&amp;$E85,Mapping!$B:$B,0))</f>
        <v>WBA CM Ethernet</v>
      </c>
      <c r="N85" s="179" t="str">
        <f>INDEX(Mapping!$J:$J,MATCH(D85&amp;H85&amp;$E85,Mapping!$B:$B,0))</f>
        <v>add</v>
      </c>
      <c r="O85" s="179" t="str">
        <f>INDEX(Mapping!$I:$I,MATCH($D85,Mapping!$B:$B,0))</f>
        <v>FttH</v>
      </c>
      <c r="P85" s="179" t="str">
        <f>INDEX(Mapping!$H:$H,MATCH($F85,Mapping!$B:$B,0))</f>
        <v>nvt</v>
      </c>
      <c r="Q85" s="283" t="str">
        <f>INDEX(Mapping!$K:$K,MATCH($D85&amp;$H85&amp;E85,Mapping!$B:$B,0))</f>
        <v>national</v>
      </c>
      <c r="R85" s="179" t="str">
        <f>INDEX(Mapping!$I:$I,MATCH(D85&amp;H85&amp;$E85,Mapping!$B:$B,0))</f>
        <v>&lt;=256 kbps/&lt;=256 kbps</v>
      </c>
      <c r="S85" s="203"/>
      <c r="T85" s="283" t="str">
        <f>INDEX(Mapping!$L:$L,MATCH($D85&amp;$H85&amp;E85,Mapping!$B:$B,0))</f>
        <v>nvt</v>
      </c>
      <c r="U85" s="142" t="str">
        <f t="shared" si="41"/>
        <v>WBA CM Ethernet&lt;=256 kbps/&lt;=256 kbpsaddnational</v>
      </c>
      <c r="W85" s="160">
        <f>MATCH($J85,'Tarieven ZM'!$B:$B,0)</f>
        <v>82</v>
      </c>
      <c r="X85" s="148">
        <f>INDEX('Tarieven ZM'!$H:$H,$W85)</f>
        <v>1000</v>
      </c>
      <c r="Y85" s="161">
        <f>-INDEX(Parameters!$B:$B,MATCH(Y$3,Parameters!$A:$A,0))*$X85</f>
        <v>0</v>
      </c>
      <c r="Z85" s="149">
        <f>-INDEX(Parameters!$B:$B,MATCH(Z$3,Parameters!$A:$A,0))*$X85</f>
        <v>0</v>
      </c>
      <c r="AA85" s="148">
        <f t="shared" si="42"/>
        <v>1000</v>
      </c>
      <c r="AB85" s="148">
        <f>AA85/INDEX(Parameters!$B:$B,MATCH("AfschrijftermijnVVE"&amp;12*$C85,Parameters!$A:$A,0))</f>
        <v>27.777777777777779</v>
      </c>
      <c r="AC85" s="148">
        <f>INDEX('Tarieven ZM'!$G:$G,$W85)</f>
        <v>1000</v>
      </c>
      <c r="AD85" s="161">
        <f>-INDEX(Parameters!$B:$B,MATCH(AD$3,Parameters!$A:$A,0))*$AC85</f>
        <v>0</v>
      </c>
      <c r="AE85" s="161">
        <f>-INDEX(Parameters!$B:$B,MATCH(AE$3,Parameters!$A:$A,0))*$AC85</f>
        <v>0</v>
      </c>
      <c r="AF85" s="148">
        <f t="shared" si="43"/>
        <v>1000</v>
      </c>
      <c r="AG85" s="151">
        <f t="shared" si="44"/>
        <v>1027.7777777777778</v>
      </c>
      <c r="AH85" s="123"/>
      <c r="AI85" s="147">
        <f>IF(R85&lt;&gt;"n.a.",MATCH($U85,'Tarieven W&amp;O'!$B:$B,0),"nvt")</f>
        <v>134</v>
      </c>
      <c r="AJ85" s="148">
        <f>IF(AI85&lt;&gt;"nvt",INDEX('Tarieven W&amp;O'!$H:$H,$AI85),0)</f>
        <v>0</v>
      </c>
      <c r="AK85" s="148">
        <f>IF(AI85&lt;&gt;"nvt",INDEX('Tarieven W&amp;O'!$I:$I,$AI85),0)</f>
        <v>5</v>
      </c>
      <c r="AL85" s="277">
        <f>IF(AI85&lt;&gt;"nvt",-INDEX(Parameters!$B:$B,MATCH(AL$3&amp;$M85,Parameters!$A:$A,0))*(AJ85+AK85),0)</f>
        <v>0</v>
      </c>
      <c r="AM85" s="442"/>
      <c r="AN85" s="179">
        <f t="shared" si="45"/>
        <v>5</v>
      </c>
      <c r="AO85" s="262">
        <f>AN85/INDEX(Parameters!$B:$B,MATCH("AfschrijftermijnVVE"&amp;12*$C85,Parameters!$A:$A,0))</f>
        <v>0.1388888888888889</v>
      </c>
      <c r="AP85" s="179">
        <f t="shared" si="46"/>
        <v>134</v>
      </c>
      <c r="AQ85" s="202">
        <f>IF(AP85&lt;&gt;"nvt",INDEX('Tarieven W&amp;O'!$G:$G,$AP85),0)</f>
        <v>1E-4</v>
      </c>
      <c r="AR85" s="463">
        <f>-INDEX(Parameters!$B:$B,MATCH(AR$3&amp;$M85&amp;O85,Parameters!$A:$A,0))*(AQ85)</f>
        <v>0</v>
      </c>
      <c r="AS85" s="262">
        <v>0</v>
      </c>
      <c r="AT85" s="442">
        <f>IF(M85="WBA CM Ethernet",0,'EDC Minus'!$H$27)</f>
        <v>0</v>
      </c>
      <c r="AU85" s="202">
        <f t="shared" si="47"/>
        <v>1E-4</v>
      </c>
      <c r="AV85" s="202">
        <f t="shared" si="48"/>
        <v>0.13898888888888888</v>
      </c>
      <c r="AW85" s="202"/>
      <c r="AX85" s="202">
        <f>Parameters!$B$6*AV85</f>
        <v>1.3898888888888889E-3</v>
      </c>
      <c r="AY85" s="202">
        <v>0</v>
      </c>
      <c r="AZ85" s="202"/>
      <c r="BA85" s="150">
        <f t="shared" si="52"/>
        <v>1.3898888888888889E-3</v>
      </c>
      <c r="BB85" s="150"/>
      <c r="BC85" s="151">
        <f t="shared" si="53"/>
        <v>0.14037877777777777</v>
      </c>
      <c r="BD85" s="123"/>
      <c r="BE85" s="140">
        <f t="shared" si="50"/>
        <v>1027.637399</v>
      </c>
      <c r="BF85" s="141">
        <f t="shared" si="51"/>
        <v>0.99986341524324318</v>
      </c>
      <c r="BG85" s="142" t="b">
        <f t="shared" si="49"/>
        <v>0</v>
      </c>
      <c r="BH85" s="148"/>
      <c r="BI85" s="188" t="s">
        <v>539</v>
      </c>
      <c r="BJ85" s="189"/>
      <c r="BK85">
        <f>VLOOKUP(J85,'Tarieven ZM'!$B$7:$I$146,8,0)</f>
        <v>0</v>
      </c>
      <c r="BL85" s="179" t="str">
        <f>INDEX(Mapping!$M:$M,MATCH($J85,Mapping!$B:$B,0))</f>
        <v>nvt</v>
      </c>
      <c r="BM85" s="282">
        <v>0</v>
      </c>
      <c r="BN85" s="262">
        <f>BM85/INDEX(Parameters!$B:$B,MATCH("AfschrijftermijnVVE"&amp;12*$C85,Parameters!$A:$A,0))</f>
        <v>0</v>
      </c>
      <c r="BO85" s="262">
        <f>AS85+INDEX('inkoop ULL tbv Epacity'!I:I,MATCH($BL85,'inkoop ULL tbv Epacity'!H:H,0))</f>
        <v>0</v>
      </c>
      <c r="BP85" s="263">
        <f t="shared" si="54"/>
        <v>0</v>
      </c>
      <c r="BQ85" s="203"/>
      <c r="BR85" s="262">
        <f>Parameters!$B$12*AG85</f>
        <v>102.77777777777779</v>
      </c>
      <c r="BS85" s="262">
        <f>SUM(Distributievergoedingen!$F$12,Distributievergoedingen!$I$12,Distributievergoedingen!$L$12,Distributievergoedingen!$O$12)*AF85+SUM(Distributievergoedingen!$O$12*AA85+Distributievergoedingen!$R$12+Distributievergoedingen!$U$12+Distributievergoedingen!$X$12)/(MAX(36,12*L85))</f>
        <v>112.77777777777777</v>
      </c>
      <c r="BT85" s="262"/>
      <c r="BU85" s="150">
        <f t="shared" si="55"/>
        <v>215.55555555555554</v>
      </c>
      <c r="BW85" s="151">
        <f t="shared" si="56"/>
        <v>215.55555555555554</v>
      </c>
      <c r="BY85" s="140">
        <f t="shared" si="57"/>
        <v>812.22222222222229</v>
      </c>
      <c r="BZ85" s="141">
        <f t="shared" si="58"/>
        <v>0.7902702702702703</v>
      </c>
      <c r="CA85" s="142" t="b">
        <f t="shared" si="59"/>
        <v>0</v>
      </c>
    </row>
    <row r="86" spans="1:79">
      <c r="A86" s="160" t="str">
        <f t="shared" si="38"/>
        <v>3SA IPVPNAddnationaal256/256</v>
      </c>
      <c r="B86" s="142" t="str">
        <f t="shared" si="39"/>
        <v>3SA IPVPN256/256Add</v>
      </c>
      <c r="C86" s="198">
        <v>3</v>
      </c>
      <c r="D86" s="198" t="s">
        <v>93</v>
      </c>
      <c r="E86" s="198" t="s">
        <v>103</v>
      </c>
      <c r="F86" s="198" t="s">
        <v>115</v>
      </c>
      <c r="G86" s="199" t="s">
        <v>113</v>
      </c>
      <c r="H86" s="198" t="s">
        <v>48</v>
      </c>
      <c r="J86" s="142" t="str">
        <f t="shared" si="40"/>
        <v>SA IPVPN256/256Add</v>
      </c>
      <c r="L86" s="160">
        <f>INDEX(Mapping!$J:$J,MATCH(C$3&amp;C86,Mapping!$B:$B,0))</f>
        <v>1</v>
      </c>
      <c r="M86" s="179" t="str">
        <f>INDEX(Mapping!$H:$H,MATCH(D86&amp;H86&amp;$E86,Mapping!$B:$B,0))</f>
        <v>WBA CM Ethernet</v>
      </c>
      <c r="N86" s="179" t="str">
        <f>INDEX(Mapping!$J:$J,MATCH(D86&amp;H86&amp;$E86,Mapping!$B:$B,0))</f>
        <v>add</v>
      </c>
      <c r="O86" s="179" t="str">
        <f>INDEX(Mapping!$I:$I,MATCH($D86,Mapping!$B:$B,0))</f>
        <v>FttH</v>
      </c>
      <c r="P86" s="179" t="str">
        <f>INDEX(Mapping!$H:$H,MATCH($F86,Mapping!$B:$B,0))</f>
        <v>nvt</v>
      </c>
      <c r="Q86" s="283" t="str">
        <f>INDEX(Mapping!$K:$K,MATCH($D86&amp;$H86&amp;E86,Mapping!$B:$B,0))</f>
        <v>national</v>
      </c>
      <c r="R86" s="179" t="str">
        <f>INDEX(Mapping!$I:$I,MATCH(D86&amp;H86&amp;$E86,Mapping!$B:$B,0))</f>
        <v>&lt;=256 kbps/&lt;=256 kbps</v>
      </c>
      <c r="S86" s="203"/>
      <c r="T86" s="283" t="str">
        <f>INDEX(Mapping!$L:$L,MATCH($D86&amp;$H86&amp;E86,Mapping!$B:$B,0))</f>
        <v>nvt</v>
      </c>
      <c r="U86" s="142" t="str">
        <f t="shared" si="41"/>
        <v>WBA CM Ethernet&lt;=256 kbps/&lt;=256 kbpsaddnational</v>
      </c>
      <c r="W86" s="160">
        <f>MATCH($J86,'Tarieven ZM'!$B:$B,0)</f>
        <v>83</v>
      </c>
      <c r="X86" s="148">
        <f>INDEX('Tarieven ZM'!$H:$H,$W86)</f>
        <v>1000</v>
      </c>
      <c r="Y86" s="161">
        <f>-INDEX(Parameters!$B:$B,MATCH(Y$3,Parameters!$A:$A,0))*$X86</f>
        <v>0</v>
      </c>
      <c r="Z86" s="149">
        <f>-INDEX(Parameters!$B:$B,MATCH(Z$3,Parameters!$A:$A,0))*$X86</f>
        <v>0</v>
      </c>
      <c r="AA86" s="148">
        <f t="shared" si="42"/>
        <v>1000</v>
      </c>
      <c r="AB86" s="148">
        <f>AA86/INDEX(Parameters!$B:$B,MATCH("AfschrijftermijnVVE"&amp;12*$C86,Parameters!$A:$A,0))</f>
        <v>27.777777777777779</v>
      </c>
      <c r="AC86" s="148">
        <f>INDEX('Tarieven ZM'!$G:$G,$W86)</f>
        <v>1000</v>
      </c>
      <c r="AD86" s="161">
        <f>-INDEX(Parameters!$B:$B,MATCH(AD$3,Parameters!$A:$A,0))*$AC86</f>
        <v>0</v>
      </c>
      <c r="AE86" s="161">
        <f>-INDEX(Parameters!$B:$B,MATCH(AE$3,Parameters!$A:$A,0))*$AC86</f>
        <v>0</v>
      </c>
      <c r="AF86" s="148">
        <f t="shared" si="43"/>
        <v>1000</v>
      </c>
      <c r="AG86" s="151">
        <f t="shared" si="44"/>
        <v>1027.7777777777778</v>
      </c>
      <c r="AH86" s="123"/>
      <c r="AI86" s="147">
        <f>IF(R86&lt;&gt;"n.a.",MATCH($U86,'Tarieven W&amp;O'!$B:$B,0),"nvt")</f>
        <v>134</v>
      </c>
      <c r="AJ86" s="148">
        <f>IF(AI86&lt;&gt;"nvt",INDEX('Tarieven W&amp;O'!$H:$H,$AI86),0)</f>
        <v>0</v>
      </c>
      <c r="AK86" s="148">
        <f>IF(AI86&lt;&gt;"nvt",INDEX('Tarieven W&amp;O'!$I:$I,$AI86),0)</f>
        <v>5</v>
      </c>
      <c r="AL86" s="277">
        <f>IF(AI86&lt;&gt;"nvt",-INDEX(Parameters!$B:$B,MATCH(AL$3&amp;$M86,Parameters!$A:$A,0))*(AJ86+AK86),0)</f>
        <v>0</v>
      </c>
      <c r="AM86" s="442"/>
      <c r="AN86" s="179">
        <f t="shared" si="45"/>
        <v>5</v>
      </c>
      <c r="AO86" s="262">
        <f>AN86/INDEX(Parameters!$B:$B,MATCH("AfschrijftermijnVVE"&amp;12*$C86,Parameters!$A:$A,0))</f>
        <v>0.1388888888888889</v>
      </c>
      <c r="AP86" s="179">
        <f t="shared" si="46"/>
        <v>134</v>
      </c>
      <c r="AQ86" s="202">
        <f>IF(AP86&lt;&gt;"nvt",INDEX('Tarieven W&amp;O'!$G:$G,$AP86),0)</f>
        <v>1E-4</v>
      </c>
      <c r="AR86" s="463">
        <f>-INDEX(Parameters!$B:$B,MATCH(AR$3&amp;$M86&amp;O86,Parameters!$A:$A,0))*(AQ86)</f>
        <v>0</v>
      </c>
      <c r="AS86" s="262">
        <v>0</v>
      </c>
      <c r="AT86" s="442">
        <f>IF(M86="WBA CM Ethernet",0,'EDC Minus'!$H$27)</f>
        <v>0</v>
      </c>
      <c r="AU86" s="202">
        <f t="shared" si="47"/>
        <v>1E-4</v>
      </c>
      <c r="AV86" s="202">
        <f t="shared" si="48"/>
        <v>0.13898888888888888</v>
      </c>
      <c r="AW86" s="202"/>
      <c r="AX86" s="202">
        <f>Parameters!$B$6*AV86</f>
        <v>1.3898888888888889E-3</v>
      </c>
      <c r="AY86" s="202">
        <v>0</v>
      </c>
      <c r="AZ86" s="202"/>
      <c r="BA86" s="150">
        <f t="shared" si="52"/>
        <v>1.3898888888888889E-3</v>
      </c>
      <c r="BB86" s="150"/>
      <c r="BC86" s="151">
        <f t="shared" si="53"/>
        <v>0.14037877777777777</v>
      </c>
      <c r="BD86" s="123"/>
      <c r="BE86" s="140">
        <f t="shared" si="50"/>
        <v>1027.637399</v>
      </c>
      <c r="BF86" s="141">
        <f t="shared" si="51"/>
        <v>0.99986341524324318</v>
      </c>
      <c r="BG86" s="142" t="b">
        <f t="shared" si="49"/>
        <v>0</v>
      </c>
      <c r="BH86" s="148"/>
      <c r="BI86" s="188" t="s">
        <v>539</v>
      </c>
      <c r="BJ86" s="189"/>
      <c r="BK86">
        <f>VLOOKUP(J86,'Tarieven ZM'!$B$7:$I$146,8,0)</f>
        <v>0</v>
      </c>
      <c r="BL86" s="179" t="str">
        <f>INDEX(Mapping!$M:$M,MATCH($J86,Mapping!$B:$B,0))</f>
        <v>nvt</v>
      </c>
      <c r="BM86" s="282">
        <v>0</v>
      </c>
      <c r="BN86" s="262">
        <f>BM86/INDEX(Parameters!$B:$B,MATCH("AfschrijftermijnVVE"&amp;12*$C86,Parameters!$A:$A,0))</f>
        <v>0</v>
      </c>
      <c r="BO86" s="262">
        <f>AS86+INDEX('inkoop ULL tbv Epacity'!I:I,MATCH($BL86,'inkoop ULL tbv Epacity'!H:H,0))</f>
        <v>0</v>
      </c>
      <c r="BP86" s="263">
        <f t="shared" si="54"/>
        <v>0</v>
      </c>
      <c r="BQ86" s="203"/>
      <c r="BR86" s="262">
        <f>Parameters!$B$12*AG86</f>
        <v>102.77777777777779</v>
      </c>
      <c r="BS86" s="262">
        <f>SUM(Distributievergoedingen!$F$12,Distributievergoedingen!$I$12,Distributievergoedingen!$L$12,Distributievergoedingen!$O$12)*AF86+SUM(Distributievergoedingen!$O$12*AA86+Distributievergoedingen!$R$12+Distributievergoedingen!$U$12+Distributievergoedingen!$X$12)/(MAX(36,12*L86))</f>
        <v>112.77777777777777</v>
      </c>
      <c r="BT86" s="262"/>
      <c r="BU86" s="150">
        <f t="shared" si="55"/>
        <v>215.55555555555554</v>
      </c>
      <c r="BW86" s="151">
        <f t="shared" si="56"/>
        <v>215.55555555555554</v>
      </c>
      <c r="BY86" s="140">
        <f t="shared" si="57"/>
        <v>812.22222222222229</v>
      </c>
      <c r="BZ86" s="141">
        <f t="shared" si="58"/>
        <v>0.7902702702702703</v>
      </c>
      <c r="CA86" s="142" t="b">
        <f t="shared" si="59"/>
        <v>0</v>
      </c>
    </row>
    <row r="87" spans="1:79">
      <c r="A87" s="160" t="str">
        <f t="shared" si="38"/>
        <v>3SA IPVPNAddnationaal448/448</v>
      </c>
      <c r="B87" s="142" t="str">
        <f t="shared" si="39"/>
        <v>3SA IPVPN448/448Add</v>
      </c>
      <c r="C87" s="198">
        <v>3</v>
      </c>
      <c r="D87" s="198" t="s">
        <v>93</v>
      </c>
      <c r="E87" s="198" t="s">
        <v>103</v>
      </c>
      <c r="F87" s="198" t="s">
        <v>115</v>
      </c>
      <c r="G87" s="199" t="s">
        <v>113</v>
      </c>
      <c r="H87" s="198" t="s">
        <v>79</v>
      </c>
      <c r="J87" s="142" t="str">
        <f t="shared" si="40"/>
        <v>SA IPVPN448/448Add</v>
      </c>
      <c r="L87" s="160">
        <f>INDEX(Mapping!$J:$J,MATCH(C$3&amp;C87,Mapping!$B:$B,0))</f>
        <v>1</v>
      </c>
      <c r="M87" s="179" t="str">
        <f>INDEX(Mapping!$H:$H,MATCH(D87&amp;H87&amp;$E87,Mapping!$B:$B,0))</f>
        <v>WBA ZM Ethernet</v>
      </c>
      <c r="N87" s="179" t="str">
        <f>INDEX(Mapping!$J:$J,MATCH(D87&amp;H87&amp;$E87,Mapping!$B:$B,0))</f>
        <v>premium</v>
      </c>
      <c r="O87" s="179" t="str">
        <f>INDEX(Mapping!$I:$I,MATCH($D87,Mapping!$B:$B,0))</f>
        <v>FttH</v>
      </c>
      <c r="P87" s="179" t="str">
        <f>INDEX(Mapping!$H:$H,MATCH($F87,Mapping!$B:$B,0))</f>
        <v>nvt</v>
      </c>
      <c r="Q87" s="283" t="str">
        <f>INDEX(Mapping!$K:$K,MATCH($D87&amp;$H87&amp;E87,Mapping!$B:$B,0))</f>
        <v>metro</v>
      </c>
      <c r="R87" s="179" t="str">
        <f>INDEX(Mapping!$I:$I,MATCH(D87&amp;H87&amp;$E87,Mapping!$B:$B,0))</f>
        <v>1 Mbps/1 Mbps</v>
      </c>
      <c r="S87" s="203"/>
      <c r="T87" s="283" t="str">
        <f>INDEX(Mapping!$L:$L,MATCH($D87&amp;$H87&amp;E87,Mapping!$B:$B,0))</f>
        <v>metro-nationaal</v>
      </c>
      <c r="U87" s="142" t="str">
        <f t="shared" si="41"/>
        <v>WBA ZM Ethernet1 Mbps/1 Mbpspremiummetro</v>
      </c>
      <c r="W87" s="160">
        <f>MATCH($J87,'Tarieven ZM'!$B:$B,0)</f>
        <v>84</v>
      </c>
      <c r="X87" s="148">
        <f>INDEX('Tarieven ZM'!$H:$H,$W87)</f>
        <v>1000</v>
      </c>
      <c r="Y87" s="161">
        <f>-INDEX(Parameters!$B:$B,MATCH(Y$3,Parameters!$A:$A,0))*$X87</f>
        <v>0</v>
      </c>
      <c r="Z87" s="149">
        <f>-INDEX(Parameters!$B:$B,MATCH(Z$3,Parameters!$A:$A,0))*$X87</f>
        <v>0</v>
      </c>
      <c r="AA87" s="148">
        <f t="shared" si="42"/>
        <v>1000</v>
      </c>
      <c r="AB87" s="148">
        <f>AA87/INDEX(Parameters!$B:$B,MATCH("AfschrijftermijnVVE"&amp;12*$C87,Parameters!$A:$A,0))</f>
        <v>27.777777777777779</v>
      </c>
      <c r="AC87" s="148">
        <f>INDEX('Tarieven ZM'!$G:$G,$W87)</f>
        <v>1000</v>
      </c>
      <c r="AD87" s="161">
        <f>-INDEX(Parameters!$B:$B,MATCH(AD$3,Parameters!$A:$A,0))*$AC87</f>
        <v>0</v>
      </c>
      <c r="AE87" s="161">
        <f>-INDEX(Parameters!$B:$B,MATCH(AE$3,Parameters!$A:$A,0))*$AC87</f>
        <v>0</v>
      </c>
      <c r="AF87" s="148">
        <f t="shared" si="43"/>
        <v>1000</v>
      </c>
      <c r="AG87" s="151">
        <f t="shared" si="44"/>
        <v>1027.7777777777778</v>
      </c>
      <c r="AH87" s="123"/>
      <c r="AI87" s="147">
        <f>IF(R87&lt;&gt;"n.a.",MATCH($U87,'Tarieven W&amp;O'!$B:$B,0),"nvt")</f>
        <v>138</v>
      </c>
      <c r="AJ87" s="148">
        <f>IF(AI87&lt;&gt;"nvt",INDEX('Tarieven W&amp;O'!$H:$H,$AI87),0)</f>
        <v>0</v>
      </c>
      <c r="AK87" s="148">
        <f>IF(AI87&lt;&gt;"nvt",INDEX('Tarieven W&amp;O'!$I:$I,$AI87),0)</f>
        <v>5</v>
      </c>
      <c r="AL87" s="277">
        <f>IF(AI87&lt;&gt;"nvt",-INDEX(Parameters!$B:$B,MATCH(AL$3&amp;$M87,Parameters!$A:$A,0))*(AJ87+AK87),0)</f>
        <v>0</v>
      </c>
      <c r="AM87" s="442"/>
      <c r="AN87" s="179">
        <f t="shared" si="45"/>
        <v>5</v>
      </c>
      <c r="AO87" s="262">
        <f>AN87/INDEX(Parameters!$B:$B,MATCH("AfschrijftermijnVVE"&amp;12*$C87,Parameters!$A:$A,0))</f>
        <v>0.1388888888888889</v>
      </c>
      <c r="AP87" s="179">
        <f t="shared" si="46"/>
        <v>138</v>
      </c>
      <c r="AQ87" s="202">
        <f>IF(AP87&lt;&gt;"nvt",INDEX('Tarieven W&amp;O'!$G:$G,$AP87),0)</f>
        <v>7.41</v>
      </c>
      <c r="AR87" s="463">
        <f>-INDEX(Parameters!$B:$B,MATCH(AR$3&amp;$M87&amp;O87,Parameters!$A:$A,0))*(AQ87)</f>
        <v>0</v>
      </c>
      <c r="AS87" s="262">
        <v>0</v>
      </c>
      <c r="AT87" s="442">
        <f>IF(M87="WBA CM Ethernet",0,'EDC Minus'!$H$27)</f>
        <v>1</v>
      </c>
      <c r="AU87" s="202">
        <f t="shared" si="47"/>
        <v>8.41</v>
      </c>
      <c r="AV87" s="202">
        <f t="shared" si="48"/>
        <v>8.5488888888888894</v>
      </c>
      <c r="AW87" s="202"/>
      <c r="AX87" s="202">
        <f>Parameters!$B$6*AV87</f>
        <v>8.5488888888888892E-2</v>
      </c>
      <c r="AY87" s="202">
        <v>0</v>
      </c>
      <c r="AZ87" s="202"/>
      <c r="BA87" s="150">
        <f t="shared" si="52"/>
        <v>8.5488888888888892E-2</v>
      </c>
      <c r="BB87" s="150"/>
      <c r="BC87" s="151">
        <f t="shared" si="53"/>
        <v>8.6343777777777788</v>
      </c>
      <c r="BD87" s="123"/>
      <c r="BE87" s="140">
        <f t="shared" si="50"/>
        <v>1019.1434</v>
      </c>
      <c r="BF87" s="141">
        <f t="shared" si="51"/>
        <v>0.99159898378378375</v>
      </c>
      <c r="BG87" s="142" t="b">
        <f t="shared" si="49"/>
        <v>0</v>
      </c>
      <c r="BH87" s="148"/>
      <c r="BI87" s="188" t="s">
        <v>539</v>
      </c>
      <c r="BJ87" s="189"/>
      <c r="BK87">
        <f>VLOOKUP(J87,'Tarieven ZM'!$B$7:$I$146,8,0)</f>
        <v>0</v>
      </c>
      <c r="BL87" s="179" t="str">
        <f>INDEX(Mapping!$M:$M,MATCH($J87,Mapping!$B:$B,0))</f>
        <v>nvt</v>
      </c>
      <c r="BM87" s="282">
        <v>0</v>
      </c>
      <c r="BN87" s="262">
        <f>BM87/INDEX(Parameters!$B:$B,MATCH("AfschrijftermijnVVE"&amp;12*$C87,Parameters!$A:$A,0))</f>
        <v>0</v>
      </c>
      <c r="BO87" s="262">
        <f>AS87+INDEX('inkoop ULL tbv Epacity'!I:I,MATCH($BL87,'inkoop ULL tbv Epacity'!H:H,0))</f>
        <v>0</v>
      </c>
      <c r="BP87" s="263">
        <f t="shared" si="54"/>
        <v>0</v>
      </c>
      <c r="BQ87" s="203"/>
      <c r="BR87" s="262">
        <f>Parameters!$B$12*AG87</f>
        <v>102.77777777777779</v>
      </c>
      <c r="BS87" s="262">
        <f>SUM(Distributievergoedingen!$F$12,Distributievergoedingen!$I$12,Distributievergoedingen!$L$12,Distributievergoedingen!$O$12)*AF87+SUM(Distributievergoedingen!$O$12*AA87+Distributievergoedingen!$R$12+Distributievergoedingen!$U$12+Distributievergoedingen!$X$12)/(MAX(36,12*L87))</f>
        <v>112.77777777777777</v>
      </c>
      <c r="BT87" s="262"/>
      <c r="BU87" s="150">
        <f t="shared" si="55"/>
        <v>215.55555555555554</v>
      </c>
      <c r="BW87" s="151">
        <f t="shared" si="56"/>
        <v>215.55555555555554</v>
      </c>
      <c r="BY87" s="140">
        <f t="shared" si="57"/>
        <v>812.22222222222229</v>
      </c>
      <c r="BZ87" s="141">
        <f t="shared" si="58"/>
        <v>0.7902702702702703</v>
      </c>
      <c r="CA87" s="142" t="b">
        <f t="shared" si="59"/>
        <v>0</v>
      </c>
    </row>
    <row r="88" spans="1:79">
      <c r="A88" s="160" t="str">
        <f t="shared" si="38"/>
        <v>3SA IPVPNAddnationaal640/640</v>
      </c>
      <c r="B88" s="142" t="str">
        <f t="shared" si="39"/>
        <v>3SA IPVPN640/640Add</v>
      </c>
      <c r="C88" s="198">
        <v>3</v>
      </c>
      <c r="D88" s="198" t="s">
        <v>93</v>
      </c>
      <c r="E88" s="198" t="s">
        <v>103</v>
      </c>
      <c r="F88" s="198" t="s">
        <v>115</v>
      </c>
      <c r="G88" s="199" t="s">
        <v>113</v>
      </c>
      <c r="H88" s="198" t="s">
        <v>80</v>
      </c>
      <c r="J88" s="142" t="str">
        <f t="shared" si="40"/>
        <v>SA IPVPN640/640Add</v>
      </c>
      <c r="L88" s="160">
        <f>INDEX(Mapping!$J:$J,MATCH(C$3&amp;C88,Mapping!$B:$B,0))</f>
        <v>1</v>
      </c>
      <c r="M88" s="179" t="str">
        <f>INDEX(Mapping!$H:$H,MATCH(D88&amp;H88&amp;$E88,Mapping!$B:$B,0))</f>
        <v>WBA ZM Ethernet</v>
      </c>
      <c r="N88" s="179" t="str">
        <f>INDEX(Mapping!$J:$J,MATCH(D88&amp;H88&amp;$E88,Mapping!$B:$B,0))</f>
        <v>premium</v>
      </c>
      <c r="O88" s="179" t="str">
        <f>INDEX(Mapping!$I:$I,MATCH($D88,Mapping!$B:$B,0))</f>
        <v>FttH</v>
      </c>
      <c r="P88" s="179" t="str">
        <f>INDEX(Mapping!$H:$H,MATCH($F88,Mapping!$B:$B,0))</f>
        <v>nvt</v>
      </c>
      <c r="Q88" s="283" t="str">
        <f>INDEX(Mapping!$K:$K,MATCH($D88&amp;$H88&amp;E88,Mapping!$B:$B,0))</f>
        <v>metro</v>
      </c>
      <c r="R88" s="179" t="str">
        <f>INDEX(Mapping!$I:$I,MATCH(D88&amp;H88&amp;$E88,Mapping!$B:$B,0))</f>
        <v>1 Mbps/1 Mbps</v>
      </c>
      <c r="S88" s="203"/>
      <c r="T88" s="283" t="str">
        <f>INDEX(Mapping!$L:$L,MATCH($D88&amp;$H88&amp;E88,Mapping!$B:$B,0))</f>
        <v>metro-nationaal</v>
      </c>
      <c r="U88" s="142" t="str">
        <f t="shared" si="41"/>
        <v>WBA ZM Ethernet1 Mbps/1 Mbpspremiummetro</v>
      </c>
      <c r="W88" s="160">
        <f>MATCH($J88,'Tarieven ZM'!$B:$B,0)</f>
        <v>85</v>
      </c>
      <c r="X88" s="148">
        <f>INDEX('Tarieven ZM'!$H:$H,$W88)</f>
        <v>1000</v>
      </c>
      <c r="Y88" s="161">
        <f>-INDEX(Parameters!$B:$B,MATCH(Y$3,Parameters!$A:$A,0))*$X88</f>
        <v>0</v>
      </c>
      <c r="Z88" s="149">
        <f>-INDEX(Parameters!$B:$B,MATCH(Z$3,Parameters!$A:$A,0))*$X88</f>
        <v>0</v>
      </c>
      <c r="AA88" s="148">
        <f t="shared" si="42"/>
        <v>1000</v>
      </c>
      <c r="AB88" s="148">
        <f>AA88/INDEX(Parameters!$B:$B,MATCH("AfschrijftermijnVVE"&amp;12*$C88,Parameters!$A:$A,0))</f>
        <v>27.777777777777779</v>
      </c>
      <c r="AC88" s="148">
        <f>INDEX('Tarieven ZM'!$G:$G,$W88)</f>
        <v>1000</v>
      </c>
      <c r="AD88" s="161">
        <f>-INDEX(Parameters!$B:$B,MATCH(AD$3,Parameters!$A:$A,0))*$AC88</f>
        <v>0</v>
      </c>
      <c r="AE88" s="161">
        <f>-INDEX(Parameters!$B:$B,MATCH(AE$3,Parameters!$A:$A,0))*$AC88</f>
        <v>0</v>
      </c>
      <c r="AF88" s="148">
        <f t="shared" si="43"/>
        <v>1000</v>
      </c>
      <c r="AG88" s="151">
        <f t="shared" si="44"/>
        <v>1027.7777777777778</v>
      </c>
      <c r="AH88" s="123"/>
      <c r="AI88" s="147">
        <f>IF(R88&lt;&gt;"n.a.",MATCH($U88,'Tarieven W&amp;O'!$B:$B,0),"nvt")</f>
        <v>138</v>
      </c>
      <c r="AJ88" s="148">
        <f>IF(AI88&lt;&gt;"nvt",INDEX('Tarieven W&amp;O'!$H:$H,$AI88),0)</f>
        <v>0</v>
      </c>
      <c r="AK88" s="148">
        <f>IF(AI88&lt;&gt;"nvt",INDEX('Tarieven W&amp;O'!$I:$I,$AI88),0)</f>
        <v>5</v>
      </c>
      <c r="AL88" s="277">
        <f>IF(AI88&lt;&gt;"nvt",-INDEX(Parameters!$B:$B,MATCH(AL$3&amp;$M88,Parameters!$A:$A,0))*(AJ88+AK88),0)</f>
        <v>0</v>
      </c>
      <c r="AM88" s="442"/>
      <c r="AN88" s="179">
        <f t="shared" si="45"/>
        <v>5</v>
      </c>
      <c r="AO88" s="262">
        <f>AN88/INDEX(Parameters!$B:$B,MATCH("AfschrijftermijnVVE"&amp;12*$C88,Parameters!$A:$A,0))</f>
        <v>0.1388888888888889</v>
      </c>
      <c r="AP88" s="179">
        <f t="shared" si="46"/>
        <v>138</v>
      </c>
      <c r="AQ88" s="202">
        <f>IF(AP88&lt;&gt;"nvt",INDEX('Tarieven W&amp;O'!$G:$G,$AP88),0)</f>
        <v>7.41</v>
      </c>
      <c r="AR88" s="463">
        <f>-INDEX(Parameters!$B:$B,MATCH(AR$3&amp;$M88&amp;O88,Parameters!$A:$A,0))*(AQ88)</f>
        <v>0</v>
      </c>
      <c r="AS88" s="262">
        <v>0</v>
      </c>
      <c r="AT88" s="442">
        <f>IF(M88="WBA CM Ethernet",0,'EDC Minus'!$H$27)</f>
        <v>1</v>
      </c>
      <c r="AU88" s="202">
        <f t="shared" si="47"/>
        <v>8.41</v>
      </c>
      <c r="AV88" s="202">
        <f t="shared" si="48"/>
        <v>8.5488888888888894</v>
      </c>
      <c r="AW88" s="202"/>
      <c r="AX88" s="202">
        <f>Parameters!$B$6*AV88</f>
        <v>8.5488888888888892E-2</v>
      </c>
      <c r="AY88" s="202">
        <v>0</v>
      </c>
      <c r="AZ88" s="202"/>
      <c r="BA88" s="150">
        <f t="shared" si="52"/>
        <v>8.5488888888888892E-2</v>
      </c>
      <c r="BB88" s="150"/>
      <c r="BC88" s="151">
        <f t="shared" si="53"/>
        <v>8.6343777777777788</v>
      </c>
      <c r="BD88" s="123"/>
      <c r="BE88" s="140">
        <f t="shared" si="50"/>
        <v>1019.1434</v>
      </c>
      <c r="BF88" s="141">
        <f t="shared" si="51"/>
        <v>0.99159898378378375</v>
      </c>
      <c r="BG88" s="142" t="b">
        <f t="shared" si="49"/>
        <v>0</v>
      </c>
      <c r="BH88" s="148"/>
      <c r="BI88" s="188" t="s">
        <v>539</v>
      </c>
      <c r="BJ88" s="189"/>
      <c r="BK88">
        <f>VLOOKUP(J88,'Tarieven ZM'!$B$7:$I$146,8,0)</f>
        <v>0</v>
      </c>
      <c r="BL88" s="179" t="str">
        <f>INDEX(Mapping!$M:$M,MATCH($J88,Mapping!$B:$B,0))</f>
        <v>nvt</v>
      </c>
      <c r="BM88" s="282">
        <v>0</v>
      </c>
      <c r="BN88" s="262">
        <f>BM88/INDEX(Parameters!$B:$B,MATCH("AfschrijftermijnVVE"&amp;12*$C88,Parameters!$A:$A,0))</f>
        <v>0</v>
      </c>
      <c r="BO88" s="262">
        <f>AS88+INDEX('inkoop ULL tbv Epacity'!I:I,MATCH($BL88,'inkoop ULL tbv Epacity'!H:H,0))</f>
        <v>0</v>
      </c>
      <c r="BP88" s="263">
        <f t="shared" si="54"/>
        <v>0</v>
      </c>
      <c r="BQ88" s="203"/>
      <c r="BR88" s="262">
        <f>Parameters!$B$12*AG88</f>
        <v>102.77777777777779</v>
      </c>
      <c r="BS88" s="262">
        <f>SUM(Distributievergoedingen!$F$12,Distributievergoedingen!$I$12,Distributievergoedingen!$L$12,Distributievergoedingen!$O$12)*AF88+SUM(Distributievergoedingen!$O$12*AA88+Distributievergoedingen!$R$12+Distributievergoedingen!$U$12+Distributievergoedingen!$X$12)/(MAX(36,12*L88))</f>
        <v>112.77777777777777</v>
      </c>
      <c r="BT88" s="262"/>
      <c r="BU88" s="150">
        <f t="shared" si="55"/>
        <v>215.55555555555554</v>
      </c>
      <c r="BW88" s="151">
        <f t="shared" si="56"/>
        <v>215.55555555555554</v>
      </c>
      <c r="BY88" s="140">
        <f t="shared" si="57"/>
        <v>812.22222222222229</v>
      </c>
      <c r="BZ88" s="141">
        <f t="shared" si="58"/>
        <v>0.7902702702702703</v>
      </c>
      <c r="CA88" s="142" t="b">
        <f t="shared" si="59"/>
        <v>0</v>
      </c>
    </row>
    <row r="89" spans="1:79">
      <c r="A89" s="160" t="str">
        <f t="shared" si="38"/>
        <v>3SA IPVPNAddnationaal1024/1024</v>
      </c>
      <c r="B89" s="142" t="str">
        <f t="shared" si="39"/>
        <v>3SA IPVPN1024/1024Add</v>
      </c>
      <c r="C89" s="198">
        <v>3</v>
      </c>
      <c r="D89" s="198" t="s">
        <v>93</v>
      </c>
      <c r="E89" s="198" t="s">
        <v>103</v>
      </c>
      <c r="F89" s="198" t="s">
        <v>115</v>
      </c>
      <c r="G89" s="199" t="s">
        <v>113</v>
      </c>
      <c r="H89" s="198" t="s">
        <v>66</v>
      </c>
      <c r="J89" s="142" t="str">
        <f t="shared" si="40"/>
        <v>SA IPVPN1024/1024Add</v>
      </c>
      <c r="L89" s="160">
        <f>INDEX(Mapping!$J:$J,MATCH(C$3&amp;C89,Mapping!$B:$B,0))</f>
        <v>1</v>
      </c>
      <c r="M89" s="179" t="str">
        <f>INDEX(Mapping!$H:$H,MATCH(D89&amp;H89&amp;$E89,Mapping!$B:$B,0))</f>
        <v>WBA ZM Ethernet</v>
      </c>
      <c r="N89" s="179" t="str">
        <f>INDEX(Mapping!$J:$J,MATCH(D89&amp;H89&amp;$E89,Mapping!$B:$B,0))</f>
        <v>premium</v>
      </c>
      <c r="O89" s="179" t="str">
        <f>INDEX(Mapping!$I:$I,MATCH($D89,Mapping!$B:$B,0))</f>
        <v>FttH</v>
      </c>
      <c r="P89" s="179" t="str">
        <f>INDEX(Mapping!$H:$H,MATCH($F89,Mapping!$B:$B,0))</f>
        <v>nvt</v>
      </c>
      <c r="Q89" s="283" t="str">
        <f>INDEX(Mapping!$K:$K,MATCH($D89&amp;$H89&amp;E89,Mapping!$B:$B,0))</f>
        <v>metro</v>
      </c>
      <c r="R89" s="179" t="str">
        <f>INDEX(Mapping!$I:$I,MATCH(D89&amp;H89&amp;$E89,Mapping!$B:$B,0))</f>
        <v>1 Mbps/1 Mbps</v>
      </c>
      <c r="S89" s="203"/>
      <c r="T89" s="283" t="str">
        <f>INDEX(Mapping!$L:$L,MATCH($D89&amp;$H89&amp;E89,Mapping!$B:$B,0))</f>
        <v>metro-nationaal</v>
      </c>
      <c r="U89" s="142" t="str">
        <f t="shared" si="41"/>
        <v>WBA ZM Ethernet1 Mbps/1 Mbpspremiummetro</v>
      </c>
      <c r="W89" s="160">
        <f>MATCH($J89,'Tarieven ZM'!$B:$B,0)</f>
        <v>86</v>
      </c>
      <c r="X89" s="148">
        <f>INDEX('Tarieven ZM'!$H:$H,$W89)</f>
        <v>1000</v>
      </c>
      <c r="Y89" s="161">
        <f>-INDEX(Parameters!$B:$B,MATCH(Y$3,Parameters!$A:$A,0))*$X89</f>
        <v>0</v>
      </c>
      <c r="Z89" s="149">
        <f>-INDEX(Parameters!$B:$B,MATCH(Z$3,Parameters!$A:$A,0))*$X89</f>
        <v>0</v>
      </c>
      <c r="AA89" s="148">
        <f t="shared" si="42"/>
        <v>1000</v>
      </c>
      <c r="AB89" s="148">
        <f>AA89/INDEX(Parameters!$B:$B,MATCH("AfschrijftermijnVVE"&amp;12*$C89,Parameters!$A:$A,0))</f>
        <v>27.777777777777779</v>
      </c>
      <c r="AC89" s="148">
        <f>INDEX('Tarieven ZM'!$G:$G,$W89)</f>
        <v>1000</v>
      </c>
      <c r="AD89" s="161">
        <f>-INDEX(Parameters!$B:$B,MATCH(AD$3,Parameters!$A:$A,0))*$AC89</f>
        <v>0</v>
      </c>
      <c r="AE89" s="161">
        <f>-INDEX(Parameters!$B:$B,MATCH(AE$3,Parameters!$A:$A,0))*$AC89</f>
        <v>0</v>
      </c>
      <c r="AF89" s="148">
        <f t="shared" si="43"/>
        <v>1000</v>
      </c>
      <c r="AG89" s="151">
        <f t="shared" si="44"/>
        <v>1027.7777777777778</v>
      </c>
      <c r="AH89" s="123"/>
      <c r="AI89" s="147">
        <f>IF(R89&lt;&gt;"n.a.",MATCH($U89,'Tarieven W&amp;O'!$B:$B,0),"nvt")</f>
        <v>138</v>
      </c>
      <c r="AJ89" s="148">
        <f>IF(AI89&lt;&gt;"nvt",INDEX('Tarieven W&amp;O'!$H:$H,$AI89),0)</f>
        <v>0</v>
      </c>
      <c r="AK89" s="148">
        <f>IF(AI89&lt;&gt;"nvt",INDEX('Tarieven W&amp;O'!$I:$I,$AI89),0)</f>
        <v>5</v>
      </c>
      <c r="AL89" s="277">
        <f>IF(AI89&lt;&gt;"nvt",-INDEX(Parameters!$B:$B,MATCH(AL$3&amp;$M89,Parameters!$A:$A,0))*(AJ89+AK89),0)</f>
        <v>0</v>
      </c>
      <c r="AM89" s="442"/>
      <c r="AN89" s="179">
        <f t="shared" si="45"/>
        <v>5</v>
      </c>
      <c r="AO89" s="262">
        <f>AN89/INDEX(Parameters!$B:$B,MATCH("AfschrijftermijnVVE"&amp;12*$C89,Parameters!$A:$A,0))</f>
        <v>0.1388888888888889</v>
      </c>
      <c r="AP89" s="179">
        <f t="shared" si="46"/>
        <v>138</v>
      </c>
      <c r="AQ89" s="202">
        <f>IF(AP89&lt;&gt;"nvt",INDEX('Tarieven W&amp;O'!$G:$G,$AP89),0)</f>
        <v>7.41</v>
      </c>
      <c r="AR89" s="463">
        <f>-INDEX(Parameters!$B:$B,MATCH(AR$3&amp;$M89&amp;O89,Parameters!$A:$A,0))*(AQ89)</f>
        <v>0</v>
      </c>
      <c r="AS89" s="262">
        <v>0</v>
      </c>
      <c r="AT89" s="442">
        <f>IF(M89="WBA CM Ethernet",0,'EDC Minus'!$H$27)</f>
        <v>1</v>
      </c>
      <c r="AU89" s="202">
        <f t="shared" si="47"/>
        <v>8.41</v>
      </c>
      <c r="AV89" s="202">
        <f t="shared" si="48"/>
        <v>8.5488888888888894</v>
      </c>
      <c r="AW89" s="202"/>
      <c r="AX89" s="202">
        <f>Parameters!$B$6*AV89</f>
        <v>8.5488888888888892E-2</v>
      </c>
      <c r="AY89" s="202">
        <v>0</v>
      </c>
      <c r="AZ89" s="202"/>
      <c r="BA89" s="150">
        <f t="shared" si="52"/>
        <v>8.5488888888888892E-2</v>
      </c>
      <c r="BB89" s="150"/>
      <c r="BC89" s="151">
        <f t="shared" si="53"/>
        <v>8.6343777777777788</v>
      </c>
      <c r="BD89" s="123"/>
      <c r="BE89" s="140">
        <f t="shared" si="50"/>
        <v>1019.1434</v>
      </c>
      <c r="BF89" s="141">
        <f t="shared" si="51"/>
        <v>0.99159898378378375</v>
      </c>
      <c r="BG89" s="142" t="b">
        <f t="shared" si="49"/>
        <v>0</v>
      </c>
      <c r="BH89" s="148"/>
      <c r="BI89" s="188" t="s">
        <v>539</v>
      </c>
      <c r="BJ89" s="189"/>
      <c r="BK89">
        <f>VLOOKUP(J89,'Tarieven ZM'!$B$7:$I$146,8,0)</f>
        <v>0</v>
      </c>
      <c r="BL89" s="179" t="str">
        <f>INDEX(Mapping!$M:$M,MATCH($J89,Mapping!$B:$B,0))</f>
        <v>nvt</v>
      </c>
      <c r="BM89" s="282">
        <v>0</v>
      </c>
      <c r="BN89" s="262">
        <f>BM89/INDEX(Parameters!$B:$B,MATCH("AfschrijftermijnVVE"&amp;12*$C89,Parameters!$A:$A,0))</f>
        <v>0</v>
      </c>
      <c r="BO89" s="262">
        <f>AS89+INDEX('inkoop ULL tbv Epacity'!I:I,MATCH($BL89,'inkoop ULL tbv Epacity'!H:H,0))</f>
        <v>0</v>
      </c>
      <c r="BP89" s="263">
        <f t="shared" si="54"/>
        <v>0</v>
      </c>
      <c r="BQ89" s="203"/>
      <c r="BR89" s="262">
        <f>Parameters!$B$12*AG89</f>
        <v>102.77777777777779</v>
      </c>
      <c r="BS89" s="262">
        <f>SUM(Distributievergoedingen!$F$12,Distributievergoedingen!$I$12,Distributievergoedingen!$L$12,Distributievergoedingen!$O$12)*AF89+SUM(Distributievergoedingen!$O$12*AA89+Distributievergoedingen!$R$12+Distributievergoedingen!$U$12+Distributievergoedingen!$X$12)/(MAX(36,12*L89))</f>
        <v>112.77777777777777</v>
      </c>
      <c r="BT89" s="262"/>
      <c r="BU89" s="150">
        <f t="shared" si="55"/>
        <v>215.55555555555554</v>
      </c>
      <c r="BW89" s="151">
        <f t="shared" si="56"/>
        <v>215.55555555555554</v>
      </c>
      <c r="BY89" s="140">
        <f t="shared" si="57"/>
        <v>812.22222222222229</v>
      </c>
      <c r="BZ89" s="141">
        <f t="shared" si="58"/>
        <v>0.7902702702702703</v>
      </c>
      <c r="CA89" s="142" t="b">
        <f t="shared" si="59"/>
        <v>0</v>
      </c>
    </row>
    <row r="90" spans="1:79">
      <c r="A90" s="160" t="str">
        <f t="shared" si="38"/>
        <v>3SA IPVPNAddnationaal2048/2048</v>
      </c>
      <c r="B90" s="142" t="str">
        <f t="shared" si="39"/>
        <v>3SA IPVPN2048/2048Add</v>
      </c>
      <c r="C90" s="198">
        <v>3</v>
      </c>
      <c r="D90" s="198" t="s">
        <v>93</v>
      </c>
      <c r="E90" s="198" t="s">
        <v>103</v>
      </c>
      <c r="F90" s="198" t="s">
        <v>115</v>
      </c>
      <c r="G90" s="199" t="s">
        <v>113</v>
      </c>
      <c r="H90" s="198" t="s">
        <v>68</v>
      </c>
      <c r="J90" s="142" t="str">
        <f t="shared" si="40"/>
        <v>SA IPVPN2048/2048Add</v>
      </c>
      <c r="L90" s="160">
        <f>INDEX(Mapping!$J:$J,MATCH(C$3&amp;C90,Mapping!$B:$B,0))</f>
        <v>1</v>
      </c>
      <c r="M90" s="179" t="str">
        <f>INDEX(Mapping!$H:$H,MATCH(D90&amp;H90&amp;$E90,Mapping!$B:$B,0))</f>
        <v>WBA ZM Ethernet</v>
      </c>
      <c r="N90" s="179" t="str">
        <f>INDEX(Mapping!$J:$J,MATCH(D90&amp;H90&amp;$E90,Mapping!$B:$B,0))</f>
        <v>premium</v>
      </c>
      <c r="O90" s="179" t="str">
        <f>INDEX(Mapping!$I:$I,MATCH($D90,Mapping!$B:$B,0))</f>
        <v>FttH</v>
      </c>
      <c r="P90" s="179" t="str">
        <f>INDEX(Mapping!$H:$H,MATCH($F90,Mapping!$B:$B,0))</f>
        <v>nvt</v>
      </c>
      <c r="Q90" s="283" t="str">
        <f>INDEX(Mapping!$K:$K,MATCH($D90&amp;$H90&amp;E90,Mapping!$B:$B,0))</f>
        <v>metro</v>
      </c>
      <c r="R90" s="179" t="str">
        <f>INDEX(Mapping!$I:$I,MATCH(D90&amp;H90&amp;$E90,Mapping!$B:$B,0))</f>
        <v>2 Mbps/2 Mbps</v>
      </c>
      <c r="S90" s="203"/>
      <c r="T90" s="283" t="str">
        <f>INDEX(Mapping!$L:$L,MATCH($D90&amp;$H90&amp;E90,Mapping!$B:$B,0))</f>
        <v>metro-nationaal</v>
      </c>
      <c r="U90" s="142" t="str">
        <f t="shared" si="41"/>
        <v>WBA ZM Ethernet2 Mbps/2 Mbpspremiummetro</v>
      </c>
      <c r="W90" s="160">
        <f>MATCH($J90,'Tarieven ZM'!$B:$B,0)</f>
        <v>87</v>
      </c>
      <c r="X90" s="148">
        <f>INDEX('Tarieven ZM'!$H:$H,$W90)</f>
        <v>1000</v>
      </c>
      <c r="Y90" s="161">
        <f>-INDEX(Parameters!$B:$B,MATCH(Y$3,Parameters!$A:$A,0))*$X90</f>
        <v>0</v>
      </c>
      <c r="Z90" s="149">
        <f>-INDEX(Parameters!$B:$B,MATCH(Z$3,Parameters!$A:$A,0))*$X90</f>
        <v>0</v>
      </c>
      <c r="AA90" s="148">
        <f t="shared" si="42"/>
        <v>1000</v>
      </c>
      <c r="AB90" s="148">
        <f>AA90/INDEX(Parameters!$B:$B,MATCH("AfschrijftermijnVVE"&amp;12*$C90,Parameters!$A:$A,0))</f>
        <v>27.777777777777779</v>
      </c>
      <c r="AC90" s="148">
        <f>INDEX('Tarieven ZM'!$G:$G,$W90)</f>
        <v>1000</v>
      </c>
      <c r="AD90" s="161">
        <f>-INDEX(Parameters!$B:$B,MATCH(AD$3,Parameters!$A:$A,0))*$AC90</f>
        <v>0</v>
      </c>
      <c r="AE90" s="161">
        <f>-INDEX(Parameters!$B:$B,MATCH(AE$3,Parameters!$A:$A,0))*$AC90</f>
        <v>0</v>
      </c>
      <c r="AF90" s="148">
        <f t="shared" si="43"/>
        <v>1000</v>
      </c>
      <c r="AG90" s="151">
        <f t="shared" si="44"/>
        <v>1027.7777777777778</v>
      </c>
      <c r="AH90" s="123"/>
      <c r="AI90" s="147">
        <f>IF(R90&lt;&gt;"n.a.",MATCH($U90,'Tarieven W&amp;O'!$B:$B,0),"nvt")</f>
        <v>139</v>
      </c>
      <c r="AJ90" s="148">
        <f>IF(AI90&lt;&gt;"nvt",INDEX('Tarieven W&amp;O'!$H:$H,$AI90),0)</f>
        <v>0</v>
      </c>
      <c r="AK90" s="148">
        <f>IF(AI90&lt;&gt;"nvt",INDEX('Tarieven W&amp;O'!$I:$I,$AI90),0)</f>
        <v>5</v>
      </c>
      <c r="AL90" s="277">
        <f>IF(AI90&lt;&gt;"nvt",-INDEX(Parameters!$B:$B,MATCH(AL$3&amp;$M90,Parameters!$A:$A,0))*(AJ90+AK90),0)</f>
        <v>0</v>
      </c>
      <c r="AM90" s="442"/>
      <c r="AN90" s="179">
        <f t="shared" si="45"/>
        <v>5</v>
      </c>
      <c r="AO90" s="262">
        <f>AN90/INDEX(Parameters!$B:$B,MATCH("AfschrijftermijnVVE"&amp;12*$C90,Parameters!$A:$A,0))</f>
        <v>0.1388888888888889</v>
      </c>
      <c r="AP90" s="179">
        <f t="shared" si="46"/>
        <v>139</v>
      </c>
      <c r="AQ90" s="202">
        <f>IF(AP90&lt;&gt;"nvt",INDEX('Tarieven W&amp;O'!$G:$G,$AP90),0)</f>
        <v>14.82</v>
      </c>
      <c r="AR90" s="463">
        <f>-INDEX(Parameters!$B:$B,MATCH(AR$3&amp;$M90&amp;O90,Parameters!$A:$A,0))*(AQ90)</f>
        <v>0</v>
      </c>
      <c r="AS90" s="262">
        <v>0</v>
      </c>
      <c r="AT90" s="442">
        <f>IF(M90="WBA CM Ethernet",0,'EDC Minus'!$H$27)</f>
        <v>1</v>
      </c>
      <c r="AU90" s="202">
        <f t="shared" si="47"/>
        <v>15.82</v>
      </c>
      <c r="AV90" s="202">
        <f t="shared" si="48"/>
        <v>15.95888888888889</v>
      </c>
      <c r="AW90" s="202"/>
      <c r="AX90" s="202">
        <f>Parameters!$B$6*AV90</f>
        <v>0.15958888888888889</v>
      </c>
      <c r="AY90" s="202">
        <v>0</v>
      </c>
      <c r="AZ90" s="202"/>
      <c r="BA90" s="150">
        <f t="shared" si="52"/>
        <v>0.15958888888888889</v>
      </c>
      <c r="BB90" s="150"/>
      <c r="BC90" s="151">
        <f t="shared" si="53"/>
        <v>16.118477777777777</v>
      </c>
      <c r="BD90" s="123"/>
      <c r="BE90" s="140">
        <f t="shared" si="50"/>
        <v>1011.6593</v>
      </c>
      <c r="BF90" s="141">
        <f t="shared" si="51"/>
        <v>0.98431715675675668</v>
      </c>
      <c r="BG90" s="142" t="b">
        <f t="shared" si="49"/>
        <v>0</v>
      </c>
      <c r="BH90" s="148"/>
      <c r="BI90" s="188" t="s">
        <v>539</v>
      </c>
      <c r="BJ90" s="189"/>
      <c r="BK90">
        <f>VLOOKUP(J90,'Tarieven ZM'!$B$7:$I$146,8,0)</f>
        <v>0</v>
      </c>
      <c r="BL90" s="179" t="str">
        <f>INDEX(Mapping!$M:$M,MATCH($J90,Mapping!$B:$B,0))</f>
        <v>nvt</v>
      </c>
      <c r="BM90" s="282">
        <v>0</v>
      </c>
      <c r="BN90" s="262">
        <f>BM90/INDEX(Parameters!$B:$B,MATCH("AfschrijftermijnVVE"&amp;12*$C90,Parameters!$A:$A,0))</f>
        <v>0</v>
      </c>
      <c r="BO90" s="262">
        <f>AS90+INDEX('inkoop ULL tbv Epacity'!I:I,MATCH($BL90,'inkoop ULL tbv Epacity'!H:H,0))</f>
        <v>0</v>
      </c>
      <c r="BP90" s="263">
        <f t="shared" si="54"/>
        <v>0</v>
      </c>
      <c r="BQ90" s="203"/>
      <c r="BR90" s="262">
        <f>Parameters!$B$12*AG90</f>
        <v>102.77777777777779</v>
      </c>
      <c r="BS90" s="262">
        <f>SUM(Distributievergoedingen!$F$12,Distributievergoedingen!$I$12,Distributievergoedingen!$L$12,Distributievergoedingen!$O$12)*AF90+SUM(Distributievergoedingen!$O$12*AA90+Distributievergoedingen!$R$12+Distributievergoedingen!$U$12+Distributievergoedingen!$X$12)/(MAX(36,12*L90))</f>
        <v>112.77777777777777</v>
      </c>
      <c r="BT90" s="262"/>
      <c r="BU90" s="150">
        <f t="shared" si="55"/>
        <v>215.55555555555554</v>
      </c>
      <c r="BW90" s="151">
        <f t="shared" si="56"/>
        <v>215.55555555555554</v>
      </c>
      <c r="BY90" s="140">
        <f t="shared" si="57"/>
        <v>812.22222222222229</v>
      </c>
      <c r="BZ90" s="141">
        <f t="shared" si="58"/>
        <v>0.7902702702702703</v>
      </c>
      <c r="CA90" s="142" t="b">
        <f t="shared" si="59"/>
        <v>0</v>
      </c>
    </row>
    <row r="91" spans="1:79">
      <c r="A91" s="160" t="str">
        <f t="shared" si="38"/>
        <v>3SA IPVPNAddnationaal3072/3072</v>
      </c>
      <c r="B91" s="142" t="str">
        <f t="shared" si="39"/>
        <v>3SA IPVPN3072/3072Add</v>
      </c>
      <c r="C91" s="198">
        <v>3</v>
      </c>
      <c r="D91" s="198" t="s">
        <v>93</v>
      </c>
      <c r="E91" s="198" t="s">
        <v>103</v>
      </c>
      <c r="F91" s="198" t="s">
        <v>115</v>
      </c>
      <c r="G91" s="199" t="s">
        <v>113</v>
      </c>
      <c r="H91" s="198" t="s">
        <v>82</v>
      </c>
      <c r="J91" s="142" t="str">
        <f t="shared" si="40"/>
        <v>SA IPVPN3072/3072Add</v>
      </c>
      <c r="L91" s="160">
        <f>INDEX(Mapping!$J:$J,MATCH(C$3&amp;C91,Mapping!$B:$B,0))</f>
        <v>1</v>
      </c>
      <c r="M91" s="179" t="str">
        <f>INDEX(Mapping!$H:$H,MATCH(D91&amp;H91&amp;$E91,Mapping!$B:$B,0))</f>
        <v>WBA ZM Ethernet</v>
      </c>
      <c r="N91" s="179" t="str">
        <f>INDEX(Mapping!$J:$J,MATCH(D91&amp;H91&amp;$E91,Mapping!$B:$B,0))</f>
        <v>premium</v>
      </c>
      <c r="O91" s="179" t="str">
        <f>INDEX(Mapping!$I:$I,MATCH($D91,Mapping!$B:$B,0))</f>
        <v>FttH</v>
      </c>
      <c r="P91" s="179" t="str">
        <f>INDEX(Mapping!$H:$H,MATCH($F91,Mapping!$B:$B,0))</f>
        <v>nvt</v>
      </c>
      <c r="Q91" s="283" t="str">
        <f>INDEX(Mapping!$K:$K,MATCH($D91&amp;$H91&amp;E91,Mapping!$B:$B,0))</f>
        <v>metro</v>
      </c>
      <c r="R91" s="179" t="str">
        <f>INDEX(Mapping!$I:$I,MATCH(D91&amp;H91&amp;$E91,Mapping!$B:$B,0))</f>
        <v>5 Mbps/5 Mbps</v>
      </c>
      <c r="S91" s="203"/>
      <c r="T91" s="283" t="str">
        <f>INDEX(Mapping!$L:$L,MATCH($D91&amp;$H91&amp;E91,Mapping!$B:$B,0))</f>
        <v>metro-nationaal</v>
      </c>
      <c r="U91" s="142" t="str">
        <f t="shared" si="41"/>
        <v>WBA ZM Ethernet5 Mbps/5 Mbpspremiummetro</v>
      </c>
      <c r="W91" s="160">
        <f>MATCH($J91,'Tarieven ZM'!$B:$B,0)</f>
        <v>88</v>
      </c>
      <c r="X91" s="148">
        <f>INDEX('Tarieven ZM'!$H:$H,$W91)</f>
        <v>1000</v>
      </c>
      <c r="Y91" s="161">
        <f>-INDEX(Parameters!$B:$B,MATCH(Y$3,Parameters!$A:$A,0))*$X91</f>
        <v>0</v>
      </c>
      <c r="Z91" s="149">
        <f>-INDEX(Parameters!$B:$B,MATCH(Z$3,Parameters!$A:$A,0))*$X91</f>
        <v>0</v>
      </c>
      <c r="AA91" s="148">
        <f t="shared" si="42"/>
        <v>1000</v>
      </c>
      <c r="AB91" s="148">
        <f>AA91/INDEX(Parameters!$B:$B,MATCH("AfschrijftermijnVVE"&amp;12*$C91,Parameters!$A:$A,0))</f>
        <v>27.777777777777779</v>
      </c>
      <c r="AC91" s="148">
        <f>INDEX('Tarieven ZM'!$G:$G,$W91)</f>
        <v>1000</v>
      </c>
      <c r="AD91" s="161">
        <f>-INDEX(Parameters!$B:$B,MATCH(AD$3,Parameters!$A:$A,0))*$AC91</f>
        <v>0</v>
      </c>
      <c r="AE91" s="161">
        <f>-INDEX(Parameters!$B:$B,MATCH(AE$3,Parameters!$A:$A,0))*$AC91</f>
        <v>0</v>
      </c>
      <c r="AF91" s="148">
        <f t="shared" si="43"/>
        <v>1000</v>
      </c>
      <c r="AG91" s="151">
        <f t="shared" si="44"/>
        <v>1027.7777777777778</v>
      </c>
      <c r="AH91" s="123"/>
      <c r="AI91" s="147">
        <f>IF(R91&lt;&gt;"n.a.",MATCH($U91,'Tarieven W&amp;O'!$B:$B,0),"nvt")</f>
        <v>140</v>
      </c>
      <c r="AJ91" s="148">
        <f>IF(AI91&lt;&gt;"nvt",INDEX('Tarieven W&amp;O'!$H:$H,$AI91),0)</f>
        <v>0</v>
      </c>
      <c r="AK91" s="148">
        <f>IF(AI91&lt;&gt;"nvt",INDEX('Tarieven W&amp;O'!$I:$I,$AI91),0)</f>
        <v>5</v>
      </c>
      <c r="AL91" s="277">
        <f>IF(AI91&lt;&gt;"nvt",-INDEX(Parameters!$B:$B,MATCH(AL$3&amp;$M91,Parameters!$A:$A,0))*(AJ91+AK91),0)</f>
        <v>0</v>
      </c>
      <c r="AM91" s="442"/>
      <c r="AN91" s="179">
        <f t="shared" si="45"/>
        <v>5</v>
      </c>
      <c r="AO91" s="262">
        <f>AN91/INDEX(Parameters!$B:$B,MATCH("AfschrijftermijnVVE"&amp;12*$C91,Parameters!$A:$A,0))</f>
        <v>0.1388888888888889</v>
      </c>
      <c r="AP91" s="179">
        <f t="shared" si="46"/>
        <v>140</v>
      </c>
      <c r="AQ91" s="202">
        <f>IF(AP91&lt;&gt;"nvt",INDEX('Tarieven W&amp;O'!$G:$G,$AP91),0)</f>
        <v>18.53</v>
      </c>
      <c r="AR91" s="463">
        <f>-INDEX(Parameters!$B:$B,MATCH(AR$3&amp;$M91&amp;O91,Parameters!$A:$A,0))*(AQ91)</f>
        <v>0</v>
      </c>
      <c r="AS91" s="262">
        <v>0</v>
      </c>
      <c r="AT91" s="442">
        <f>IF(M91="WBA CM Ethernet",0,'EDC Minus'!$H$27)</f>
        <v>1</v>
      </c>
      <c r="AU91" s="202">
        <f t="shared" si="47"/>
        <v>19.53</v>
      </c>
      <c r="AV91" s="202">
        <f t="shared" si="48"/>
        <v>19.66888888888889</v>
      </c>
      <c r="AW91" s="202"/>
      <c r="AX91" s="202">
        <f>Parameters!$B$6*AV91</f>
        <v>0.19668888888888891</v>
      </c>
      <c r="AY91" s="202">
        <v>0</v>
      </c>
      <c r="AZ91" s="202"/>
      <c r="BA91" s="150">
        <f t="shared" si="52"/>
        <v>0.19668888888888891</v>
      </c>
      <c r="BB91" s="150"/>
      <c r="BC91" s="151">
        <f t="shared" si="53"/>
        <v>19.86557777777778</v>
      </c>
      <c r="BD91" s="123"/>
      <c r="BE91" s="140">
        <f t="shared" si="50"/>
        <v>1007.9122000000001</v>
      </c>
      <c r="BF91" s="141">
        <f t="shared" si="51"/>
        <v>0.98067132972972981</v>
      </c>
      <c r="BG91" s="142" t="b">
        <f t="shared" si="49"/>
        <v>0</v>
      </c>
      <c r="BH91" s="148"/>
      <c r="BI91" s="188" t="s">
        <v>539</v>
      </c>
      <c r="BJ91" s="189"/>
      <c r="BK91">
        <f>VLOOKUP(J91,'Tarieven ZM'!$B$7:$I$146,8,0)</f>
        <v>0</v>
      </c>
      <c r="BL91" s="179" t="str">
        <f>INDEX(Mapping!$M:$M,MATCH($J91,Mapping!$B:$B,0))</f>
        <v>nvt</v>
      </c>
      <c r="BM91" s="282">
        <v>0</v>
      </c>
      <c r="BN91" s="262">
        <f>BM91/INDEX(Parameters!$B:$B,MATCH("AfschrijftermijnVVE"&amp;12*$C91,Parameters!$A:$A,0))</f>
        <v>0</v>
      </c>
      <c r="BO91" s="262">
        <f>AS91+INDEX('inkoop ULL tbv Epacity'!I:I,MATCH($BL91,'inkoop ULL tbv Epacity'!H:H,0))</f>
        <v>0</v>
      </c>
      <c r="BP91" s="263">
        <f t="shared" si="54"/>
        <v>0</v>
      </c>
      <c r="BQ91" s="203"/>
      <c r="BR91" s="262">
        <f>Parameters!$B$12*AG91</f>
        <v>102.77777777777779</v>
      </c>
      <c r="BS91" s="262">
        <f>SUM(Distributievergoedingen!$F$12,Distributievergoedingen!$I$12,Distributievergoedingen!$L$12,Distributievergoedingen!$O$12)*AF91+SUM(Distributievergoedingen!$O$12*AA91+Distributievergoedingen!$R$12+Distributievergoedingen!$U$12+Distributievergoedingen!$X$12)/(MAX(36,12*L91))</f>
        <v>112.77777777777777</v>
      </c>
      <c r="BT91" s="262"/>
      <c r="BU91" s="150">
        <f t="shared" si="55"/>
        <v>215.55555555555554</v>
      </c>
      <c r="BW91" s="151">
        <f t="shared" si="56"/>
        <v>215.55555555555554</v>
      </c>
      <c r="BY91" s="140">
        <f t="shared" si="57"/>
        <v>812.22222222222229</v>
      </c>
      <c r="BZ91" s="141">
        <f t="shared" si="58"/>
        <v>0.7902702702702703</v>
      </c>
      <c r="CA91" s="142" t="b">
        <f t="shared" si="59"/>
        <v>0</v>
      </c>
    </row>
    <row r="92" spans="1:79">
      <c r="A92" s="160" t="str">
        <f t="shared" si="38"/>
        <v>3SA IPVPNAddnationaal4096/4096</v>
      </c>
      <c r="B92" s="142" t="str">
        <f t="shared" si="39"/>
        <v>3SA IPVPN4096/4096Add</v>
      </c>
      <c r="C92" s="198">
        <v>3</v>
      </c>
      <c r="D92" s="198" t="s">
        <v>93</v>
      </c>
      <c r="E92" s="198" t="s">
        <v>103</v>
      </c>
      <c r="F92" s="198" t="s">
        <v>115</v>
      </c>
      <c r="G92" s="199" t="s">
        <v>113</v>
      </c>
      <c r="H92" s="198" t="s">
        <v>83</v>
      </c>
      <c r="J92" s="142" t="str">
        <f t="shared" si="40"/>
        <v>SA IPVPN4096/4096Add</v>
      </c>
      <c r="L92" s="160">
        <f>INDEX(Mapping!$J:$J,MATCH(C$3&amp;C92,Mapping!$B:$B,0))</f>
        <v>1</v>
      </c>
      <c r="M92" s="179" t="str">
        <f>INDEX(Mapping!$H:$H,MATCH(D92&amp;H92&amp;$E92,Mapping!$B:$B,0))</f>
        <v>WBA ZM Ethernet</v>
      </c>
      <c r="N92" s="179" t="str">
        <f>INDEX(Mapping!$J:$J,MATCH(D92&amp;H92&amp;$E92,Mapping!$B:$B,0))</f>
        <v>premium</v>
      </c>
      <c r="O92" s="179" t="str">
        <f>INDEX(Mapping!$I:$I,MATCH($D92,Mapping!$B:$B,0))</f>
        <v>FttH</v>
      </c>
      <c r="P92" s="179" t="str">
        <f>INDEX(Mapping!$H:$H,MATCH($F92,Mapping!$B:$B,0))</f>
        <v>nvt</v>
      </c>
      <c r="Q92" s="283" t="str">
        <f>INDEX(Mapping!$K:$K,MATCH($D92&amp;$H92&amp;E92,Mapping!$B:$B,0))</f>
        <v>metro</v>
      </c>
      <c r="R92" s="179" t="str">
        <f>INDEX(Mapping!$I:$I,MATCH(D92&amp;H92&amp;$E92,Mapping!$B:$B,0))</f>
        <v>5 Mbps/5 Mbps</v>
      </c>
      <c r="S92" s="203"/>
      <c r="T92" s="283" t="str">
        <f>INDEX(Mapping!$L:$L,MATCH($D92&amp;$H92&amp;E92,Mapping!$B:$B,0))</f>
        <v>metro-nationaal</v>
      </c>
      <c r="U92" s="142" t="str">
        <f t="shared" si="41"/>
        <v>WBA ZM Ethernet5 Mbps/5 Mbpspremiummetro</v>
      </c>
      <c r="W92" s="160">
        <f>MATCH($J92,'Tarieven ZM'!$B:$B,0)</f>
        <v>89</v>
      </c>
      <c r="X92" s="148">
        <f>INDEX('Tarieven ZM'!$H:$H,$W92)</f>
        <v>1000</v>
      </c>
      <c r="Y92" s="161">
        <f>-INDEX(Parameters!$B:$B,MATCH(Y$3,Parameters!$A:$A,0))*$X92</f>
        <v>0</v>
      </c>
      <c r="Z92" s="149">
        <f>-INDEX(Parameters!$B:$B,MATCH(Z$3,Parameters!$A:$A,0))*$X92</f>
        <v>0</v>
      </c>
      <c r="AA92" s="148">
        <f t="shared" si="42"/>
        <v>1000</v>
      </c>
      <c r="AB92" s="148">
        <f>AA92/INDEX(Parameters!$B:$B,MATCH("AfschrijftermijnVVE"&amp;12*$C92,Parameters!$A:$A,0))</f>
        <v>27.777777777777779</v>
      </c>
      <c r="AC92" s="148">
        <f>INDEX('Tarieven ZM'!$G:$G,$W92)</f>
        <v>1000</v>
      </c>
      <c r="AD92" s="161">
        <f>-INDEX(Parameters!$B:$B,MATCH(AD$3,Parameters!$A:$A,0))*$AC92</f>
        <v>0</v>
      </c>
      <c r="AE92" s="161">
        <f>-INDEX(Parameters!$B:$B,MATCH(AE$3,Parameters!$A:$A,0))*$AC92</f>
        <v>0</v>
      </c>
      <c r="AF92" s="148">
        <f t="shared" si="43"/>
        <v>1000</v>
      </c>
      <c r="AG92" s="151">
        <f t="shared" si="44"/>
        <v>1027.7777777777778</v>
      </c>
      <c r="AH92" s="123"/>
      <c r="AI92" s="147">
        <f>IF(R92&lt;&gt;"n.a.",MATCH($U92,'Tarieven W&amp;O'!$B:$B,0),"nvt")</f>
        <v>140</v>
      </c>
      <c r="AJ92" s="148">
        <f>IF(AI92&lt;&gt;"nvt",INDEX('Tarieven W&amp;O'!$H:$H,$AI92),0)</f>
        <v>0</v>
      </c>
      <c r="AK92" s="148">
        <f>IF(AI92&lt;&gt;"nvt",INDEX('Tarieven W&amp;O'!$I:$I,$AI92),0)</f>
        <v>5</v>
      </c>
      <c r="AL92" s="277">
        <f>IF(AI92&lt;&gt;"nvt",-INDEX(Parameters!$B:$B,MATCH(AL$3&amp;$M92,Parameters!$A:$A,0))*(AJ92+AK92),0)</f>
        <v>0</v>
      </c>
      <c r="AM92" s="442"/>
      <c r="AN92" s="179">
        <f t="shared" si="45"/>
        <v>5</v>
      </c>
      <c r="AO92" s="262">
        <f>AN92/INDEX(Parameters!$B:$B,MATCH("AfschrijftermijnVVE"&amp;12*$C92,Parameters!$A:$A,0))</f>
        <v>0.1388888888888889</v>
      </c>
      <c r="AP92" s="179">
        <f t="shared" si="46"/>
        <v>140</v>
      </c>
      <c r="AQ92" s="202">
        <f>IF(AP92&lt;&gt;"nvt",INDEX('Tarieven W&amp;O'!$G:$G,$AP92),0)</f>
        <v>18.53</v>
      </c>
      <c r="AR92" s="463">
        <f>-INDEX(Parameters!$B:$B,MATCH(AR$3&amp;$M92&amp;O92,Parameters!$A:$A,0))*(AQ92)</f>
        <v>0</v>
      </c>
      <c r="AS92" s="262">
        <v>0</v>
      </c>
      <c r="AT92" s="442">
        <f>IF(M92="WBA CM Ethernet",0,'EDC Minus'!$H$27)</f>
        <v>1</v>
      </c>
      <c r="AU92" s="202">
        <f t="shared" si="47"/>
        <v>19.53</v>
      </c>
      <c r="AV92" s="202">
        <f t="shared" si="48"/>
        <v>19.66888888888889</v>
      </c>
      <c r="AW92" s="202"/>
      <c r="AX92" s="202">
        <f>Parameters!$B$6*AV92</f>
        <v>0.19668888888888891</v>
      </c>
      <c r="AY92" s="202">
        <v>0</v>
      </c>
      <c r="AZ92" s="202"/>
      <c r="BA92" s="150">
        <f t="shared" si="52"/>
        <v>0.19668888888888891</v>
      </c>
      <c r="BB92" s="150"/>
      <c r="BC92" s="151">
        <f t="shared" si="53"/>
        <v>19.86557777777778</v>
      </c>
      <c r="BD92" s="123"/>
      <c r="BE92" s="140">
        <f t="shared" si="50"/>
        <v>1007.9122000000001</v>
      </c>
      <c r="BF92" s="141">
        <f t="shared" si="51"/>
        <v>0.98067132972972981</v>
      </c>
      <c r="BG92" s="142" t="b">
        <f t="shared" si="49"/>
        <v>0</v>
      </c>
      <c r="BH92" s="148"/>
      <c r="BI92" s="188" t="s">
        <v>539</v>
      </c>
      <c r="BJ92" s="189"/>
      <c r="BK92">
        <f>VLOOKUP(J92,'Tarieven ZM'!$B$7:$I$146,8,0)</f>
        <v>0</v>
      </c>
      <c r="BL92" s="179" t="str">
        <f>INDEX(Mapping!$M:$M,MATCH($J92,Mapping!$B:$B,0))</f>
        <v>nvt</v>
      </c>
      <c r="BM92" s="282">
        <v>0</v>
      </c>
      <c r="BN92" s="262">
        <f>BM92/INDEX(Parameters!$B:$B,MATCH("AfschrijftermijnVVE"&amp;12*$C92,Parameters!$A:$A,0))</f>
        <v>0</v>
      </c>
      <c r="BO92" s="262">
        <f>AS92+INDEX('inkoop ULL tbv Epacity'!I:I,MATCH($BL92,'inkoop ULL tbv Epacity'!H:H,0))</f>
        <v>0</v>
      </c>
      <c r="BP92" s="263">
        <f t="shared" si="54"/>
        <v>0</v>
      </c>
      <c r="BQ92" s="203"/>
      <c r="BR92" s="262">
        <f>Parameters!$B$12*AG92</f>
        <v>102.77777777777779</v>
      </c>
      <c r="BS92" s="262">
        <f>SUM(Distributievergoedingen!$F$12,Distributievergoedingen!$I$12,Distributievergoedingen!$L$12,Distributievergoedingen!$O$12)*AF92+SUM(Distributievergoedingen!$O$12*AA92+Distributievergoedingen!$R$12+Distributievergoedingen!$U$12+Distributievergoedingen!$X$12)/(MAX(36,12*L92))</f>
        <v>112.77777777777777</v>
      </c>
      <c r="BT92" s="262"/>
      <c r="BU92" s="150">
        <f t="shared" si="55"/>
        <v>215.55555555555554</v>
      </c>
      <c r="BW92" s="151">
        <f t="shared" si="56"/>
        <v>215.55555555555554</v>
      </c>
      <c r="BY92" s="140">
        <f t="shared" si="57"/>
        <v>812.22222222222229</v>
      </c>
      <c r="BZ92" s="141">
        <f t="shared" si="58"/>
        <v>0.7902702702702703</v>
      </c>
      <c r="CA92" s="142" t="b">
        <f t="shared" si="59"/>
        <v>0</v>
      </c>
    </row>
    <row r="93" spans="1:79">
      <c r="A93" s="160" t="str">
        <f t="shared" si="38"/>
        <v>3SA IPVPNAddnationaal8192/8192</v>
      </c>
      <c r="B93" s="142" t="str">
        <f t="shared" si="39"/>
        <v>3SA IPVPN8192/8192Add</v>
      </c>
      <c r="C93" s="198">
        <v>3</v>
      </c>
      <c r="D93" s="198" t="s">
        <v>93</v>
      </c>
      <c r="E93" s="198" t="s">
        <v>103</v>
      </c>
      <c r="F93" s="198" t="s">
        <v>115</v>
      </c>
      <c r="G93" s="199" t="s">
        <v>113</v>
      </c>
      <c r="H93" s="198" t="s">
        <v>94</v>
      </c>
      <c r="J93" s="142" t="str">
        <f t="shared" si="40"/>
        <v>SA IPVPN8192/8192Add</v>
      </c>
      <c r="L93" s="160">
        <f>INDEX(Mapping!$J:$J,MATCH(C$3&amp;C93,Mapping!$B:$B,0))</f>
        <v>1</v>
      </c>
      <c r="M93" s="179" t="str">
        <f>INDEX(Mapping!$H:$H,MATCH(D93&amp;H93&amp;$E93,Mapping!$B:$B,0))</f>
        <v>WBA ZM Ethernet</v>
      </c>
      <c r="N93" s="179" t="str">
        <f>INDEX(Mapping!$J:$J,MATCH(D93&amp;H93&amp;$E93,Mapping!$B:$B,0))</f>
        <v>premium</v>
      </c>
      <c r="O93" s="179" t="str">
        <f>INDEX(Mapping!$I:$I,MATCH($D93,Mapping!$B:$B,0))</f>
        <v>FttH</v>
      </c>
      <c r="P93" s="179" t="str">
        <f>INDEX(Mapping!$H:$H,MATCH($F93,Mapping!$B:$B,0))</f>
        <v>nvt</v>
      </c>
      <c r="Q93" s="283" t="str">
        <f>INDEX(Mapping!$K:$K,MATCH($D93&amp;$H93&amp;E93,Mapping!$B:$B,0))</f>
        <v>metro</v>
      </c>
      <c r="R93" s="179" t="str">
        <f>INDEX(Mapping!$I:$I,MATCH(D93&amp;H93&amp;$E93,Mapping!$B:$B,0))</f>
        <v>10 Mbps/10 Mbps</v>
      </c>
      <c r="S93" s="203"/>
      <c r="T93" s="283" t="str">
        <f>INDEX(Mapping!$L:$L,MATCH($D93&amp;$H93&amp;E93,Mapping!$B:$B,0))</f>
        <v>metro-nationaal</v>
      </c>
      <c r="U93" s="142" t="str">
        <f t="shared" si="41"/>
        <v>WBA ZM Ethernet10 Mbps/10 Mbpspremiummetro</v>
      </c>
      <c r="W93" s="160">
        <f>MATCH($J93,'Tarieven ZM'!$B:$B,0)</f>
        <v>90</v>
      </c>
      <c r="X93" s="148">
        <f>INDEX('Tarieven ZM'!$H:$H,$W93)</f>
        <v>1000</v>
      </c>
      <c r="Y93" s="161">
        <f>-INDEX(Parameters!$B:$B,MATCH(Y$3,Parameters!$A:$A,0))*$X93</f>
        <v>0</v>
      </c>
      <c r="Z93" s="149">
        <f>-INDEX(Parameters!$B:$B,MATCH(Z$3,Parameters!$A:$A,0))*$X93</f>
        <v>0</v>
      </c>
      <c r="AA93" s="148">
        <f t="shared" si="42"/>
        <v>1000</v>
      </c>
      <c r="AB93" s="148">
        <f>AA93/INDEX(Parameters!$B:$B,MATCH("AfschrijftermijnVVE"&amp;12*$C93,Parameters!$A:$A,0))</f>
        <v>27.777777777777779</v>
      </c>
      <c r="AC93" s="148">
        <f>INDEX('Tarieven ZM'!$G:$G,$W93)</f>
        <v>1000</v>
      </c>
      <c r="AD93" s="161">
        <f>-INDEX(Parameters!$B:$B,MATCH(AD$3,Parameters!$A:$A,0))*$AC93</f>
        <v>0</v>
      </c>
      <c r="AE93" s="161">
        <f>-INDEX(Parameters!$B:$B,MATCH(AE$3,Parameters!$A:$A,0))*$AC93</f>
        <v>0</v>
      </c>
      <c r="AF93" s="148">
        <f t="shared" si="43"/>
        <v>1000</v>
      </c>
      <c r="AG93" s="151">
        <f t="shared" si="44"/>
        <v>1027.7777777777778</v>
      </c>
      <c r="AH93" s="123"/>
      <c r="AI93" s="147">
        <f>IF(R93&lt;&gt;"n.a.",MATCH($U93,'Tarieven W&amp;O'!$B:$B,0),"nvt")</f>
        <v>141</v>
      </c>
      <c r="AJ93" s="148">
        <f>IF(AI93&lt;&gt;"nvt",INDEX('Tarieven W&amp;O'!$H:$H,$AI93),0)</f>
        <v>0</v>
      </c>
      <c r="AK93" s="148">
        <f>IF(AI93&lt;&gt;"nvt",INDEX('Tarieven W&amp;O'!$I:$I,$AI93),0)</f>
        <v>5</v>
      </c>
      <c r="AL93" s="277">
        <f>IF(AI93&lt;&gt;"nvt",-INDEX(Parameters!$B:$B,MATCH(AL$3&amp;$M93,Parameters!$A:$A,0))*(AJ93+AK93),0)</f>
        <v>0</v>
      </c>
      <c r="AM93" s="442"/>
      <c r="AN93" s="179">
        <f t="shared" si="45"/>
        <v>5</v>
      </c>
      <c r="AO93" s="262">
        <f>AN93/INDEX(Parameters!$B:$B,MATCH("AfschrijftermijnVVE"&amp;12*$C93,Parameters!$A:$A,0))</f>
        <v>0.1388888888888889</v>
      </c>
      <c r="AP93" s="179">
        <f t="shared" si="46"/>
        <v>141</v>
      </c>
      <c r="AQ93" s="202">
        <f>IF(AP93&lt;&gt;"nvt",INDEX('Tarieven W&amp;O'!$G:$G,$AP93),0)</f>
        <v>26.28</v>
      </c>
      <c r="AR93" s="463">
        <f>-INDEX(Parameters!$B:$B,MATCH(AR$3&amp;$M93&amp;O93,Parameters!$A:$A,0))*(AQ93)</f>
        <v>0</v>
      </c>
      <c r="AS93" s="262">
        <v>0</v>
      </c>
      <c r="AT93" s="442">
        <f>IF(M93="WBA CM Ethernet",0,'EDC Minus'!$H$27)</f>
        <v>1</v>
      </c>
      <c r="AU93" s="202">
        <f t="shared" si="47"/>
        <v>27.28</v>
      </c>
      <c r="AV93" s="202">
        <f t="shared" si="48"/>
        <v>27.41888888888889</v>
      </c>
      <c r="AW93" s="202"/>
      <c r="AX93" s="202">
        <f>Parameters!$B$6*AV93</f>
        <v>0.27418888888888893</v>
      </c>
      <c r="AY93" s="202">
        <v>0</v>
      </c>
      <c r="AZ93" s="202"/>
      <c r="BA93" s="150">
        <f t="shared" si="52"/>
        <v>0.27418888888888893</v>
      </c>
      <c r="BB93" s="150"/>
      <c r="BC93" s="151">
        <f t="shared" si="53"/>
        <v>27.693077777777781</v>
      </c>
      <c r="BD93" s="123"/>
      <c r="BE93" s="140">
        <f t="shared" si="50"/>
        <v>1000.0847</v>
      </c>
      <c r="BF93" s="141">
        <f t="shared" si="51"/>
        <v>0.97305538378378376</v>
      </c>
      <c r="BG93" s="142" t="b">
        <f t="shared" si="49"/>
        <v>0</v>
      </c>
      <c r="BH93" s="148"/>
      <c r="BI93" s="188" t="s">
        <v>539</v>
      </c>
      <c r="BJ93" s="189"/>
      <c r="BK93">
        <f>VLOOKUP(J93,'Tarieven ZM'!$B$7:$I$146,8,0)</f>
        <v>0</v>
      </c>
      <c r="BL93" s="179" t="str">
        <f>INDEX(Mapping!$M:$M,MATCH($J93,Mapping!$B:$B,0))</f>
        <v>nvt</v>
      </c>
      <c r="BM93" s="282">
        <v>0</v>
      </c>
      <c r="BN93" s="262">
        <f>BM93/INDEX(Parameters!$B:$B,MATCH("AfschrijftermijnVVE"&amp;12*$C93,Parameters!$A:$A,0))</f>
        <v>0</v>
      </c>
      <c r="BO93" s="262">
        <f>AS93+INDEX('inkoop ULL tbv Epacity'!I:I,MATCH($BL93,'inkoop ULL tbv Epacity'!H:H,0))</f>
        <v>0</v>
      </c>
      <c r="BP93" s="263">
        <f t="shared" si="54"/>
        <v>0</v>
      </c>
      <c r="BQ93" s="203"/>
      <c r="BR93" s="262">
        <f>Parameters!$B$12*AG93</f>
        <v>102.77777777777779</v>
      </c>
      <c r="BS93" s="262">
        <f>SUM(Distributievergoedingen!$F$12,Distributievergoedingen!$I$12,Distributievergoedingen!$L$12,Distributievergoedingen!$O$12)*AF93+SUM(Distributievergoedingen!$O$12*AA93+Distributievergoedingen!$R$12+Distributievergoedingen!$U$12+Distributievergoedingen!$X$12)/(MAX(36,12*L93))</f>
        <v>112.77777777777777</v>
      </c>
      <c r="BT93" s="262"/>
      <c r="BU93" s="150">
        <f t="shared" si="55"/>
        <v>215.55555555555554</v>
      </c>
      <c r="BW93" s="151">
        <f t="shared" si="56"/>
        <v>215.55555555555554</v>
      </c>
      <c r="BY93" s="140">
        <f t="shared" si="57"/>
        <v>812.22222222222229</v>
      </c>
      <c r="BZ93" s="141">
        <f t="shared" si="58"/>
        <v>0.7902702702702703</v>
      </c>
      <c r="CA93" s="142" t="b">
        <f t="shared" si="59"/>
        <v>0</v>
      </c>
    </row>
    <row r="94" spans="1:79">
      <c r="AL94" s="203"/>
      <c r="AM94" s="203"/>
      <c r="AN94" s="203"/>
      <c r="AO94" s="203"/>
      <c r="AP94" s="203"/>
      <c r="AQ94" s="203"/>
      <c r="AR94" s="203"/>
      <c r="AS94" s="203"/>
      <c r="AT94" s="203"/>
      <c r="AU94" s="203"/>
    </row>
  </sheetData>
  <autoFilter ref="A3:BJ93"/>
  <mergeCells count="13">
    <mergeCell ref="C2:J2"/>
    <mergeCell ref="L2:U2"/>
    <mergeCell ref="AP2:AU2"/>
    <mergeCell ref="W2:AB2"/>
    <mergeCell ref="AC2:AF2"/>
    <mergeCell ref="AI2:AO2"/>
    <mergeCell ref="BY1:CA1"/>
    <mergeCell ref="BM1:BP1"/>
    <mergeCell ref="W1:AG1"/>
    <mergeCell ref="BE1:BG1"/>
    <mergeCell ref="AI1:AV1"/>
    <mergeCell ref="AX1:BA1"/>
    <mergeCell ref="BR1:BU1"/>
  </mergeCells>
  <conditionalFormatting sqref="BI4:BI93">
    <cfRule type="containsText" dxfId="1" priority="1" operator="containsText" text="nee">
      <formula>NOT(ISERROR(SEARCH("nee",BI4)))</formula>
    </cfRule>
    <cfRule type="containsText" dxfId="0" priority="2" operator="containsText" text="Ja">
      <formula>NOT(ISERROR(SEARCH("Ja",BI4)))</formula>
    </cfRule>
  </conditionalFormatting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97"/>
  <sheetViews>
    <sheetView workbookViewId="0"/>
  </sheetViews>
  <sheetFormatPr defaultColWidth="10.28515625" defaultRowHeight="15"/>
  <cols>
    <col min="1" max="1" width="85.42578125" style="291" customWidth="1"/>
    <col min="2" max="6" width="35" style="291" customWidth="1"/>
    <col min="7" max="7" width="32.5703125" style="291" bestFit="1" customWidth="1"/>
    <col min="8" max="8" width="42.140625" style="291" customWidth="1"/>
    <col min="9" max="9" width="29.28515625" style="291" customWidth="1"/>
    <col min="10" max="10" width="44.28515625" style="293" customWidth="1"/>
    <col min="11" max="16" width="40.85546875" style="293" customWidth="1"/>
    <col min="17" max="17" width="26.42578125" style="293" customWidth="1"/>
    <col min="18" max="19" width="38.85546875" style="293" customWidth="1"/>
    <col min="20" max="26" width="29.42578125" style="293" customWidth="1"/>
    <col min="27" max="28" width="26.42578125" style="324" customWidth="1"/>
    <col min="29" max="16384" width="10.28515625" style="293"/>
  </cols>
  <sheetData>
    <row r="1" spans="1:33" s="291" customFormat="1">
      <c r="A1" t="s">
        <v>543</v>
      </c>
      <c r="AA1" s="292"/>
      <c r="AB1" s="292"/>
    </row>
    <row r="2" spans="1:33" s="291" customFormat="1" ht="15.75" thickBot="1">
      <c r="B2" s="291" t="s">
        <v>417</v>
      </c>
      <c r="C2" s="291" t="s">
        <v>417</v>
      </c>
      <c r="D2" s="291" t="s">
        <v>544</v>
      </c>
      <c r="E2" s="291" t="s">
        <v>545</v>
      </c>
      <c r="AA2" s="292"/>
      <c r="AB2" s="292"/>
      <c r="AG2" s="293"/>
    </row>
    <row r="3" spans="1:33" s="291" customFormat="1" ht="45.75" thickBot="1">
      <c r="A3" s="294" t="s">
        <v>546</v>
      </c>
      <c r="B3" s="295" t="s">
        <v>419</v>
      </c>
      <c r="C3" s="295" t="s">
        <v>420</v>
      </c>
      <c r="D3" s="295" t="s">
        <v>421</v>
      </c>
      <c r="E3" s="295" t="s">
        <v>547</v>
      </c>
      <c r="F3" s="295" t="s">
        <v>548</v>
      </c>
      <c r="G3" s="296" t="s">
        <v>549</v>
      </c>
      <c r="H3" s="297" t="s">
        <v>550</v>
      </c>
      <c r="I3" s="295" t="s">
        <v>551</v>
      </c>
      <c r="J3" s="298" t="s">
        <v>552</v>
      </c>
      <c r="K3" s="298" t="s">
        <v>553</v>
      </c>
      <c r="L3" s="298" t="s">
        <v>554</v>
      </c>
      <c r="M3" s="298" t="s">
        <v>555</v>
      </c>
      <c r="N3" s="298" t="s">
        <v>556</v>
      </c>
      <c r="O3" s="298" t="s">
        <v>557</v>
      </c>
      <c r="P3" s="298" t="s">
        <v>558</v>
      </c>
      <c r="Q3" s="299" t="s">
        <v>559</v>
      </c>
      <c r="R3" s="298" t="s">
        <v>560</v>
      </c>
      <c r="S3" s="298" t="s">
        <v>561</v>
      </c>
      <c r="T3" s="298" t="s">
        <v>562</v>
      </c>
      <c r="U3" s="298" t="s">
        <v>563</v>
      </c>
      <c r="V3" s="298" t="s">
        <v>564</v>
      </c>
      <c r="W3" s="298" t="s">
        <v>565</v>
      </c>
      <c r="X3" s="298" t="s">
        <v>566</v>
      </c>
      <c r="Y3" s="298" t="s">
        <v>567</v>
      </c>
      <c r="Z3" s="298" t="s">
        <v>568</v>
      </c>
      <c r="AA3" s="298" t="s">
        <v>569</v>
      </c>
      <c r="AB3" s="299" t="s">
        <v>570</v>
      </c>
      <c r="AG3" s="293"/>
    </row>
    <row r="4" spans="1:33">
      <c r="A4" s="300" t="s">
        <v>571</v>
      </c>
      <c r="B4" s="301">
        <v>150</v>
      </c>
      <c r="C4" s="301">
        <v>94</v>
      </c>
      <c r="D4" s="302">
        <v>5.05</v>
      </c>
      <c r="E4" s="302">
        <v>12.877549325987736</v>
      </c>
      <c r="F4" s="302" t="s">
        <v>572</v>
      </c>
      <c r="G4" s="303" t="s">
        <v>573</v>
      </c>
      <c r="H4" s="304" t="s">
        <v>574</v>
      </c>
      <c r="I4" s="305"/>
      <c r="J4" s="306">
        <v>4.166666666666667</v>
      </c>
      <c r="K4" s="306">
        <v>94</v>
      </c>
      <c r="L4" s="306"/>
      <c r="M4" s="306"/>
      <c r="N4" s="306"/>
      <c r="O4" s="306"/>
      <c r="P4" s="306"/>
      <c r="Q4" s="307"/>
      <c r="R4" s="308">
        <v>0.14027777777777778</v>
      </c>
      <c r="S4" s="308">
        <v>7.4538000000000002</v>
      </c>
      <c r="T4" s="306"/>
      <c r="U4" s="306"/>
      <c r="V4" s="306"/>
      <c r="W4" s="306"/>
      <c r="X4" s="306"/>
      <c r="Y4" s="306"/>
      <c r="Z4" s="306"/>
      <c r="AA4" s="308">
        <v>0</v>
      </c>
      <c r="AB4" s="309">
        <v>5.4237493259877363</v>
      </c>
    </row>
    <row r="5" spans="1:33">
      <c r="A5" s="300" t="s">
        <v>575</v>
      </c>
      <c r="B5" s="310">
        <v>150</v>
      </c>
      <c r="C5" s="310">
        <v>285</v>
      </c>
      <c r="D5" s="310">
        <v>5.05</v>
      </c>
      <c r="E5" s="310">
        <v>12.877549325987736</v>
      </c>
      <c r="F5" s="311"/>
      <c r="G5" s="312" t="s">
        <v>573</v>
      </c>
      <c r="H5" s="300" t="s">
        <v>576</v>
      </c>
      <c r="I5" s="313"/>
      <c r="J5" s="306">
        <v>4.166666666666667</v>
      </c>
      <c r="K5" s="306">
        <v>285</v>
      </c>
      <c r="L5" s="306"/>
      <c r="M5" s="306"/>
      <c r="N5" s="306"/>
      <c r="O5" s="306"/>
      <c r="P5" s="314"/>
      <c r="Q5" s="315"/>
      <c r="R5" s="316">
        <v>0.14027777777777778</v>
      </c>
      <c r="S5" s="308">
        <v>7.4538000000000002</v>
      </c>
      <c r="T5" s="314"/>
      <c r="U5" s="314"/>
      <c r="V5" s="314"/>
      <c r="W5" s="314"/>
      <c r="X5" s="314"/>
      <c r="Y5" s="314"/>
      <c r="Z5" s="314"/>
      <c r="AA5" s="308">
        <v>0</v>
      </c>
      <c r="AB5" s="309">
        <v>5.4237493259877363</v>
      </c>
    </row>
    <row r="6" spans="1:33">
      <c r="A6" s="300" t="s">
        <v>577</v>
      </c>
      <c r="B6" s="310">
        <v>150</v>
      </c>
      <c r="C6" s="310">
        <v>100</v>
      </c>
      <c r="D6" s="310">
        <v>5.05</v>
      </c>
      <c r="E6" s="310">
        <v>12.877549325987736</v>
      </c>
      <c r="F6" s="311"/>
      <c r="G6" s="312" t="s">
        <v>573</v>
      </c>
      <c r="H6" s="300" t="s">
        <v>578</v>
      </c>
      <c r="I6" s="313"/>
      <c r="J6" s="306">
        <v>4.166666666666667</v>
      </c>
      <c r="K6" s="306">
        <v>100</v>
      </c>
      <c r="L6" s="306"/>
      <c r="M6" s="306"/>
      <c r="N6" s="306"/>
      <c r="O6" s="306"/>
      <c r="P6" s="314"/>
      <c r="Q6" s="315"/>
      <c r="R6" s="316">
        <v>0.14027777777777778</v>
      </c>
      <c r="S6" s="308">
        <v>7.4538000000000002</v>
      </c>
      <c r="T6" s="314"/>
      <c r="U6" s="314"/>
      <c r="V6" s="314"/>
      <c r="W6" s="314"/>
      <c r="X6" s="314"/>
      <c r="Y6" s="314"/>
      <c r="Z6" s="314"/>
      <c r="AA6" s="308">
        <v>0</v>
      </c>
      <c r="AB6" s="309">
        <v>5.4237493259877363</v>
      </c>
    </row>
    <row r="7" spans="1:33">
      <c r="A7" s="300" t="s">
        <v>579</v>
      </c>
      <c r="B7" s="310">
        <v>150</v>
      </c>
      <c r="C7" s="310">
        <v>105</v>
      </c>
      <c r="D7" s="310">
        <v>5.05</v>
      </c>
      <c r="E7" s="310">
        <v>12.877549325987736</v>
      </c>
      <c r="F7" s="311"/>
      <c r="G7" s="312" t="s">
        <v>573</v>
      </c>
      <c r="H7" s="300" t="s">
        <v>580</v>
      </c>
      <c r="I7" s="313"/>
      <c r="J7" s="306">
        <v>4.166666666666667</v>
      </c>
      <c r="K7" s="306">
        <v>105</v>
      </c>
      <c r="L7" s="306"/>
      <c r="M7" s="306"/>
      <c r="N7" s="306"/>
      <c r="O7" s="306"/>
      <c r="P7" s="314"/>
      <c r="Q7" s="315"/>
      <c r="R7" s="316">
        <v>0.14027777777777778</v>
      </c>
      <c r="S7" s="308">
        <v>7.4538000000000002</v>
      </c>
      <c r="T7" s="314"/>
      <c r="U7" s="314"/>
      <c r="V7" s="314"/>
      <c r="W7" s="314"/>
      <c r="X7" s="314"/>
      <c r="Y7" s="314"/>
      <c r="Z7" s="314"/>
      <c r="AA7" s="308">
        <v>0</v>
      </c>
      <c r="AB7" s="309">
        <v>5.4237493259877363</v>
      </c>
    </row>
    <row r="8" spans="1:33">
      <c r="A8" s="300" t="s">
        <v>581</v>
      </c>
      <c r="B8" s="310">
        <v>150</v>
      </c>
      <c r="C8" s="310">
        <v>199</v>
      </c>
      <c r="D8" s="310">
        <v>5.05</v>
      </c>
      <c r="E8" s="310">
        <v>12.877549325987736</v>
      </c>
      <c r="F8" s="311"/>
      <c r="G8" s="312" t="s">
        <v>573</v>
      </c>
      <c r="H8" s="300" t="s">
        <v>582</v>
      </c>
      <c r="I8" s="313"/>
      <c r="J8" s="306">
        <v>4.166666666666667</v>
      </c>
      <c r="K8" s="306">
        <v>199</v>
      </c>
      <c r="L8" s="306"/>
      <c r="M8" s="306"/>
      <c r="N8" s="306"/>
      <c r="O8" s="306"/>
      <c r="P8" s="314"/>
      <c r="Q8" s="315"/>
      <c r="R8" s="316">
        <v>0.14027777777777778</v>
      </c>
      <c r="S8" s="308">
        <v>7.4538000000000002</v>
      </c>
      <c r="T8" s="314"/>
      <c r="U8" s="314"/>
      <c r="V8" s="314"/>
      <c r="W8" s="314"/>
      <c r="X8" s="314"/>
      <c r="Y8" s="314"/>
      <c r="Z8" s="314"/>
      <c r="AA8" s="308">
        <v>0</v>
      </c>
      <c r="AB8" s="309">
        <v>5.4237493259877363</v>
      </c>
    </row>
    <row r="9" spans="1:33">
      <c r="A9" s="300" t="s">
        <v>583</v>
      </c>
      <c r="B9" s="310">
        <v>150</v>
      </c>
      <c r="C9" s="310">
        <v>232</v>
      </c>
      <c r="D9" s="310">
        <v>5.05</v>
      </c>
      <c r="E9" s="310">
        <v>12.877549325987736</v>
      </c>
      <c r="F9" s="311"/>
      <c r="G9" s="312" t="s">
        <v>573</v>
      </c>
      <c r="H9" s="300" t="s">
        <v>584</v>
      </c>
      <c r="I9" s="313"/>
      <c r="J9" s="306">
        <v>4.166666666666667</v>
      </c>
      <c r="K9" s="306">
        <v>232</v>
      </c>
      <c r="L9" s="306"/>
      <c r="M9" s="306"/>
      <c r="N9" s="306"/>
      <c r="O9" s="306"/>
      <c r="P9" s="314"/>
      <c r="Q9" s="315"/>
      <c r="R9" s="316">
        <v>0.14027777777777778</v>
      </c>
      <c r="S9" s="308">
        <v>7.4538000000000002</v>
      </c>
      <c r="T9" s="314"/>
      <c r="U9" s="314"/>
      <c r="V9" s="314"/>
      <c r="W9" s="314"/>
      <c r="X9" s="314"/>
      <c r="Y9" s="314"/>
      <c r="Z9" s="314"/>
      <c r="AA9" s="308">
        <v>0</v>
      </c>
      <c r="AB9" s="309">
        <v>5.4237493259877363</v>
      </c>
    </row>
    <row r="10" spans="1:33">
      <c r="A10" s="300" t="s">
        <v>585</v>
      </c>
      <c r="B10" s="310">
        <v>150</v>
      </c>
      <c r="C10" s="310">
        <v>270</v>
      </c>
      <c r="D10" s="310">
        <v>5.05</v>
      </c>
      <c r="E10" s="310">
        <v>12.877549325987736</v>
      </c>
      <c r="F10" s="311"/>
      <c r="G10" s="312" t="s">
        <v>573</v>
      </c>
      <c r="H10" s="300" t="s">
        <v>586</v>
      </c>
      <c r="I10" s="313"/>
      <c r="J10" s="306">
        <v>4.166666666666667</v>
      </c>
      <c r="K10" s="306">
        <v>270</v>
      </c>
      <c r="L10" s="306"/>
      <c r="M10" s="306"/>
      <c r="N10" s="306"/>
      <c r="O10" s="306"/>
      <c r="P10" s="314"/>
      <c r="Q10" s="315"/>
      <c r="R10" s="316">
        <v>0.14027777777777778</v>
      </c>
      <c r="S10" s="308">
        <v>7.4538000000000002</v>
      </c>
      <c r="T10" s="314"/>
      <c r="U10" s="314"/>
      <c r="V10" s="314"/>
      <c r="W10" s="314"/>
      <c r="X10" s="314"/>
      <c r="Y10" s="314"/>
      <c r="Z10" s="314"/>
      <c r="AA10" s="308">
        <v>0</v>
      </c>
      <c r="AB10" s="309">
        <v>5.4237493259877363</v>
      </c>
    </row>
    <row r="11" spans="1:33">
      <c r="A11" s="300" t="s">
        <v>587</v>
      </c>
      <c r="B11" s="310">
        <v>150</v>
      </c>
      <c r="C11" s="310">
        <v>635</v>
      </c>
      <c r="D11" s="310">
        <v>5.05</v>
      </c>
      <c r="E11" s="310">
        <v>12.877549325987736</v>
      </c>
      <c r="F11" s="311"/>
      <c r="G11" s="312" t="s">
        <v>573</v>
      </c>
      <c r="H11" s="300" t="s">
        <v>588</v>
      </c>
      <c r="I11" s="313"/>
      <c r="J11" s="306">
        <v>4.166666666666667</v>
      </c>
      <c r="K11" s="306">
        <v>635</v>
      </c>
      <c r="L11" s="306"/>
      <c r="M11" s="306"/>
      <c r="N11" s="306"/>
      <c r="O11" s="306"/>
      <c r="P11" s="314"/>
      <c r="Q11" s="315"/>
      <c r="R11" s="316">
        <v>0.14027777777777778</v>
      </c>
      <c r="S11" s="308">
        <v>7.4538000000000002</v>
      </c>
      <c r="T11" s="314"/>
      <c r="U11" s="314"/>
      <c r="V11" s="314"/>
      <c r="W11" s="314"/>
      <c r="X11" s="314"/>
      <c r="Y11" s="314"/>
      <c r="Z11" s="314"/>
      <c r="AA11" s="308">
        <v>0</v>
      </c>
      <c r="AB11" s="309">
        <v>5.4237493259877363</v>
      </c>
    </row>
    <row r="12" spans="1:33">
      <c r="A12" s="300" t="s">
        <v>589</v>
      </c>
      <c r="B12" s="310">
        <v>150</v>
      </c>
      <c r="C12" s="310">
        <v>810</v>
      </c>
      <c r="D12" s="310">
        <v>5.05</v>
      </c>
      <c r="E12" s="310">
        <v>12.877549325987736</v>
      </c>
      <c r="F12" s="311"/>
      <c r="G12" s="312" t="s">
        <v>573</v>
      </c>
      <c r="H12" s="300" t="s">
        <v>590</v>
      </c>
      <c r="I12" s="313"/>
      <c r="J12" s="306">
        <v>4.166666666666667</v>
      </c>
      <c r="K12" s="306">
        <v>810</v>
      </c>
      <c r="L12" s="306"/>
      <c r="M12" s="306"/>
      <c r="N12" s="306"/>
      <c r="O12" s="306"/>
      <c r="P12" s="314"/>
      <c r="Q12" s="315"/>
      <c r="R12" s="316">
        <v>0.14027777777777778</v>
      </c>
      <c r="S12" s="308">
        <v>7.4538000000000002</v>
      </c>
      <c r="T12" s="314"/>
      <c r="U12" s="314"/>
      <c r="V12" s="314"/>
      <c r="W12" s="314"/>
      <c r="X12" s="314"/>
      <c r="Y12" s="314"/>
      <c r="Z12" s="314"/>
      <c r="AA12" s="308">
        <v>0</v>
      </c>
      <c r="AB12" s="309">
        <v>5.4237493259877363</v>
      </c>
    </row>
    <row r="13" spans="1:33">
      <c r="A13" s="300" t="s">
        <v>591</v>
      </c>
      <c r="B13" s="310">
        <v>150</v>
      </c>
      <c r="C13" s="310">
        <v>1166</v>
      </c>
      <c r="D13" s="310">
        <v>5.05</v>
      </c>
      <c r="E13" s="310">
        <v>16.533749325987735</v>
      </c>
      <c r="F13" s="311"/>
      <c r="G13" s="312" t="s">
        <v>573</v>
      </c>
      <c r="H13" s="300" t="s">
        <v>592</v>
      </c>
      <c r="I13" s="313"/>
      <c r="J13" s="306">
        <v>4.166666666666667</v>
      </c>
      <c r="K13" s="306">
        <v>1166</v>
      </c>
      <c r="L13" s="306"/>
      <c r="M13" s="306"/>
      <c r="N13" s="306"/>
      <c r="O13" s="306"/>
      <c r="P13" s="314"/>
      <c r="Q13" s="315"/>
      <c r="R13" s="316">
        <v>0.14027777777777778</v>
      </c>
      <c r="S13" s="308">
        <v>11.11</v>
      </c>
      <c r="T13" s="314"/>
      <c r="U13" s="314"/>
      <c r="V13" s="314"/>
      <c r="W13" s="314"/>
      <c r="X13" s="314"/>
      <c r="Y13" s="314"/>
      <c r="Z13" s="314"/>
      <c r="AA13" s="308">
        <v>0</v>
      </c>
      <c r="AB13" s="309">
        <v>5.4237493259877363</v>
      </c>
    </row>
    <row r="14" spans="1:33">
      <c r="A14" s="300" t="s">
        <v>593</v>
      </c>
      <c r="B14" s="310">
        <v>150</v>
      </c>
      <c r="C14" s="310">
        <v>241</v>
      </c>
      <c r="D14" s="310">
        <v>5.05</v>
      </c>
      <c r="E14" s="310">
        <v>18.741830233092852</v>
      </c>
      <c r="F14" s="311"/>
      <c r="G14" s="312" t="s">
        <v>573</v>
      </c>
      <c r="H14" s="300" t="s">
        <v>594</v>
      </c>
      <c r="I14" s="313"/>
      <c r="J14" s="306">
        <v>4.166666666666667</v>
      </c>
      <c r="K14" s="306">
        <v>241</v>
      </c>
      <c r="L14" s="306"/>
      <c r="M14" s="306"/>
      <c r="N14" s="306"/>
      <c r="O14" s="306"/>
      <c r="P14" s="314"/>
      <c r="Q14" s="315"/>
      <c r="R14" s="316">
        <v>0.14027777777777778</v>
      </c>
      <c r="S14" s="308">
        <v>12.887599999999999</v>
      </c>
      <c r="T14" s="314"/>
      <c r="U14" s="314"/>
      <c r="V14" s="314"/>
      <c r="W14" s="314"/>
      <c r="X14" s="314"/>
      <c r="Y14" s="314"/>
      <c r="Z14" s="314"/>
      <c r="AA14" s="308">
        <v>0.43048090710511555</v>
      </c>
      <c r="AB14" s="309">
        <v>5.4237493259877363</v>
      </c>
    </row>
    <row r="15" spans="1:33">
      <c r="A15" s="300" t="s">
        <v>595</v>
      </c>
      <c r="B15" s="310">
        <v>150</v>
      </c>
      <c r="C15" s="310">
        <v>250</v>
      </c>
      <c r="D15" s="310">
        <v>5.05</v>
      </c>
      <c r="E15" s="310">
        <v>23.902930233092849</v>
      </c>
      <c r="F15" s="311"/>
      <c r="G15" s="312" t="s">
        <v>573</v>
      </c>
      <c r="H15" s="300" t="s">
        <v>596</v>
      </c>
      <c r="I15" s="313"/>
      <c r="J15" s="306">
        <v>4.166666666666667</v>
      </c>
      <c r="K15" s="306">
        <v>250</v>
      </c>
      <c r="L15" s="306"/>
      <c r="M15" s="306"/>
      <c r="N15" s="306"/>
      <c r="O15" s="306"/>
      <c r="P15" s="314"/>
      <c r="Q15" s="315"/>
      <c r="R15" s="316">
        <v>0.14027777777777778</v>
      </c>
      <c r="S15" s="308">
        <v>18.0487</v>
      </c>
      <c r="T15" s="314"/>
      <c r="U15" s="314"/>
      <c r="V15" s="314"/>
      <c r="W15" s="314"/>
      <c r="X15" s="314"/>
      <c r="Y15" s="314"/>
      <c r="Z15" s="314"/>
      <c r="AA15" s="308">
        <v>0.43048090710511555</v>
      </c>
      <c r="AB15" s="309">
        <v>5.4237493259877363</v>
      </c>
    </row>
    <row r="16" spans="1:33">
      <c r="A16" s="300" t="s">
        <v>597</v>
      </c>
      <c r="B16" s="310">
        <v>150</v>
      </c>
      <c r="C16" s="310">
        <v>363</v>
      </c>
      <c r="D16" s="310">
        <v>5.05</v>
      </c>
      <c r="E16" s="310">
        <v>29.053930233092849</v>
      </c>
      <c r="F16" s="311"/>
      <c r="G16" s="312" t="s">
        <v>573</v>
      </c>
      <c r="H16" s="300" t="s">
        <v>598</v>
      </c>
      <c r="I16" s="313"/>
      <c r="J16" s="306">
        <v>4.166666666666667</v>
      </c>
      <c r="K16" s="306">
        <v>363</v>
      </c>
      <c r="L16" s="306"/>
      <c r="M16" s="306"/>
      <c r="N16" s="306"/>
      <c r="O16" s="306"/>
      <c r="P16" s="314"/>
      <c r="Q16" s="315"/>
      <c r="R16" s="316">
        <v>0.14027777777777778</v>
      </c>
      <c r="S16" s="308">
        <v>23.1997</v>
      </c>
      <c r="T16" s="314"/>
      <c r="U16" s="314"/>
      <c r="V16" s="314"/>
      <c r="W16" s="314"/>
      <c r="X16" s="314"/>
      <c r="Y16" s="314"/>
      <c r="Z16" s="314"/>
      <c r="AA16" s="308">
        <v>0.43048090710511555</v>
      </c>
      <c r="AB16" s="309">
        <v>5.4237493259877363</v>
      </c>
    </row>
    <row r="17" spans="1:33">
      <c r="A17" s="300" t="s">
        <v>599</v>
      </c>
      <c r="B17" s="310">
        <v>150</v>
      </c>
      <c r="C17" s="310">
        <v>269</v>
      </c>
      <c r="D17" s="310">
        <v>5.05</v>
      </c>
      <c r="E17" s="310">
        <v>23.902930233092849</v>
      </c>
      <c r="F17" s="311"/>
      <c r="G17" s="312" t="s">
        <v>573</v>
      </c>
      <c r="H17" s="300" t="s">
        <v>600</v>
      </c>
      <c r="I17" s="313"/>
      <c r="J17" s="306">
        <v>4.166666666666667</v>
      </c>
      <c r="K17" s="306">
        <v>269</v>
      </c>
      <c r="L17" s="306"/>
      <c r="M17" s="306"/>
      <c r="N17" s="306"/>
      <c r="O17" s="306"/>
      <c r="P17" s="314"/>
      <c r="Q17" s="315"/>
      <c r="R17" s="316">
        <v>0.14027777777777778</v>
      </c>
      <c r="S17" s="308">
        <v>18.0487</v>
      </c>
      <c r="T17" s="314"/>
      <c r="U17" s="314"/>
      <c r="V17" s="314"/>
      <c r="W17" s="314"/>
      <c r="X17" s="314"/>
      <c r="Y17" s="314"/>
      <c r="Z17" s="314"/>
      <c r="AA17" s="308">
        <v>0.43048090710511555</v>
      </c>
      <c r="AB17" s="309">
        <v>5.4237493259877363</v>
      </c>
    </row>
    <row r="18" spans="1:33">
      <c r="A18" s="300" t="s">
        <v>601</v>
      </c>
      <c r="B18" s="310">
        <v>150</v>
      </c>
      <c r="C18" s="310">
        <v>427</v>
      </c>
      <c r="D18" s="310">
        <v>5.05</v>
      </c>
      <c r="E18" s="310">
        <v>34.215030233092847</v>
      </c>
      <c r="F18" s="311"/>
      <c r="G18" s="312" t="s">
        <v>573</v>
      </c>
      <c r="H18" s="300" t="s">
        <v>602</v>
      </c>
      <c r="I18" s="313"/>
      <c r="J18" s="306">
        <v>4.166666666666667</v>
      </c>
      <c r="K18" s="306">
        <v>427</v>
      </c>
      <c r="L18" s="306"/>
      <c r="M18" s="306"/>
      <c r="N18" s="306"/>
      <c r="O18" s="306"/>
      <c r="P18" s="314"/>
      <c r="Q18" s="315"/>
      <c r="R18" s="316">
        <v>0.14027777777777778</v>
      </c>
      <c r="S18" s="308">
        <v>28.360799999999998</v>
      </c>
      <c r="T18" s="314"/>
      <c r="U18" s="314"/>
      <c r="V18" s="314"/>
      <c r="W18" s="314"/>
      <c r="X18" s="314"/>
      <c r="Y18" s="314"/>
      <c r="Z18" s="314"/>
      <c r="AA18" s="308">
        <v>0.43048090710511555</v>
      </c>
      <c r="AB18" s="309">
        <v>5.4237493259877363</v>
      </c>
    </row>
    <row r="19" spans="1:33">
      <c r="A19" s="300" t="s">
        <v>603</v>
      </c>
      <c r="B19" s="310">
        <v>150</v>
      </c>
      <c r="C19" s="310">
        <v>474</v>
      </c>
      <c r="D19" s="310">
        <v>5.05</v>
      </c>
      <c r="E19" s="310">
        <v>29.053930233092849</v>
      </c>
      <c r="F19" s="311"/>
      <c r="G19" s="312" t="s">
        <v>573</v>
      </c>
      <c r="H19" s="300" t="s">
        <v>604</v>
      </c>
      <c r="I19" s="313"/>
      <c r="J19" s="306">
        <v>4.166666666666667</v>
      </c>
      <c r="K19" s="306">
        <v>474</v>
      </c>
      <c r="L19" s="306"/>
      <c r="M19" s="306"/>
      <c r="N19" s="306"/>
      <c r="O19" s="306"/>
      <c r="P19" s="314"/>
      <c r="Q19" s="315"/>
      <c r="R19" s="316">
        <v>0.14027777777777778</v>
      </c>
      <c r="S19" s="308">
        <v>23.1997</v>
      </c>
      <c r="T19" s="314"/>
      <c r="U19" s="314"/>
      <c r="V19" s="314"/>
      <c r="W19" s="314"/>
      <c r="X19" s="314"/>
      <c r="Y19" s="314"/>
      <c r="Z19" s="314"/>
      <c r="AA19" s="308">
        <v>0.43048090710511555</v>
      </c>
      <c r="AB19" s="309">
        <v>5.4237493259877363</v>
      </c>
      <c r="AG19"/>
    </row>
    <row r="20" spans="1:33">
      <c r="A20" s="300" t="s">
        <v>605</v>
      </c>
      <c r="B20" s="310">
        <v>150</v>
      </c>
      <c r="C20" s="310">
        <v>692</v>
      </c>
      <c r="D20" s="310">
        <v>5.05</v>
      </c>
      <c r="E20" s="310">
        <v>39.36603023309285</v>
      </c>
      <c r="F20" s="311"/>
      <c r="G20" s="312" t="s">
        <v>573</v>
      </c>
      <c r="H20" s="300" t="s">
        <v>606</v>
      </c>
      <c r="I20" s="313"/>
      <c r="J20" s="306">
        <v>4.166666666666667</v>
      </c>
      <c r="K20" s="306">
        <v>692</v>
      </c>
      <c r="L20" s="306"/>
      <c r="M20" s="306"/>
      <c r="N20" s="306"/>
      <c r="O20" s="306"/>
      <c r="P20" s="314"/>
      <c r="Q20" s="315"/>
      <c r="R20" s="316">
        <v>0.14027777777777778</v>
      </c>
      <c r="S20" s="308">
        <v>33.511800000000001</v>
      </c>
      <c r="T20" s="314"/>
      <c r="U20" s="314"/>
      <c r="V20" s="314"/>
      <c r="W20" s="314"/>
      <c r="X20" s="314"/>
      <c r="Y20" s="314"/>
      <c r="Z20" s="314"/>
      <c r="AA20" s="308">
        <v>0.43048090710511555</v>
      </c>
      <c r="AB20" s="309">
        <v>5.4237493259877363</v>
      </c>
      <c r="AG20"/>
    </row>
    <row r="21" spans="1:33">
      <c r="A21" s="300" t="s">
        <v>607</v>
      </c>
      <c r="B21" s="310">
        <v>150</v>
      </c>
      <c r="C21" s="310">
        <v>809</v>
      </c>
      <c r="D21" s="310">
        <v>5.05</v>
      </c>
      <c r="E21" s="310">
        <v>44.527130233092848</v>
      </c>
      <c r="F21" s="311"/>
      <c r="G21" s="312" t="s">
        <v>573</v>
      </c>
      <c r="H21" s="300" t="s">
        <v>608</v>
      </c>
      <c r="I21" s="313"/>
      <c r="J21" s="306">
        <v>4.166666666666667</v>
      </c>
      <c r="K21" s="306">
        <v>809</v>
      </c>
      <c r="L21" s="306"/>
      <c r="M21" s="306"/>
      <c r="N21" s="306"/>
      <c r="O21" s="306"/>
      <c r="P21" s="314"/>
      <c r="Q21" s="315"/>
      <c r="R21" s="316">
        <v>0.14027777777777778</v>
      </c>
      <c r="S21" s="308">
        <v>38.672899999999998</v>
      </c>
      <c r="T21" s="314"/>
      <c r="U21" s="314"/>
      <c r="V21" s="314"/>
      <c r="W21" s="314"/>
      <c r="X21" s="314"/>
      <c r="Y21" s="314"/>
      <c r="Z21" s="314"/>
      <c r="AA21" s="308">
        <v>0.43048090710511555</v>
      </c>
      <c r="AB21" s="309">
        <v>5.4237493259877363</v>
      </c>
      <c r="AG21"/>
    </row>
    <row r="22" spans="1:33">
      <c r="A22" s="300" t="s">
        <v>609</v>
      </c>
      <c r="B22" s="310">
        <v>150</v>
      </c>
      <c r="C22" s="310">
        <v>94</v>
      </c>
      <c r="D22" s="310">
        <v>5.05</v>
      </c>
      <c r="E22" s="310">
        <v>12.877549325987736</v>
      </c>
      <c r="F22" s="311"/>
      <c r="G22" s="312" t="s">
        <v>573</v>
      </c>
      <c r="H22" s="300" t="s">
        <v>574</v>
      </c>
      <c r="I22" s="313"/>
      <c r="J22" s="306">
        <v>4.166666666666667</v>
      </c>
      <c r="K22" s="306">
        <v>94</v>
      </c>
      <c r="L22" s="306"/>
      <c r="M22" s="306"/>
      <c r="N22" s="306"/>
      <c r="O22" s="306"/>
      <c r="P22" s="314"/>
      <c r="Q22" s="315"/>
      <c r="R22" s="316">
        <v>0.14027777777777778</v>
      </c>
      <c r="S22" s="308">
        <v>7.4538000000000002</v>
      </c>
      <c r="T22" s="314"/>
      <c r="U22" s="314"/>
      <c r="V22" s="314"/>
      <c r="W22" s="314"/>
      <c r="X22" s="314"/>
      <c r="Y22" s="314"/>
      <c r="Z22" s="314"/>
      <c r="AA22" s="308">
        <v>0</v>
      </c>
      <c r="AB22" s="309">
        <v>5.4237493259877363</v>
      </c>
      <c r="AG22"/>
    </row>
    <row r="23" spans="1:33">
      <c r="A23" s="300" t="s">
        <v>610</v>
      </c>
      <c r="B23" s="310">
        <v>150</v>
      </c>
      <c r="C23" s="310">
        <v>285</v>
      </c>
      <c r="D23" s="310">
        <v>5.05</v>
      </c>
      <c r="E23" s="310">
        <v>12.877549325987736</v>
      </c>
      <c r="F23" s="311"/>
      <c r="G23" s="312" t="s">
        <v>573</v>
      </c>
      <c r="H23" s="300" t="s">
        <v>576</v>
      </c>
      <c r="I23" s="313"/>
      <c r="J23" s="306">
        <v>4.166666666666667</v>
      </c>
      <c r="K23" s="306">
        <v>285</v>
      </c>
      <c r="L23" s="306"/>
      <c r="M23" s="306"/>
      <c r="N23" s="306"/>
      <c r="O23" s="306"/>
      <c r="P23" s="314"/>
      <c r="Q23" s="315"/>
      <c r="R23" s="316">
        <v>0.14027777777777778</v>
      </c>
      <c r="S23" s="308">
        <v>7.4538000000000002</v>
      </c>
      <c r="T23" s="314"/>
      <c r="U23" s="314"/>
      <c r="V23" s="314"/>
      <c r="W23" s="314"/>
      <c r="X23" s="314"/>
      <c r="Y23" s="314"/>
      <c r="Z23" s="314"/>
      <c r="AA23" s="308">
        <v>0</v>
      </c>
      <c r="AB23" s="309">
        <v>5.4237493259877363</v>
      </c>
      <c r="AG23"/>
    </row>
    <row r="24" spans="1:33">
      <c r="A24" s="300" t="s">
        <v>611</v>
      </c>
      <c r="B24" s="310">
        <v>150</v>
      </c>
      <c r="C24" s="310">
        <v>100</v>
      </c>
      <c r="D24" s="310">
        <v>5.05</v>
      </c>
      <c r="E24" s="310">
        <v>12.877549325987736</v>
      </c>
      <c r="F24" s="311"/>
      <c r="G24" s="312" t="s">
        <v>573</v>
      </c>
      <c r="H24" s="300" t="s">
        <v>578</v>
      </c>
      <c r="I24" s="313"/>
      <c r="J24" s="306">
        <v>4.166666666666667</v>
      </c>
      <c r="K24" s="306">
        <v>100</v>
      </c>
      <c r="L24" s="306"/>
      <c r="M24" s="306"/>
      <c r="N24" s="306"/>
      <c r="O24" s="306"/>
      <c r="P24" s="314"/>
      <c r="Q24" s="315"/>
      <c r="R24" s="316">
        <v>0.14027777777777778</v>
      </c>
      <c r="S24" s="308">
        <v>7.4538000000000002</v>
      </c>
      <c r="T24" s="314"/>
      <c r="U24" s="314"/>
      <c r="V24" s="314"/>
      <c r="W24" s="314"/>
      <c r="X24" s="314"/>
      <c r="Y24" s="314"/>
      <c r="Z24" s="314"/>
      <c r="AA24" s="308">
        <v>0</v>
      </c>
      <c r="AB24" s="309">
        <v>5.4237493259877363</v>
      </c>
      <c r="AG24"/>
    </row>
    <row r="25" spans="1:33">
      <c r="A25" s="300" t="s">
        <v>612</v>
      </c>
      <c r="B25" s="310">
        <v>150</v>
      </c>
      <c r="C25" s="310">
        <v>105</v>
      </c>
      <c r="D25" s="310">
        <v>5.05</v>
      </c>
      <c r="E25" s="310">
        <v>12.877549325987736</v>
      </c>
      <c r="F25" s="311"/>
      <c r="G25" s="312" t="s">
        <v>573</v>
      </c>
      <c r="H25" s="300" t="s">
        <v>580</v>
      </c>
      <c r="I25" s="313"/>
      <c r="J25" s="306">
        <v>4.166666666666667</v>
      </c>
      <c r="K25" s="306">
        <v>105</v>
      </c>
      <c r="L25" s="306"/>
      <c r="M25" s="306"/>
      <c r="N25" s="306"/>
      <c r="O25" s="306"/>
      <c r="P25" s="314"/>
      <c r="Q25" s="315"/>
      <c r="R25" s="316">
        <v>0.14027777777777778</v>
      </c>
      <c r="S25" s="308">
        <v>7.4538000000000002</v>
      </c>
      <c r="T25" s="314"/>
      <c r="U25" s="314"/>
      <c r="V25" s="314"/>
      <c r="W25" s="314"/>
      <c r="X25" s="314"/>
      <c r="Y25" s="314"/>
      <c r="Z25" s="314"/>
      <c r="AA25" s="308">
        <v>0</v>
      </c>
      <c r="AB25" s="309">
        <v>5.4237493259877363</v>
      </c>
      <c r="AG25"/>
    </row>
    <row r="26" spans="1:33">
      <c r="A26" s="300" t="s">
        <v>613</v>
      </c>
      <c r="B26" s="310">
        <v>150</v>
      </c>
      <c r="C26" s="310">
        <v>199</v>
      </c>
      <c r="D26" s="310">
        <v>5.05</v>
      </c>
      <c r="E26" s="310">
        <v>12.877549325987736</v>
      </c>
      <c r="F26" s="311"/>
      <c r="G26" s="312" t="s">
        <v>573</v>
      </c>
      <c r="H26" s="300" t="s">
        <v>582</v>
      </c>
      <c r="I26" s="313"/>
      <c r="J26" s="306">
        <v>4.166666666666667</v>
      </c>
      <c r="K26" s="306">
        <v>199</v>
      </c>
      <c r="L26" s="306"/>
      <c r="M26" s="306"/>
      <c r="N26" s="306"/>
      <c r="O26" s="306"/>
      <c r="P26" s="314"/>
      <c r="Q26" s="315"/>
      <c r="R26" s="316">
        <v>0.14027777777777778</v>
      </c>
      <c r="S26" s="308">
        <v>7.4538000000000002</v>
      </c>
      <c r="T26" s="314"/>
      <c r="U26" s="314"/>
      <c r="V26" s="314"/>
      <c r="W26" s="314"/>
      <c r="X26" s="314"/>
      <c r="Y26" s="314"/>
      <c r="Z26" s="314"/>
      <c r="AA26" s="308">
        <v>0</v>
      </c>
      <c r="AB26" s="309">
        <v>5.4237493259877363</v>
      </c>
    </row>
    <row r="27" spans="1:33">
      <c r="A27" s="300" t="s">
        <v>614</v>
      </c>
      <c r="B27" s="310">
        <v>150</v>
      </c>
      <c r="C27" s="310">
        <v>232</v>
      </c>
      <c r="D27" s="310">
        <v>5.05</v>
      </c>
      <c r="E27" s="310">
        <v>12.877549325987736</v>
      </c>
      <c r="F27" s="311"/>
      <c r="G27" s="312" t="s">
        <v>573</v>
      </c>
      <c r="H27" s="300" t="s">
        <v>584</v>
      </c>
      <c r="I27" s="313"/>
      <c r="J27" s="306">
        <v>4.166666666666667</v>
      </c>
      <c r="K27" s="306">
        <v>232</v>
      </c>
      <c r="L27" s="306"/>
      <c r="M27" s="306"/>
      <c r="N27" s="306"/>
      <c r="O27" s="306"/>
      <c r="P27" s="314"/>
      <c r="Q27" s="315"/>
      <c r="R27" s="316">
        <v>0.14027777777777778</v>
      </c>
      <c r="S27" s="308">
        <v>7.4538000000000002</v>
      </c>
      <c r="T27" s="314"/>
      <c r="U27" s="314"/>
      <c r="V27" s="314"/>
      <c r="W27" s="314"/>
      <c r="X27" s="314"/>
      <c r="Y27" s="314"/>
      <c r="Z27" s="314"/>
      <c r="AA27" s="308">
        <v>0</v>
      </c>
      <c r="AB27" s="309">
        <v>5.4237493259877363</v>
      </c>
    </row>
    <row r="28" spans="1:33">
      <c r="A28" s="300" t="s">
        <v>615</v>
      </c>
      <c r="B28" s="310">
        <v>150</v>
      </c>
      <c r="C28" s="310">
        <v>270</v>
      </c>
      <c r="D28" s="310">
        <v>5.05</v>
      </c>
      <c r="E28" s="310">
        <v>12.877549325987736</v>
      </c>
      <c r="F28" s="311"/>
      <c r="G28" s="312" t="s">
        <v>573</v>
      </c>
      <c r="H28" s="300" t="s">
        <v>586</v>
      </c>
      <c r="I28" s="313"/>
      <c r="J28" s="306">
        <v>4.166666666666667</v>
      </c>
      <c r="K28" s="306">
        <v>270</v>
      </c>
      <c r="L28" s="306"/>
      <c r="M28" s="306"/>
      <c r="N28" s="306"/>
      <c r="O28" s="306"/>
      <c r="P28" s="314"/>
      <c r="Q28" s="315"/>
      <c r="R28" s="316">
        <v>0.14027777777777778</v>
      </c>
      <c r="S28" s="308">
        <v>7.4538000000000002</v>
      </c>
      <c r="T28" s="314"/>
      <c r="U28" s="314"/>
      <c r="V28" s="314"/>
      <c r="W28" s="314"/>
      <c r="X28" s="314"/>
      <c r="Y28" s="314"/>
      <c r="Z28" s="314"/>
      <c r="AA28" s="308">
        <v>0</v>
      </c>
      <c r="AB28" s="309">
        <v>5.4237493259877363</v>
      </c>
    </row>
    <row r="29" spans="1:33">
      <c r="A29" s="300" t="s">
        <v>616</v>
      </c>
      <c r="B29" s="310">
        <v>150</v>
      </c>
      <c r="C29" s="310">
        <v>635</v>
      </c>
      <c r="D29" s="310">
        <v>5.05</v>
      </c>
      <c r="E29" s="310">
        <v>12.877549325987736</v>
      </c>
      <c r="F29" s="311"/>
      <c r="G29" s="312" t="s">
        <v>573</v>
      </c>
      <c r="H29" s="300" t="s">
        <v>588</v>
      </c>
      <c r="I29" s="313"/>
      <c r="J29" s="306">
        <v>4.166666666666667</v>
      </c>
      <c r="K29" s="306">
        <v>635</v>
      </c>
      <c r="L29" s="306"/>
      <c r="M29" s="306"/>
      <c r="N29" s="306"/>
      <c r="O29" s="306"/>
      <c r="P29" s="314"/>
      <c r="Q29" s="315"/>
      <c r="R29" s="316">
        <v>0.14027777777777778</v>
      </c>
      <c r="S29" s="308">
        <v>7.4538000000000002</v>
      </c>
      <c r="T29" s="314"/>
      <c r="U29" s="314"/>
      <c r="V29" s="314"/>
      <c r="W29" s="314"/>
      <c r="X29" s="314"/>
      <c r="Y29" s="314"/>
      <c r="Z29" s="314"/>
      <c r="AA29" s="308">
        <v>0</v>
      </c>
      <c r="AB29" s="309">
        <v>5.4237493259877363</v>
      </c>
    </row>
    <row r="30" spans="1:33">
      <c r="A30" s="300" t="s">
        <v>617</v>
      </c>
      <c r="B30" s="310">
        <v>150</v>
      </c>
      <c r="C30" s="310">
        <v>810</v>
      </c>
      <c r="D30" s="310">
        <v>5.05</v>
      </c>
      <c r="E30" s="310">
        <v>12.877549325987736</v>
      </c>
      <c r="F30" s="311"/>
      <c r="G30" s="312" t="s">
        <v>573</v>
      </c>
      <c r="H30" s="300" t="s">
        <v>590</v>
      </c>
      <c r="I30" s="313"/>
      <c r="J30" s="306">
        <v>4.166666666666667</v>
      </c>
      <c r="K30" s="306">
        <v>810</v>
      </c>
      <c r="L30" s="306"/>
      <c r="M30" s="306"/>
      <c r="N30" s="306"/>
      <c r="O30" s="306"/>
      <c r="P30" s="314"/>
      <c r="Q30" s="315"/>
      <c r="R30" s="316">
        <v>0.14027777777777778</v>
      </c>
      <c r="S30" s="308">
        <v>7.4538000000000002</v>
      </c>
      <c r="T30" s="314"/>
      <c r="U30" s="314"/>
      <c r="V30" s="314"/>
      <c r="W30" s="314"/>
      <c r="X30" s="314"/>
      <c r="Y30" s="314"/>
      <c r="Z30" s="314"/>
      <c r="AA30" s="308">
        <v>0</v>
      </c>
      <c r="AB30" s="309">
        <v>5.4237493259877363</v>
      </c>
    </row>
    <row r="31" spans="1:33">
      <c r="A31" s="300" t="s">
        <v>618</v>
      </c>
      <c r="B31" s="310">
        <v>150</v>
      </c>
      <c r="C31" s="310">
        <v>1166</v>
      </c>
      <c r="D31" s="310">
        <v>5.05</v>
      </c>
      <c r="E31" s="310">
        <v>16.533749325987735</v>
      </c>
      <c r="F31" s="311"/>
      <c r="G31" s="312" t="s">
        <v>573</v>
      </c>
      <c r="H31" s="300" t="s">
        <v>592</v>
      </c>
      <c r="I31" s="313"/>
      <c r="J31" s="306">
        <v>4.166666666666667</v>
      </c>
      <c r="K31" s="306">
        <v>1166</v>
      </c>
      <c r="L31" s="306"/>
      <c r="M31" s="306"/>
      <c r="N31" s="306"/>
      <c r="O31" s="306"/>
      <c r="P31" s="314"/>
      <c r="Q31" s="315"/>
      <c r="R31" s="316">
        <v>0.14027777777777778</v>
      </c>
      <c r="S31" s="308">
        <v>11.11</v>
      </c>
      <c r="T31" s="314"/>
      <c r="U31" s="314"/>
      <c r="V31" s="314"/>
      <c r="W31" s="314"/>
      <c r="X31" s="314"/>
      <c r="Y31" s="314"/>
      <c r="Z31" s="314"/>
      <c r="AA31" s="308">
        <v>0</v>
      </c>
      <c r="AB31" s="309">
        <v>5.4237493259877363</v>
      </c>
    </row>
    <row r="32" spans="1:33">
      <c r="A32" s="300" t="s">
        <v>619</v>
      </c>
      <c r="B32" s="310">
        <v>150</v>
      </c>
      <c r="C32" s="310">
        <v>241</v>
      </c>
      <c r="D32" s="310">
        <v>5.05</v>
      </c>
      <c r="E32" s="310">
        <v>18.741830233092852</v>
      </c>
      <c r="F32" s="311"/>
      <c r="G32" s="312" t="s">
        <v>573</v>
      </c>
      <c r="H32" s="300" t="s">
        <v>594</v>
      </c>
      <c r="I32" s="313"/>
      <c r="J32" s="306">
        <v>4.166666666666667</v>
      </c>
      <c r="K32" s="306">
        <v>241</v>
      </c>
      <c r="L32" s="306"/>
      <c r="M32" s="306"/>
      <c r="N32" s="306"/>
      <c r="O32" s="306"/>
      <c r="P32" s="314"/>
      <c r="Q32" s="315"/>
      <c r="R32" s="316">
        <v>0.14027777777777778</v>
      </c>
      <c r="S32" s="308">
        <v>12.887599999999999</v>
      </c>
      <c r="T32" s="314"/>
      <c r="U32" s="314"/>
      <c r="V32" s="314"/>
      <c r="W32" s="314"/>
      <c r="X32" s="314"/>
      <c r="Y32" s="314"/>
      <c r="Z32" s="314"/>
      <c r="AA32" s="308">
        <v>0.43048090710511555</v>
      </c>
      <c r="AB32" s="309">
        <v>5.4237493259877363</v>
      </c>
    </row>
    <row r="33" spans="1:33">
      <c r="A33" s="300" t="s">
        <v>620</v>
      </c>
      <c r="B33" s="310">
        <v>150</v>
      </c>
      <c r="C33" s="310">
        <v>250</v>
      </c>
      <c r="D33" s="310">
        <v>5.05</v>
      </c>
      <c r="E33" s="310">
        <v>23.902930233092849</v>
      </c>
      <c r="F33" s="311"/>
      <c r="G33" s="312" t="s">
        <v>573</v>
      </c>
      <c r="H33" s="300" t="s">
        <v>596</v>
      </c>
      <c r="I33" s="313"/>
      <c r="J33" s="306">
        <v>4.166666666666667</v>
      </c>
      <c r="K33" s="306">
        <v>250</v>
      </c>
      <c r="L33" s="306"/>
      <c r="M33" s="306"/>
      <c r="N33" s="306"/>
      <c r="O33" s="306"/>
      <c r="P33" s="314"/>
      <c r="Q33" s="315"/>
      <c r="R33" s="316">
        <v>0.14027777777777778</v>
      </c>
      <c r="S33" s="308">
        <v>18.0487</v>
      </c>
      <c r="T33" s="314"/>
      <c r="U33" s="314"/>
      <c r="V33" s="314"/>
      <c r="W33" s="314"/>
      <c r="X33" s="314"/>
      <c r="Y33" s="314"/>
      <c r="Z33" s="314"/>
      <c r="AA33" s="308">
        <v>0.43048090710511555</v>
      </c>
      <c r="AB33" s="309">
        <v>5.4237493259877363</v>
      </c>
    </row>
    <row r="34" spans="1:33">
      <c r="A34" s="300" t="s">
        <v>621</v>
      </c>
      <c r="B34" s="310">
        <v>150</v>
      </c>
      <c r="C34" s="310">
        <v>363</v>
      </c>
      <c r="D34" s="310">
        <v>5.05</v>
      </c>
      <c r="E34" s="310">
        <v>29.053930233092849</v>
      </c>
      <c r="F34" s="311"/>
      <c r="G34" s="312" t="s">
        <v>573</v>
      </c>
      <c r="H34" s="300" t="s">
        <v>598</v>
      </c>
      <c r="I34" s="313"/>
      <c r="J34" s="306">
        <v>4.166666666666667</v>
      </c>
      <c r="K34" s="306">
        <v>363</v>
      </c>
      <c r="L34" s="306"/>
      <c r="M34" s="306"/>
      <c r="N34" s="306"/>
      <c r="O34" s="306"/>
      <c r="P34" s="314"/>
      <c r="Q34" s="315"/>
      <c r="R34" s="316">
        <v>0.14027777777777778</v>
      </c>
      <c r="S34" s="308">
        <v>23.1997</v>
      </c>
      <c r="T34" s="314"/>
      <c r="U34" s="314"/>
      <c r="V34" s="314"/>
      <c r="W34" s="314"/>
      <c r="X34" s="314"/>
      <c r="Y34" s="314"/>
      <c r="Z34" s="314"/>
      <c r="AA34" s="308">
        <v>0.43048090710511555</v>
      </c>
      <c r="AB34" s="309">
        <v>5.4237493259877363</v>
      </c>
    </row>
    <row r="35" spans="1:33">
      <c r="A35" s="300" t="s">
        <v>622</v>
      </c>
      <c r="B35" s="310">
        <v>150</v>
      </c>
      <c r="C35" s="310">
        <v>269</v>
      </c>
      <c r="D35" s="310">
        <v>5.05</v>
      </c>
      <c r="E35" s="310">
        <v>23.902930233092849</v>
      </c>
      <c r="F35" s="311"/>
      <c r="G35" s="312" t="s">
        <v>573</v>
      </c>
      <c r="H35" s="300" t="s">
        <v>600</v>
      </c>
      <c r="I35" s="313"/>
      <c r="J35" s="306">
        <v>4.166666666666667</v>
      </c>
      <c r="K35" s="306">
        <v>269</v>
      </c>
      <c r="L35" s="306"/>
      <c r="M35" s="306"/>
      <c r="N35" s="306"/>
      <c r="O35" s="306"/>
      <c r="P35" s="314"/>
      <c r="Q35" s="315"/>
      <c r="R35" s="316">
        <v>0.14027777777777778</v>
      </c>
      <c r="S35" s="308">
        <v>18.0487</v>
      </c>
      <c r="T35" s="314"/>
      <c r="U35" s="314"/>
      <c r="V35" s="314"/>
      <c r="W35" s="314"/>
      <c r="X35" s="314"/>
      <c r="Y35" s="314"/>
      <c r="Z35" s="314"/>
      <c r="AA35" s="308">
        <v>0.43048090710511555</v>
      </c>
      <c r="AB35" s="309">
        <v>5.4237493259877363</v>
      </c>
    </row>
    <row r="36" spans="1:33">
      <c r="A36" s="300" t="s">
        <v>623</v>
      </c>
      <c r="B36" s="310">
        <v>150</v>
      </c>
      <c r="C36" s="310">
        <v>427</v>
      </c>
      <c r="D36" s="310">
        <v>5.05</v>
      </c>
      <c r="E36" s="310">
        <v>34.215030233092847</v>
      </c>
      <c r="F36" s="311"/>
      <c r="G36" s="312" t="s">
        <v>573</v>
      </c>
      <c r="H36" s="300" t="s">
        <v>602</v>
      </c>
      <c r="I36" s="313"/>
      <c r="J36" s="306">
        <v>4.166666666666667</v>
      </c>
      <c r="K36" s="306">
        <v>427</v>
      </c>
      <c r="L36" s="306"/>
      <c r="M36" s="306"/>
      <c r="N36" s="306"/>
      <c r="O36" s="306"/>
      <c r="P36" s="314"/>
      <c r="Q36" s="315"/>
      <c r="R36" s="316">
        <v>0.14027777777777778</v>
      </c>
      <c r="S36" s="308">
        <v>28.360799999999998</v>
      </c>
      <c r="T36" s="314"/>
      <c r="U36" s="314"/>
      <c r="V36" s="314"/>
      <c r="W36" s="314"/>
      <c r="X36" s="314"/>
      <c r="Y36" s="314"/>
      <c r="Z36" s="314"/>
      <c r="AA36" s="308">
        <v>0.43048090710511555</v>
      </c>
      <c r="AB36" s="309">
        <v>5.4237493259877363</v>
      </c>
    </row>
    <row r="37" spans="1:33">
      <c r="A37" s="300" t="s">
        <v>624</v>
      </c>
      <c r="B37" s="310">
        <v>150</v>
      </c>
      <c r="C37" s="310">
        <v>474</v>
      </c>
      <c r="D37" s="310">
        <v>5.05</v>
      </c>
      <c r="E37" s="310">
        <v>29.053930233092849</v>
      </c>
      <c r="F37" s="311"/>
      <c r="G37" s="312" t="s">
        <v>573</v>
      </c>
      <c r="H37" s="300" t="s">
        <v>604</v>
      </c>
      <c r="I37" s="313"/>
      <c r="J37" s="306">
        <v>4.166666666666667</v>
      </c>
      <c r="K37" s="306">
        <v>474</v>
      </c>
      <c r="L37" s="306"/>
      <c r="M37" s="306"/>
      <c r="N37" s="306"/>
      <c r="O37" s="306"/>
      <c r="P37" s="314"/>
      <c r="Q37" s="315"/>
      <c r="R37" s="316">
        <v>0.14027777777777778</v>
      </c>
      <c r="S37" s="308">
        <v>23.1997</v>
      </c>
      <c r="T37" s="314"/>
      <c r="U37" s="314"/>
      <c r="V37" s="314"/>
      <c r="W37" s="314"/>
      <c r="X37" s="314"/>
      <c r="Y37" s="314"/>
      <c r="Z37" s="314"/>
      <c r="AA37" s="308">
        <v>0.43048090710511555</v>
      </c>
      <c r="AB37" s="309">
        <v>5.4237493259877363</v>
      </c>
      <c r="AG37"/>
    </row>
    <row r="38" spans="1:33">
      <c r="A38" s="300" t="s">
        <v>625</v>
      </c>
      <c r="B38" s="310">
        <v>150</v>
      </c>
      <c r="C38" s="310">
        <v>692</v>
      </c>
      <c r="D38" s="310">
        <v>5.05</v>
      </c>
      <c r="E38" s="310">
        <v>39.36603023309285</v>
      </c>
      <c r="F38" s="311"/>
      <c r="G38" s="312" t="s">
        <v>573</v>
      </c>
      <c r="H38" s="300" t="s">
        <v>606</v>
      </c>
      <c r="I38" s="313"/>
      <c r="J38" s="306">
        <v>4.166666666666667</v>
      </c>
      <c r="K38" s="306">
        <v>692</v>
      </c>
      <c r="L38" s="306"/>
      <c r="M38" s="306"/>
      <c r="N38" s="306"/>
      <c r="O38" s="306"/>
      <c r="P38" s="314"/>
      <c r="Q38" s="315"/>
      <c r="R38" s="316">
        <v>0.14027777777777778</v>
      </c>
      <c r="S38" s="308">
        <v>33.511800000000001</v>
      </c>
      <c r="T38" s="314"/>
      <c r="U38" s="314"/>
      <c r="V38" s="314"/>
      <c r="W38" s="314"/>
      <c r="X38" s="314"/>
      <c r="Y38" s="314"/>
      <c r="Z38" s="314"/>
      <c r="AA38" s="308">
        <v>0.43048090710511555</v>
      </c>
      <c r="AB38" s="309">
        <v>5.4237493259877363</v>
      </c>
    </row>
    <row r="39" spans="1:33">
      <c r="A39" s="300" t="s">
        <v>626</v>
      </c>
      <c r="B39" s="310">
        <v>150</v>
      </c>
      <c r="C39" s="310">
        <v>809</v>
      </c>
      <c r="D39" s="310">
        <v>5.05</v>
      </c>
      <c r="E39" s="310">
        <v>44.527130233092848</v>
      </c>
      <c r="F39" s="311"/>
      <c r="G39" s="312" t="s">
        <v>573</v>
      </c>
      <c r="H39" s="300" t="s">
        <v>608</v>
      </c>
      <c r="I39" s="313"/>
      <c r="J39" s="306">
        <v>4.166666666666667</v>
      </c>
      <c r="K39" s="306">
        <v>809</v>
      </c>
      <c r="L39" s="306"/>
      <c r="M39" s="306"/>
      <c r="N39" s="306"/>
      <c r="O39" s="306"/>
      <c r="P39" s="314"/>
      <c r="Q39" s="315"/>
      <c r="R39" s="316">
        <v>0.14027777777777778</v>
      </c>
      <c r="S39" s="308">
        <v>38.672899999999998</v>
      </c>
      <c r="T39" s="314"/>
      <c r="U39" s="314"/>
      <c r="V39" s="314"/>
      <c r="W39" s="314"/>
      <c r="X39" s="314"/>
      <c r="Y39" s="314"/>
      <c r="Z39" s="314"/>
      <c r="AA39" s="308">
        <v>0.43048090710511555</v>
      </c>
      <c r="AB39" s="309">
        <v>5.4237493259877363</v>
      </c>
    </row>
    <row r="40" spans="1:33">
      <c r="A40" s="300" t="s">
        <v>627</v>
      </c>
      <c r="B40" s="310">
        <v>150</v>
      </c>
      <c r="C40" s="310">
        <v>94</v>
      </c>
      <c r="D40" s="310">
        <v>5.05</v>
      </c>
      <c r="E40" s="310">
        <v>12.877549325987736</v>
      </c>
      <c r="F40" s="311"/>
      <c r="G40" s="312" t="s">
        <v>573</v>
      </c>
      <c r="H40" s="300" t="s">
        <v>574</v>
      </c>
      <c r="I40" s="313"/>
      <c r="J40" s="306">
        <v>4.166666666666667</v>
      </c>
      <c r="K40" s="306">
        <v>94</v>
      </c>
      <c r="L40" s="306"/>
      <c r="M40" s="306"/>
      <c r="N40" s="306"/>
      <c r="O40" s="306"/>
      <c r="P40" s="314"/>
      <c r="Q40" s="315"/>
      <c r="R40" s="316">
        <v>0.14027777777777778</v>
      </c>
      <c r="S40" s="308">
        <v>7.4538000000000002</v>
      </c>
      <c r="T40" s="314"/>
      <c r="U40" s="314"/>
      <c r="V40" s="314"/>
      <c r="W40" s="314"/>
      <c r="X40" s="314"/>
      <c r="Y40" s="314"/>
      <c r="Z40" s="314"/>
      <c r="AA40" s="308">
        <v>0</v>
      </c>
      <c r="AB40" s="309">
        <v>5.4237493259877363</v>
      </c>
    </row>
    <row r="41" spans="1:33">
      <c r="A41" s="300" t="s">
        <v>628</v>
      </c>
      <c r="B41" s="310">
        <v>150</v>
      </c>
      <c r="C41" s="310">
        <v>285</v>
      </c>
      <c r="D41" s="310">
        <v>5.05</v>
      </c>
      <c r="E41" s="310">
        <v>12.877549325987736</v>
      </c>
      <c r="F41" s="311"/>
      <c r="G41" s="312" t="s">
        <v>573</v>
      </c>
      <c r="H41" s="300" t="s">
        <v>576</v>
      </c>
      <c r="I41" s="313"/>
      <c r="J41" s="306">
        <v>4.166666666666667</v>
      </c>
      <c r="K41" s="306">
        <v>285</v>
      </c>
      <c r="L41" s="306"/>
      <c r="M41" s="306"/>
      <c r="N41" s="306"/>
      <c r="O41" s="306"/>
      <c r="P41" s="314"/>
      <c r="Q41" s="315"/>
      <c r="R41" s="316">
        <v>0.14027777777777778</v>
      </c>
      <c r="S41" s="308">
        <v>7.4538000000000002</v>
      </c>
      <c r="T41" s="314"/>
      <c r="U41" s="314"/>
      <c r="V41" s="314"/>
      <c r="W41" s="314"/>
      <c r="X41" s="314"/>
      <c r="Y41" s="314"/>
      <c r="Z41" s="314"/>
      <c r="AA41" s="308">
        <v>0</v>
      </c>
      <c r="AB41" s="309">
        <v>5.4237493259877363</v>
      </c>
    </row>
    <row r="42" spans="1:33">
      <c r="A42" s="300" t="s">
        <v>629</v>
      </c>
      <c r="B42" s="310">
        <v>150</v>
      </c>
      <c r="C42" s="310">
        <v>100</v>
      </c>
      <c r="D42" s="310">
        <v>5.05</v>
      </c>
      <c r="E42" s="310">
        <v>12.877549325987736</v>
      </c>
      <c r="F42" s="311"/>
      <c r="G42" s="312" t="s">
        <v>573</v>
      </c>
      <c r="H42" s="300" t="s">
        <v>578</v>
      </c>
      <c r="I42" s="313"/>
      <c r="J42" s="306">
        <v>4.166666666666667</v>
      </c>
      <c r="K42" s="306">
        <v>100</v>
      </c>
      <c r="L42" s="306"/>
      <c r="M42" s="306"/>
      <c r="N42" s="306"/>
      <c r="O42" s="306"/>
      <c r="P42" s="314"/>
      <c r="Q42" s="315"/>
      <c r="R42" s="316">
        <v>0.14027777777777778</v>
      </c>
      <c r="S42" s="308">
        <v>7.4538000000000002</v>
      </c>
      <c r="T42" s="314"/>
      <c r="U42" s="314"/>
      <c r="V42" s="314"/>
      <c r="W42" s="314"/>
      <c r="X42" s="314"/>
      <c r="Y42" s="314"/>
      <c r="Z42" s="314"/>
      <c r="AA42" s="308">
        <v>0</v>
      </c>
      <c r="AB42" s="309">
        <v>5.4237493259877363</v>
      </c>
    </row>
    <row r="43" spans="1:33">
      <c r="A43" s="300" t="s">
        <v>630</v>
      </c>
      <c r="B43" s="310">
        <v>150</v>
      </c>
      <c r="C43" s="310">
        <v>105</v>
      </c>
      <c r="D43" s="310">
        <v>5.05</v>
      </c>
      <c r="E43" s="310">
        <v>12.877549325987736</v>
      </c>
      <c r="F43" s="311"/>
      <c r="G43" s="312" t="s">
        <v>573</v>
      </c>
      <c r="H43" s="300" t="s">
        <v>580</v>
      </c>
      <c r="I43" s="313"/>
      <c r="J43" s="306">
        <v>4.166666666666667</v>
      </c>
      <c r="K43" s="306">
        <v>105</v>
      </c>
      <c r="L43" s="306"/>
      <c r="M43" s="306"/>
      <c r="N43" s="306"/>
      <c r="O43" s="306"/>
      <c r="P43" s="314"/>
      <c r="Q43" s="315"/>
      <c r="R43" s="316">
        <v>0.14027777777777778</v>
      </c>
      <c r="S43" s="308">
        <v>7.4538000000000002</v>
      </c>
      <c r="T43" s="314"/>
      <c r="U43" s="314"/>
      <c r="V43" s="314"/>
      <c r="W43" s="314"/>
      <c r="X43" s="314"/>
      <c r="Y43" s="314"/>
      <c r="Z43" s="314"/>
      <c r="AA43" s="308">
        <v>0</v>
      </c>
      <c r="AB43" s="309">
        <v>5.4237493259877363</v>
      </c>
    </row>
    <row r="44" spans="1:33">
      <c r="A44" s="300" t="s">
        <v>631</v>
      </c>
      <c r="B44" s="310">
        <v>150</v>
      </c>
      <c r="C44" s="310">
        <v>199</v>
      </c>
      <c r="D44" s="310">
        <v>5.05</v>
      </c>
      <c r="E44" s="310">
        <v>12.877549325987736</v>
      </c>
      <c r="F44" s="311"/>
      <c r="G44" s="312" t="s">
        <v>573</v>
      </c>
      <c r="H44" s="300" t="s">
        <v>582</v>
      </c>
      <c r="I44" s="313"/>
      <c r="J44" s="306">
        <v>4.166666666666667</v>
      </c>
      <c r="K44" s="306">
        <v>199</v>
      </c>
      <c r="L44" s="306"/>
      <c r="M44" s="306"/>
      <c r="N44" s="306"/>
      <c r="O44" s="306"/>
      <c r="P44" s="314"/>
      <c r="Q44" s="315"/>
      <c r="R44" s="316">
        <v>0.14027777777777778</v>
      </c>
      <c r="S44" s="308">
        <v>7.4538000000000002</v>
      </c>
      <c r="T44" s="314"/>
      <c r="U44" s="314"/>
      <c r="V44" s="314"/>
      <c r="W44" s="314"/>
      <c r="X44" s="314"/>
      <c r="Y44" s="314"/>
      <c r="Z44" s="314"/>
      <c r="AA44" s="308">
        <v>0</v>
      </c>
      <c r="AB44" s="309">
        <v>5.4237493259877363</v>
      </c>
    </row>
    <row r="45" spans="1:33">
      <c r="A45" s="300" t="s">
        <v>632</v>
      </c>
      <c r="B45" s="310">
        <v>150</v>
      </c>
      <c r="C45" s="310">
        <v>232</v>
      </c>
      <c r="D45" s="310">
        <v>5.05</v>
      </c>
      <c r="E45" s="310">
        <v>12.877549325987736</v>
      </c>
      <c r="F45" s="311"/>
      <c r="G45" s="312" t="s">
        <v>573</v>
      </c>
      <c r="H45" s="300" t="s">
        <v>584</v>
      </c>
      <c r="I45" s="313"/>
      <c r="J45" s="306">
        <v>4.166666666666667</v>
      </c>
      <c r="K45" s="306">
        <v>232</v>
      </c>
      <c r="L45" s="306"/>
      <c r="M45" s="306"/>
      <c r="N45" s="306"/>
      <c r="O45" s="306"/>
      <c r="P45" s="314"/>
      <c r="Q45" s="315"/>
      <c r="R45" s="316">
        <v>0.14027777777777778</v>
      </c>
      <c r="S45" s="308">
        <v>7.4538000000000002</v>
      </c>
      <c r="T45" s="314"/>
      <c r="U45" s="314"/>
      <c r="V45" s="314"/>
      <c r="W45" s="314"/>
      <c r="X45" s="314"/>
      <c r="Y45" s="314"/>
      <c r="Z45" s="314"/>
      <c r="AA45" s="308">
        <v>0</v>
      </c>
      <c r="AB45" s="309">
        <v>5.4237493259877363</v>
      </c>
    </row>
    <row r="46" spans="1:33">
      <c r="A46" s="300" t="s">
        <v>633</v>
      </c>
      <c r="B46" s="310">
        <v>150</v>
      </c>
      <c r="C46" s="310">
        <v>270</v>
      </c>
      <c r="D46" s="310">
        <v>5.05</v>
      </c>
      <c r="E46" s="310">
        <v>12.877549325987736</v>
      </c>
      <c r="F46" s="311"/>
      <c r="G46" s="312" t="s">
        <v>573</v>
      </c>
      <c r="H46" s="300" t="s">
        <v>586</v>
      </c>
      <c r="I46" s="313"/>
      <c r="J46" s="306">
        <v>4.166666666666667</v>
      </c>
      <c r="K46" s="306">
        <v>270</v>
      </c>
      <c r="L46" s="306"/>
      <c r="M46" s="306"/>
      <c r="N46" s="306"/>
      <c r="O46" s="306"/>
      <c r="P46" s="314"/>
      <c r="Q46" s="315"/>
      <c r="R46" s="316">
        <v>0.14027777777777778</v>
      </c>
      <c r="S46" s="308">
        <v>7.4538000000000002</v>
      </c>
      <c r="T46" s="314"/>
      <c r="U46" s="314"/>
      <c r="V46" s="314"/>
      <c r="W46" s="314"/>
      <c r="X46" s="314"/>
      <c r="Y46" s="314"/>
      <c r="Z46" s="314"/>
      <c r="AA46" s="308">
        <v>0</v>
      </c>
      <c r="AB46" s="309">
        <v>5.4237493259877363</v>
      </c>
    </row>
    <row r="47" spans="1:33">
      <c r="A47" s="300" t="s">
        <v>634</v>
      </c>
      <c r="B47" s="310">
        <v>150</v>
      </c>
      <c r="C47" s="310">
        <v>635</v>
      </c>
      <c r="D47" s="310">
        <v>5.05</v>
      </c>
      <c r="E47" s="310">
        <v>12.877549325987736</v>
      </c>
      <c r="F47" s="311"/>
      <c r="G47" s="312" t="s">
        <v>573</v>
      </c>
      <c r="H47" s="300" t="s">
        <v>588</v>
      </c>
      <c r="I47" s="313"/>
      <c r="J47" s="306">
        <v>4.166666666666667</v>
      </c>
      <c r="K47" s="306">
        <v>635</v>
      </c>
      <c r="L47" s="306"/>
      <c r="M47" s="306"/>
      <c r="N47" s="306"/>
      <c r="O47" s="306"/>
      <c r="P47" s="314"/>
      <c r="Q47" s="315"/>
      <c r="R47" s="316">
        <v>0.14027777777777778</v>
      </c>
      <c r="S47" s="308">
        <v>7.4538000000000002</v>
      </c>
      <c r="T47" s="314"/>
      <c r="U47" s="314"/>
      <c r="V47" s="314"/>
      <c r="W47" s="314"/>
      <c r="X47" s="314"/>
      <c r="Y47" s="314"/>
      <c r="Z47" s="314"/>
      <c r="AA47" s="308">
        <v>0</v>
      </c>
      <c r="AB47" s="309">
        <v>5.4237493259877363</v>
      </c>
    </row>
    <row r="48" spans="1:33">
      <c r="A48" s="300" t="s">
        <v>635</v>
      </c>
      <c r="B48" s="310">
        <v>150</v>
      </c>
      <c r="C48" s="310">
        <v>810</v>
      </c>
      <c r="D48" s="310">
        <v>5.05</v>
      </c>
      <c r="E48" s="310">
        <v>12.877549325987736</v>
      </c>
      <c r="F48" s="311"/>
      <c r="G48" s="312" t="s">
        <v>573</v>
      </c>
      <c r="H48" s="300" t="s">
        <v>590</v>
      </c>
      <c r="I48" s="313"/>
      <c r="J48" s="306">
        <v>4.166666666666667</v>
      </c>
      <c r="K48" s="306">
        <v>810</v>
      </c>
      <c r="L48" s="306"/>
      <c r="M48" s="306"/>
      <c r="N48" s="306"/>
      <c r="O48" s="306"/>
      <c r="P48" s="314"/>
      <c r="Q48" s="315"/>
      <c r="R48" s="316">
        <v>0.14027777777777778</v>
      </c>
      <c r="S48" s="308">
        <v>7.4538000000000002</v>
      </c>
      <c r="T48" s="314"/>
      <c r="U48" s="314"/>
      <c r="V48" s="314"/>
      <c r="W48" s="314"/>
      <c r="X48" s="314"/>
      <c r="Y48" s="314"/>
      <c r="Z48" s="314"/>
      <c r="AA48" s="308">
        <v>0</v>
      </c>
      <c r="AB48" s="309">
        <v>5.4237493259877363</v>
      </c>
    </row>
    <row r="49" spans="1:33">
      <c r="A49" s="300" t="s">
        <v>636</v>
      </c>
      <c r="B49" s="310">
        <v>150</v>
      </c>
      <c r="C49" s="310">
        <v>1166</v>
      </c>
      <c r="D49" s="310">
        <v>5.05</v>
      </c>
      <c r="E49" s="310">
        <v>16.533749325987735</v>
      </c>
      <c r="F49" s="311"/>
      <c r="G49" s="312" t="s">
        <v>573</v>
      </c>
      <c r="H49" s="300" t="s">
        <v>592</v>
      </c>
      <c r="I49" s="313"/>
      <c r="J49" s="306">
        <v>4.166666666666667</v>
      </c>
      <c r="K49" s="306">
        <v>1166</v>
      </c>
      <c r="L49" s="306"/>
      <c r="M49" s="306"/>
      <c r="N49" s="306"/>
      <c r="O49" s="306"/>
      <c r="P49" s="314"/>
      <c r="Q49" s="315"/>
      <c r="R49" s="316">
        <v>0.14027777777777778</v>
      </c>
      <c r="S49" s="308">
        <v>11.11</v>
      </c>
      <c r="T49" s="314"/>
      <c r="U49" s="314"/>
      <c r="V49" s="314"/>
      <c r="W49" s="314"/>
      <c r="X49" s="314"/>
      <c r="Y49" s="314"/>
      <c r="Z49" s="314"/>
      <c r="AA49" s="308">
        <v>0</v>
      </c>
      <c r="AB49" s="309">
        <v>5.4237493259877363</v>
      </c>
    </row>
    <row r="50" spans="1:33">
      <c r="A50" s="300" t="s">
        <v>637</v>
      </c>
      <c r="B50" s="310">
        <v>150</v>
      </c>
      <c r="C50" s="310">
        <v>241</v>
      </c>
      <c r="D50" s="310">
        <v>5.05</v>
      </c>
      <c r="E50" s="310">
        <v>18.741830233092852</v>
      </c>
      <c r="F50" s="311"/>
      <c r="G50" s="312" t="s">
        <v>573</v>
      </c>
      <c r="H50" s="300" t="s">
        <v>594</v>
      </c>
      <c r="I50" s="313"/>
      <c r="J50" s="306">
        <v>4.166666666666667</v>
      </c>
      <c r="K50" s="306">
        <v>241</v>
      </c>
      <c r="L50" s="306"/>
      <c r="M50" s="306"/>
      <c r="N50" s="306"/>
      <c r="O50" s="306"/>
      <c r="P50" s="314"/>
      <c r="Q50" s="315"/>
      <c r="R50" s="316">
        <v>0.14027777777777778</v>
      </c>
      <c r="S50" s="308">
        <v>12.887599999999999</v>
      </c>
      <c r="T50" s="314"/>
      <c r="U50" s="314"/>
      <c r="V50" s="314"/>
      <c r="W50" s="314"/>
      <c r="X50" s="314"/>
      <c r="Y50" s="314"/>
      <c r="Z50" s="314"/>
      <c r="AA50" s="308">
        <v>0.43048090710511555</v>
      </c>
      <c r="AB50" s="309">
        <v>5.4237493259877363</v>
      </c>
    </row>
    <row r="51" spans="1:33">
      <c r="A51" s="300" t="s">
        <v>638</v>
      </c>
      <c r="B51" s="310">
        <v>150</v>
      </c>
      <c r="C51" s="310">
        <v>250</v>
      </c>
      <c r="D51" s="310">
        <v>5.05</v>
      </c>
      <c r="E51" s="310">
        <v>23.902930233092849</v>
      </c>
      <c r="F51" s="311"/>
      <c r="G51" s="312" t="s">
        <v>573</v>
      </c>
      <c r="H51" s="300" t="s">
        <v>596</v>
      </c>
      <c r="I51" s="313"/>
      <c r="J51" s="306">
        <v>4.166666666666667</v>
      </c>
      <c r="K51" s="306">
        <v>250</v>
      </c>
      <c r="L51" s="306"/>
      <c r="M51" s="306"/>
      <c r="N51" s="306"/>
      <c r="O51" s="306"/>
      <c r="P51" s="314"/>
      <c r="Q51" s="315"/>
      <c r="R51" s="316">
        <v>0.14027777777777778</v>
      </c>
      <c r="S51" s="308">
        <v>18.0487</v>
      </c>
      <c r="T51" s="314"/>
      <c r="U51" s="314"/>
      <c r="V51" s="314"/>
      <c r="W51" s="314"/>
      <c r="X51" s="314"/>
      <c r="Y51" s="314"/>
      <c r="Z51" s="314"/>
      <c r="AA51" s="308">
        <v>0.43048090710511555</v>
      </c>
      <c r="AB51" s="309">
        <v>5.4237493259877363</v>
      </c>
    </row>
    <row r="52" spans="1:33">
      <c r="A52" s="300" t="s">
        <v>639</v>
      </c>
      <c r="B52" s="310">
        <v>150</v>
      </c>
      <c r="C52" s="310">
        <v>363</v>
      </c>
      <c r="D52" s="310">
        <v>5.05</v>
      </c>
      <c r="E52" s="310">
        <v>29.053930233092849</v>
      </c>
      <c r="F52" s="311"/>
      <c r="G52" s="312" t="s">
        <v>573</v>
      </c>
      <c r="H52" s="300" t="s">
        <v>598</v>
      </c>
      <c r="I52" s="313"/>
      <c r="J52" s="306">
        <v>4.166666666666667</v>
      </c>
      <c r="K52" s="306">
        <v>363</v>
      </c>
      <c r="L52" s="306"/>
      <c r="M52" s="306"/>
      <c r="N52" s="306"/>
      <c r="O52" s="306"/>
      <c r="P52" s="314"/>
      <c r="Q52" s="315"/>
      <c r="R52" s="316">
        <v>0.14027777777777778</v>
      </c>
      <c r="S52" s="308">
        <v>23.1997</v>
      </c>
      <c r="T52" s="314"/>
      <c r="U52" s="314"/>
      <c r="V52" s="314"/>
      <c r="W52" s="314"/>
      <c r="X52" s="314"/>
      <c r="Y52" s="314"/>
      <c r="Z52" s="314"/>
      <c r="AA52" s="308">
        <v>0.43048090710511555</v>
      </c>
      <c r="AB52" s="309">
        <v>5.4237493259877363</v>
      </c>
    </row>
    <row r="53" spans="1:33">
      <c r="A53" s="300" t="s">
        <v>640</v>
      </c>
      <c r="B53" s="310">
        <v>150</v>
      </c>
      <c r="C53" s="310">
        <v>269</v>
      </c>
      <c r="D53" s="310">
        <v>5.05</v>
      </c>
      <c r="E53" s="310">
        <v>23.902930233092849</v>
      </c>
      <c r="F53" s="311"/>
      <c r="G53" s="312" t="s">
        <v>573</v>
      </c>
      <c r="H53" s="300" t="s">
        <v>600</v>
      </c>
      <c r="I53" s="313"/>
      <c r="J53" s="306">
        <v>4.166666666666667</v>
      </c>
      <c r="K53" s="306">
        <v>269</v>
      </c>
      <c r="L53" s="306"/>
      <c r="M53" s="306"/>
      <c r="N53" s="306"/>
      <c r="O53" s="306"/>
      <c r="P53" s="314"/>
      <c r="Q53" s="315"/>
      <c r="R53" s="316">
        <v>0.14027777777777778</v>
      </c>
      <c r="S53" s="308">
        <v>18.0487</v>
      </c>
      <c r="T53" s="314"/>
      <c r="U53" s="314"/>
      <c r="V53" s="314"/>
      <c r="W53" s="314"/>
      <c r="X53" s="314"/>
      <c r="Y53" s="314"/>
      <c r="Z53" s="314"/>
      <c r="AA53" s="308">
        <v>0.43048090710511555</v>
      </c>
      <c r="AB53" s="309">
        <v>5.4237493259877363</v>
      </c>
    </row>
    <row r="54" spans="1:33">
      <c r="A54" s="300" t="s">
        <v>641</v>
      </c>
      <c r="B54" s="310">
        <v>150</v>
      </c>
      <c r="C54" s="310">
        <v>427</v>
      </c>
      <c r="D54" s="310">
        <v>5.05</v>
      </c>
      <c r="E54" s="310">
        <v>34.215030233092847</v>
      </c>
      <c r="F54" s="311"/>
      <c r="G54" s="312" t="s">
        <v>573</v>
      </c>
      <c r="H54" s="300" t="s">
        <v>602</v>
      </c>
      <c r="I54" s="313"/>
      <c r="J54" s="306">
        <v>4.166666666666667</v>
      </c>
      <c r="K54" s="306">
        <v>427</v>
      </c>
      <c r="L54" s="306"/>
      <c r="M54" s="306"/>
      <c r="N54" s="306"/>
      <c r="O54" s="306"/>
      <c r="P54" s="314"/>
      <c r="Q54" s="315"/>
      <c r="R54" s="316">
        <v>0.14027777777777778</v>
      </c>
      <c r="S54" s="308">
        <v>28.360799999999998</v>
      </c>
      <c r="T54" s="314"/>
      <c r="U54" s="314"/>
      <c r="V54" s="314"/>
      <c r="W54" s="314"/>
      <c r="X54" s="314"/>
      <c r="Y54" s="314"/>
      <c r="Z54" s="314"/>
      <c r="AA54" s="308">
        <v>0.43048090710511555</v>
      </c>
      <c r="AB54" s="309">
        <v>5.4237493259877363</v>
      </c>
    </row>
    <row r="55" spans="1:33">
      <c r="A55" s="300" t="s">
        <v>642</v>
      </c>
      <c r="B55" s="310">
        <v>150</v>
      </c>
      <c r="C55" s="310">
        <v>474</v>
      </c>
      <c r="D55" s="310">
        <v>5.05</v>
      </c>
      <c r="E55" s="310">
        <v>29.053930233092849</v>
      </c>
      <c r="F55" s="311"/>
      <c r="G55" s="312" t="s">
        <v>573</v>
      </c>
      <c r="H55" s="300" t="s">
        <v>604</v>
      </c>
      <c r="I55" s="313"/>
      <c r="J55" s="306">
        <v>4.166666666666667</v>
      </c>
      <c r="K55" s="306">
        <v>474</v>
      </c>
      <c r="L55" s="306"/>
      <c r="M55" s="306"/>
      <c r="N55" s="306"/>
      <c r="O55" s="306"/>
      <c r="P55" s="314"/>
      <c r="Q55" s="315"/>
      <c r="R55" s="316">
        <v>0.14027777777777778</v>
      </c>
      <c r="S55" s="308">
        <v>23.1997</v>
      </c>
      <c r="T55" s="314"/>
      <c r="U55" s="314"/>
      <c r="V55" s="314"/>
      <c r="W55" s="314"/>
      <c r="X55" s="314"/>
      <c r="Y55" s="314"/>
      <c r="Z55" s="314"/>
      <c r="AA55" s="308">
        <v>0.43048090710511555</v>
      </c>
      <c r="AB55" s="309">
        <v>5.4237493259877363</v>
      </c>
      <c r="AG55"/>
    </row>
    <row r="56" spans="1:33">
      <c r="A56" s="300" t="s">
        <v>643</v>
      </c>
      <c r="B56" s="310">
        <v>150</v>
      </c>
      <c r="C56" s="310">
        <v>692</v>
      </c>
      <c r="D56" s="310">
        <v>5.05</v>
      </c>
      <c r="E56" s="310">
        <v>39.36603023309285</v>
      </c>
      <c r="F56" s="311"/>
      <c r="G56" s="312" t="s">
        <v>573</v>
      </c>
      <c r="H56" s="300" t="s">
        <v>606</v>
      </c>
      <c r="I56" s="313"/>
      <c r="J56" s="306">
        <v>4.166666666666667</v>
      </c>
      <c r="K56" s="306">
        <v>692</v>
      </c>
      <c r="L56" s="306"/>
      <c r="M56" s="306"/>
      <c r="N56" s="306"/>
      <c r="O56" s="306"/>
      <c r="P56" s="314"/>
      <c r="Q56" s="315"/>
      <c r="R56" s="316">
        <v>0.14027777777777778</v>
      </c>
      <c r="S56" s="308">
        <v>33.511800000000001</v>
      </c>
      <c r="T56" s="314"/>
      <c r="U56" s="314"/>
      <c r="V56" s="314"/>
      <c r="W56" s="314"/>
      <c r="X56" s="314"/>
      <c r="Y56" s="314"/>
      <c r="Z56" s="314"/>
      <c r="AA56" s="308">
        <v>0.43048090710511555</v>
      </c>
      <c r="AB56" s="309">
        <v>5.4237493259877363</v>
      </c>
      <c r="AG56"/>
    </row>
    <row r="57" spans="1:33">
      <c r="A57" s="300" t="s">
        <v>644</v>
      </c>
      <c r="B57" s="310">
        <v>150</v>
      </c>
      <c r="C57" s="310">
        <v>809</v>
      </c>
      <c r="D57" s="310">
        <v>5.05</v>
      </c>
      <c r="E57" s="310">
        <v>44.527130233092848</v>
      </c>
      <c r="F57" s="311"/>
      <c r="G57" s="312" t="s">
        <v>573</v>
      </c>
      <c r="H57" s="300" t="s">
        <v>608</v>
      </c>
      <c r="I57" s="313"/>
      <c r="J57" s="306">
        <v>4.166666666666667</v>
      </c>
      <c r="K57" s="306">
        <v>809</v>
      </c>
      <c r="L57" s="306"/>
      <c r="M57" s="306"/>
      <c r="N57" s="306"/>
      <c r="O57" s="306"/>
      <c r="P57" s="314"/>
      <c r="Q57" s="315"/>
      <c r="R57" s="316">
        <v>0.14027777777777778</v>
      </c>
      <c r="S57" s="308">
        <v>38.672899999999998</v>
      </c>
      <c r="T57" s="314"/>
      <c r="U57" s="314"/>
      <c r="V57" s="314"/>
      <c r="W57" s="314"/>
      <c r="X57" s="314"/>
      <c r="Y57" s="314"/>
      <c r="Z57" s="314"/>
      <c r="AA57" s="308">
        <v>0.43048090710511555</v>
      </c>
      <c r="AB57" s="309">
        <v>5.4237493259877363</v>
      </c>
      <c r="AG57"/>
    </row>
    <row r="58" spans="1:33">
      <c r="A58" s="435" t="s">
        <v>645</v>
      </c>
      <c r="B58" s="310">
        <v>225</v>
      </c>
      <c r="C58" s="310">
        <v>122.5</v>
      </c>
      <c r="D58" s="310">
        <v>49.489999999999995</v>
      </c>
      <c r="E58" s="310">
        <v>19.190000000000001</v>
      </c>
      <c r="F58" s="311"/>
      <c r="G58" s="312" t="s">
        <v>646</v>
      </c>
      <c r="H58" s="300" t="s">
        <v>153</v>
      </c>
      <c r="I58" s="318" t="s">
        <v>122</v>
      </c>
      <c r="J58" s="306"/>
      <c r="K58" s="306"/>
      <c r="L58" s="306">
        <v>6.25</v>
      </c>
      <c r="M58" s="306">
        <v>122.5</v>
      </c>
      <c r="N58" s="306"/>
      <c r="O58" s="306"/>
      <c r="P58" s="314"/>
      <c r="Q58" s="315"/>
      <c r="R58" s="316"/>
      <c r="S58" s="316"/>
      <c r="T58" s="314">
        <v>1.3747222222222222</v>
      </c>
      <c r="U58" s="314">
        <v>19.190000000000001</v>
      </c>
      <c r="V58" s="314"/>
      <c r="W58" s="314"/>
      <c r="X58" s="314"/>
      <c r="Y58" s="314"/>
      <c r="Z58" s="314"/>
      <c r="AA58" s="319"/>
      <c r="AB58" s="320"/>
      <c r="AG58"/>
    </row>
    <row r="59" spans="1:33">
      <c r="A59" s="317" t="s">
        <v>647</v>
      </c>
      <c r="B59" s="310">
        <v>225</v>
      </c>
      <c r="C59" s="310">
        <v>122.5</v>
      </c>
      <c r="D59" s="310">
        <v>50.5</v>
      </c>
      <c r="E59" s="310">
        <v>19.190000000000001</v>
      </c>
      <c r="F59" s="311"/>
      <c r="G59" s="312" t="s">
        <v>646</v>
      </c>
      <c r="H59" s="300" t="s">
        <v>153</v>
      </c>
      <c r="I59" s="318" t="s">
        <v>121</v>
      </c>
      <c r="J59" s="306"/>
      <c r="K59" s="306"/>
      <c r="L59" s="306">
        <v>6.25</v>
      </c>
      <c r="M59" s="306">
        <v>122.5</v>
      </c>
      <c r="N59" s="306"/>
      <c r="O59" s="306"/>
      <c r="P59" s="314"/>
      <c r="Q59" s="315"/>
      <c r="R59" s="314"/>
      <c r="S59" s="314"/>
      <c r="T59" s="314">
        <v>1.4027777777777777</v>
      </c>
      <c r="U59" s="314">
        <v>19.190000000000001</v>
      </c>
      <c r="V59" s="316"/>
      <c r="W59" s="314"/>
      <c r="X59" s="314"/>
      <c r="Y59" s="314"/>
      <c r="Z59" s="314"/>
      <c r="AA59" s="319"/>
      <c r="AB59" s="320"/>
      <c r="AG59"/>
    </row>
    <row r="60" spans="1:33">
      <c r="A60" s="317" t="s">
        <v>648</v>
      </c>
      <c r="B60" s="311"/>
      <c r="C60" s="310">
        <v>0</v>
      </c>
      <c r="D60" s="311"/>
      <c r="E60" s="310">
        <v>0</v>
      </c>
      <c r="F60" s="311"/>
      <c r="G60" s="312" t="s">
        <v>649</v>
      </c>
      <c r="H60" s="300" t="s">
        <v>32</v>
      </c>
      <c r="I60" s="313" t="s">
        <v>650</v>
      </c>
      <c r="J60" s="306"/>
      <c r="K60" s="306"/>
      <c r="L60" s="306"/>
      <c r="M60" s="306"/>
      <c r="N60" s="306">
        <v>0</v>
      </c>
      <c r="O60" s="306"/>
      <c r="P60" s="314"/>
      <c r="Q60" s="315"/>
      <c r="R60" s="314"/>
      <c r="S60" s="314"/>
      <c r="T60" s="314"/>
      <c r="U60" s="314"/>
      <c r="V60" s="316">
        <v>0</v>
      </c>
      <c r="W60" s="314"/>
      <c r="X60" s="314"/>
      <c r="Y60" s="314"/>
      <c r="Z60" s="314"/>
      <c r="AA60" s="319"/>
      <c r="AB60" s="320"/>
      <c r="AG60"/>
    </row>
    <row r="61" spans="1:33">
      <c r="A61" s="317" t="s">
        <v>651</v>
      </c>
      <c r="B61" s="311"/>
      <c r="C61" s="310">
        <v>40</v>
      </c>
      <c r="D61" s="311"/>
      <c r="E61" s="310">
        <v>8.4536999999999995</v>
      </c>
      <c r="F61" s="311"/>
      <c r="G61" s="312" t="s">
        <v>649</v>
      </c>
      <c r="H61" s="300" t="s">
        <v>34</v>
      </c>
      <c r="I61" s="313" t="s">
        <v>652</v>
      </c>
      <c r="J61" s="306"/>
      <c r="K61" s="306"/>
      <c r="L61" s="306"/>
      <c r="M61" s="306"/>
      <c r="N61" s="306">
        <v>40</v>
      </c>
      <c r="O61" s="306"/>
      <c r="P61" s="306"/>
      <c r="Q61" s="315"/>
      <c r="R61" s="314"/>
      <c r="S61" s="314"/>
      <c r="T61" s="314"/>
      <c r="U61" s="314"/>
      <c r="V61" s="316">
        <v>8.4536999999999995</v>
      </c>
      <c r="W61" s="306"/>
      <c r="X61" s="306"/>
      <c r="Y61" s="306"/>
      <c r="Z61" s="306"/>
      <c r="AA61" s="319"/>
      <c r="AB61" s="320"/>
      <c r="AG61"/>
    </row>
    <row r="62" spans="1:33">
      <c r="A62" s="317" t="s">
        <v>653</v>
      </c>
      <c r="B62" s="311"/>
      <c r="C62" s="310">
        <v>0</v>
      </c>
      <c r="D62" s="311"/>
      <c r="E62" s="310">
        <v>0</v>
      </c>
      <c r="F62" s="311"/>
      <c r="G62" s="312" t="s">
        <v>649</v>
      </c>
      <c r="H62" s="300" t="s">
        <v>32</v>
      </c>
      <c r="I62" s="313" t="s">
        <v>654</v>
      </c>
      <c r="J62" s="306"/>
      <c r="K62" s="306"/>
      <c r="L62" s="306"/>
      <c r="M62" s="306"/>
      <c r="N62" s="306">
        <v>0</v>
      </c>
      <c r="O62" s="306"/>
      <c r="P62" s="306"/>
      <c r="Q62" s="315"/>
      <c r="R62" s="314"/>
      <c r="S62" s="314"/>
      <c r="T62" s="314"/>
      <c r="U62" s="314"/>
      <c r="V62" s="316">
        <v>0</v>
      </c>
      <c r="W62" s="306"/>
      <c r="X62" s="306"/>
      <c r="Y62" s="306"/>
      <c r="Z62" s="306"/>
      <c r="AA62" s="319"/>
      <c r="AB62" s="320"/>
      <c r="AG62"/>
    </row>
    <row r="63" spans="1:33">
      <c r="A63" s="317" t="s">
        <v>655</v>
      </c>
      <c r="B63" s="311"/>
      <c r="C63" s="310">
        <v>40</v>
      </c>
      <c r="D63" s="311"/>
      <c r="E63" s="310">
        <v>15.15</v>
      </c>
      <c r="F63" s="311"/>
      <c r="G63" s="312" t="s">
        <v>649</v>
      </c>
      <c r="H63" s="300" t="s">
        <v>34</v>
      </c>
      <c r="I63" s="313" t="s">
        <v>656</v>
      </c>
      <c r="J63" s="306"/>
      <c r="K63" s="306"/>
      <c r="L63" s="306"/>
      <c r="M63" s="306"/>
      <c r="N63" s="306">
        <v>40</v>
      </c>
      <c r="O63" s="306"/>
      <c r="P63" s="306"/>
      <c r="Q63" s="315"/>
      <c r="R63" s="314"/>
      <c r="S63" s="314"/>
      <c r="T63" s="314"/>
      <c r="U63" s="314"/>
      <c r="V63" s="316">
        <v>15.15</v>
      </c>
      <c r="W63" s="306"/>
      <c r="X63" s="306"/>
      <c r="Y63" s="306"/>
      <c r="Z63" s="306"/>
      <c r="AA63" s="319"/>
      <c r="AB63" s="320"/>
      <c r="AG63"/>
    </row>
    <row r="64" spans="1:33">
      <c r="A64" s="300" t="s">
        <v>657</v>
      </c>
      <c r="B64" s="310">
        <v>650</v>
      </c>
      <c r="C64" s="311"/>
      <c r="D64" s="310">
        <v>389.27</v>
      </c>
      <c r="E64" s="311"/>
      <c r="F64" s="311"/>
      <c r="G64" s="312" t="s">
        <v>658</v>
      </c>
      <c r="H64" s="300" t="s">
        <v>659</v>
      </c>
      <c r="I64" s="313"/>
      <c r="J64" s="306"/>
      <c r="K64" s="306"/>
      <c r="L64" s="306"/>
      <c r="M64" s="306"/>
      <c r="N64" s="306"/>
      <c r="O64" s="306">
        <v>18.055555555555557</v>
      </c>
      <c r="P64" s="306"/>
      <c r="Q64" s="315"/>
      <c r="R64" s="314"/>
      <c r="S64" s="314"/>
      <c r="T64" s="314"/>
      <c r="U64" s="314"/>
      <c r="V64" s="314"/>
      <c r="W64" s="306">
        <v>10.813055555555556</v>
      </c>
      <c r="X64" s="306"/>
      <c r="Y64" s="306"/>
      <c r="Z64" s="306"/>
      <c r="AA64" s="319"/>
      <c r="AB64" s="320"/>
      <c r="AG64"/>
    </row>
    <row r="65" spans="1:33">
      <c r="A65" s="300" t="s">
        <v>660</v>
      </c>
      <c r="B65" s="310">
        <v>1075</v>
      </c>
      <c r="C65" s="311"/>
      <c r="D65" s="310">
        <v>884.26800000000003</v>
      </c>
      <c r="E65" s="311"/>
      <c r="F65" s="311"/>
      <c r="G65" s="312" t="s">
        <v>658</v>
      </c>
      <c r="H65" s="300" t="s">
        <v>661</v>
      </c>
      <c r="I65" s="313"/>
      <c r="J65" s="306"/>
      <c r="K65" s="306"/>
      <c r="L65" s="306"/>
      <c r="M65" s="306"/>
      <c r="N65" s="306"/>
      <c r="O65" s="306">
        <v>29.861111111111111</v>
      </c>
      <c r="P65" s="306"/>
      <c r="Q65" s="315"/>
      <c r="R65" s="314"/>
      <c r="S65" s="314"/>
      <c r="T65" s="314"/>
      <c r="U65" s="314"/>
      <c r="V65" s="314"/>
      <c r="W65" s="306">
        <v>24.563000000000002</v>
      </c>
      <c r="X65" s="306"/>
      <c r="Y65" s="306"/>
      <c r="Z65" s="306"/>
      <c r="AA65" s="319"/>
      <c r="AB65" s="320"/>
      <c r="AG65"/>
    </row>
    <row r="66" spans="1:33">
      <c r="A66" s="300" t="s">
        <v>662</v>
      </c>
      <c r="B66" s="310">
        <v>2600</v>
      </c>
      <c r="C66" s="311"/>
      <c r="D66" s="310">
        <v>2141.2440000000001</v>
      </c>
      <c r="E66" s="311"/>
      <c r="F66" s="311"/>
      <c r="G66" s="312" t="s">
        <v>658</v>
      </c>
      <c r="H66" s="300" t="s">
        <v>663</v>
      </c>
      <c r="I66" s="313"/>
      <c r="J66" s="306"/>
      <c r="K66" s="306"/>
      <c r="L66" s="306"/>
      <c r="M66" s="306"/>
      <c r="N66" s="306"/>
      <c r="O66" s="306">
        <v>72.222222222222229</v>
      </c>
      <c r="P66" s="306"/>
      <c r="Q66" s="315"/>
      <c r="R66" s="314"/>
      <c r="S66" s="314"/>
      <c r="T66" s="314"/>
      <c r="U66" s="314"/>
      <c r="V66" s="314"/>
      <c r="W66" s="306">
        <v>59.479000000000006</v>
      </c>
      <c r="X66" s="306"/>
      <c r="Y66" s="306"/>
      <c r="Z66" s="306"/>
      <c r="AA66" s="319"/>
      <c r="AB66" s="320"/>
      <c r="AG66"/>
    </row>
    <row r="67" spans="1:33">
      <c r="A67" s="300" t="s">
        <v>664</v>
      </c>
      <c r="B67" s="310">
        <v>5400</v>
      </c>
      <c r="C67" s="311"/>
      <c r="D67" s="310">
        <v>4004.7840000000006</v>
      </c>
      <c r="E67" s="311"/>
      <c r="F67" s="311"/>
      <c r="G67" s="312" t="s">
        <v>658</v>
      </c>
      <c r="H67" s="300" t="s">
        <v>665</v>
      </c>
      <c r="I67" s="313"/>
      <c r="J67" s="306"/>
      <c r="K67" s="306"/>
      <c r="L67" s="306"/>
      <c r="M67" s="306"/>
      <c r="N67" s="306"/>
      <c r="O67" s="306">
        <v>150</v>
      </c>
      <c r="P67" s="306"/>
      <c r="Q67" s="315"/>
      <c r="R67" s="314"/>
      <c r="S67" s="314"/>
      <c r="T67" s="314"/>
      <c r="U67" s="314"/>
      <c r="V67" s="314"/>
      <c r="W67" s="306">
        <v>111.24400000000001</v>
      </c>
      <c r="X67" s="306"/>
      <c r="Y67" s="306"/>
      <c r="Z67" s="306"/>
      <c r="AA67" s="319"/>
      <c r="AB67" s="320"/>
      <c r="AG67"/>
    </row>
    <row r="68" spans="1:33">
      <c r="A68" s="300" t="s">
        <v>666</v>
      </c>
      <c r="B68" s="311"/>
      <c r="C68" s="310">
        <v>5</v>
      </c>
      <c r="D68" s="311"/>
      <c r="E68" s="310">
        <v>4.1396873484665964</v>
      </c>
      <c r="F68" s="311"/>
      <c r="G68" s="312" t="s">
        <v>667</v>
      </c>
      <c r="H68" s="300" t="s">
        <v>668</v>
      </c>
      <c r="I68" s="313"/>
      <c r="J68" s="306"/>
      <c r="K68" s="306"/>
      <c r="L68" s="306"/>
      <c r="M68" s="306"/>
      <c r="N68" s="306"/>
      <c r="O68" s="306"/>
      <c r="P68" s="306">
        <v>5</v>
      </c>
      <c r="Q68" s="315"/>
      <c r="R68" s="314"/>
      <c r="S68" s="314"/>
      <c r="T68" s="314"/>
      <c r="U68" s="314"/>
      <c r="V68" s="314"/>
      <c r="W68" s="314"/>
      <c r="X68" s="306">
        <v>4.1396873484665964</v>
      </c>
      <c r="Y68" s="306"/>
      <c r="Z68" s="306"/>
      <c r="AA68" s="319"/>
      <c r="AB68" s="320"/>
      <c r="AG68"/>
    </row>
    <row r="69" spans="1:33">
      <c r="A69" s="300" t="s">
        <v>669</v>
      </c>
      <c r="B69" s="311"/>
      <c r="C69" s="310">
        <v>5</v>
      </c>
      <c r="D69" s="311"/>
      <c r="E69" s="310">
        <v>4.1396873484665964</v>
      </c>
      <c r="F69" s="311"/>
      <c r="G69" s="312" t="s">
        <v>667</v>
      </c>
      <c r="H69" s="300" t="s">
        <v>670</v>
      </c>
      <c r="I69" s="313"/>
      <c r="J69" s="306"/>
      <c r="K69" s="306"/>
      <c r="L69" s="306"/>
      <c r="M69" s="306"/>
      <c r="N69" s="306"/>
      <c r="O69" s="306"/>
      <c r="P69" s="306">
        <v>5</v>
      </c>
      <c r="Q69" s="315"/>
      <c r="R69" s="314"/>
      <c r="S69" s="314"/>
      <c r="T69" s="314"/>
      <c r="U69" s="314"/>
      <c r="V69" s="314"/>
      <c r="W69" s="314"/>
      <c r="X69" s="306">
        <v>4.1396873484665964</v>
      </c>
      <c r="Y69" s="306"/>
      <c r="Z69" s="306"/>
      <c r="AA69" s="319"/>
      <c r="AB69" s="320"/>
      <c r="AG69"/>
    </row>
    <row r="70" spans="1:33">
      <c r="A70" s="300" t="s">
        <v>671</v>
      </c>
      <c r="B70" s="311"/>
      <c r="C70" s="310">
        <v>5</v>
      </c>
      <c r="D70" s="311"/>
      <c r="E70" s="310">
        <v>4.1396873484665964</v>
      </c>
      <c r="F70" s="311"/>
      <c r="G70" s="312" t="s">
        <v>667</v>
      </c>
      <c r="H70" s="300" t="s">
        <v>672</v>
      </c>
      <c r="I70" s="313"/>
      <c r="J70" s="306"/>
      <c r="K70" s="306"/>
      <c r="L70" s="306"/>
      <c r="M70" s="306"/>
      <c r="N70" s="306"/>
      <c r="O70" s="306"/>
      <c r="P70" s="306">
        <v>5</v>
      </c>
      <c r="Q70" s="315"/>
      <c r="R70" s="314"/>
      <c r="S70" s="314"/>
      <c r="T70" s="314"/>
      <c r="U70" s="314"/>
      <c r="V70" s="314"/>
      <c r="W70" s="314"/>
      <c r="X70" s="306">
        <v>4.1396873484665964</v>
      </c>
      <c r="Y70" s="306"/>
      <c r="Z70" s="306"/>
      <c r="AA70" s="319"/>
      <c r="AB70" s="320"/>
      <c r="AG70"/>
    </row>
    <row r="71" spans="1:33">
      <c r="A71" s="300" t="s">
        <v>673</v>
      </c>
      <c r="B71" s="311"/>
      <c r="C71" s="310">
        <v>5</v>
      </c>
      <c r="D71" s="311"/>
      <c r="E71" s="310">
        <v>4.1396873484665964</v>
      </c>
      <c r="F71" s="311"/>
      <c r="G71" s="312" t="s">
        <v>667</v>
      </c>
      <c r="H71" s="300" t="s">
        <v>674</v>
      </c>
      <c r="I71" s="313"/>
      <c r="J71" s="306"/>
      <c r="K71" s="306"/>
      <c r="L71" s="306"/>
      <c r="M71" s="306"/>
      <c r="N71" s="306"/>
      <c r="O71" s="306"/>
      <c r="P71" s="306">
        <v>5</v>
      </c>
      <c r="Q71" s="315"/>
      <c r="R71" s="314"/>
      <c r="S71" s="314"/>
      <c r="T71" s="314"/>
      <c r="U71" s="314"/>
      <c r="V71" s="314"/>
      <c r="W71" s="314"/>
      <c r="X71" s="306">
        <v>4.1396873484665964</v>
      </c>
      <c r="Y71" s="306"/>
      <c r="Z71" s="306"/>
      <c r="AA71" s="319"/>
      <c r="AB71" s="320"/>
      <c r="AG71"/>
    </row>
    <row r="72" spans="1:33">
      <c r="A72" s="300" t="s">
        <v>675</v>
      </c>
      <c r="B72" s="311"/>
      <c r="C72" s="310">
        <v>20</v>
      </c>
      <c r="D72" s="311"/>
      <c r="E72" s="310">
        <v>5.1513137787634857</v>
      </c>
      <c r="F72" s="311"/>
      <c r="G72" s="312" t="s">
        <v>667</v>
      </c>
      <c r="H72" s="300" t="s">
        <v>676</v>
      </c>
      <c r="I72" s="313"/>
      <c r="J72" s="306"/>
      <c r="K72" s="306"/>
      <c r="L72" s="306"/>
      <c r="M72" s="306"/>
      <c r="N72" s="306"/>
      <c r="O72" s="306"/>
      <c r="P72" s="306">
        <v>20</v>
      </c>
      <c r="Q72" s="315"/>
      <c r="R72" s="314"/>
      <c r="S72" s="314"/>
      <c r="T72" s="314"/>
      <c r="U72" s="314"/>
      <c r="V72" s="314"/>
      <c r="W72" s="314"/>
      <c r="X72" s="306">
        <v>5.1513137787634857</v>
      </c>
      <c r="Y72" s="306"/>
      <c r="Z72" s="306"/>
      <c r="AA72" s="319"/>
      <c r="AB72" s="320"/>
      <c r="AG72"/>
    </row>
    <row r="73" spans="1:33">
      <c r="A73" s="300" t="s">
        <v>677</v>
      </c>
      <c r="B73" s="311"/>
      <c r="C73" s="310" t="s">
        <v>147</v>
      </c>
      <c r="D73" s="311"/>
      <c r="E73" s="310">
        <v>5.1513137787634857</v>
      </c>
      <c r="F73" s="311"/>
      <c r="G73" s="312" t="s">
        <v>667</v>
      </c>
      <c r="H73" s="300" t="s">
        <v>678</v>
      </c>
      <c r="I73" s="313"/>
      <c r="J73" s="306"/>
      <c r="K73" s="306"/>
      <c r="L73" s="306"/>
      <c r="M73" s="306"/>
      <c r="N73" s="306"/>
      <c r="O73" s="306"/>
      <c r="P73" s="306" t="s">
        <v>147</v>
      </c>
      <c r="Q73" s="315"/>
      <c r="R73" s="314"/>
      <c r="S73" s="314"/>
      <c r="T73" s="314"/>
      <c r="U73" s="314"/>
      <c r="V73" s="314"/>
      <c r="W73" s="314"/>
      <c r="X73" s="306">
        <v>5.1513137787634857</v>
      </c>
      <c r="Y73" s="306"/>
      <c r="Z73" s="306"/>
      <c r="AA73" s="319"/>
      <c r="AB73" s="320"/>
      <c r="AG73"/>
    </row>
    <row r="74" spans="1:33">
      <c r="A74" s="300" t="s">
        <v>679</v>
      </c>
      <c r="B74" s="311"/>
      <c r="C74" s="310" t="s">
        <v>147</v>
      </c>
      <c r="D74" s="311"/>
      <c r="E74" s="310">
        <v>5.1513137787634857</v>
      </c>
      <c r="F74" s="311"/>
      <c r="G74" s="312" t="s">
        <v>667</v>
      </c>
      <c r="H74" s="300" t="s">
        <v>680</v>
      </c>
      <c r="I74" s="313"/>
      <c r="J74" s="306"/>
      <c r="K74" s="306"/>
      <c r="L74" s="306"/>
      <c r="M74" s="306"/>
      <c r="N74" s="306"/>
      <c r="O74" s="306"/>
      <c r="P74" s="306" t="s">
        <v>147</v>
      </c>
      <c r="Q74" s="315"/>
      <c r="R74" s="314"/>
      <c r="S74" s="314"/>
      <c r="T74" s="314"/>
      <c r="U74" s="314"/>
      <c r="V74" s="314"/>
      <c r="W74" s="314"/>
      <c r="X74" s="306">
        <v>5.1513137787634857</v>
      </c>
      <c r="Y74" s="306"/>
      <c r="Z74" s="306"/>
      <c r="AA74" s="319"/>
      <c r="AB74" s="320"/>
      <c r="AG74"/>
    </row>
    <row r="75" spans="1:33">
      <c r="A75" s="300" t="s">
        <v>681</v>
      </c>
      <c r="B75" s="311"/>
      <c r="C75" s="310" t="s">
        <v>147</v>
      </c>
      <c r="D75" s="311"/>
      <c r="E75" s="310">
        <v>5.1513137787634857</v>
      </c>
      <c r="F75" s="311"/>
      <c r="G75" s="312" t="s">
        <v>667</v>
      </c>
      <c r="H75" s="300" t="s">
        <v>682</v>
      </c>
      <c r="I75" s="313"/>
      <c r="J75" s="306"/>
      <c r="K75" s="306"/>
      <c r="L75" s="306"/>
      <c r="M75" s="306"/>
      <c r="N75" s="306"/>
      <c r="O75" s="306"/>
      <c r="P75" s="306" t="s">
        <v>147</v>
      </c>
      <c r="Q75" s="315"/>
      <c r="R75" s="314"/>
      <c r="S75" s="314"/>
      <c r="T75" s="314"/>
      <c r="U75" s="314"/>
      <c r="V75" s="314"/>
      <c r="W75" s="314"/>
      <c r="X75" s="306">
        <v>5.1513137787634857</v>
      </c>
      <c r="Y75" s="306"/>
      <c r="Z75" s="306"/>
      <c r="AA75" s="319"/>
      <c r="AB75" s="320"/>
      <c r="AG75"/>
    </row>
    <row r="76" spans="1:33" s="324" customFormat="1">
      <c r="A76" s="317" t="s">
        <v>683</v>
      </c>
      <c r="B76" s="321">
        <v>100</v>
      </c>
      <c r="C76" s="321">
        <v>10</v>
      </c>
      <c r="D76" s="321">
        <v>5.05</v>
      </c>
      <c r="E76" s="321">
        <v>0.43058190710511557</v>
      </c>
      <c r="F76" s="321"/>
      <c r="G76" s="322" t="s">
        <v>684</v>
      </c>
      <c r="H76" s="317" t="s">
        <v>43</v>
      </c>
      <c r="I76" s="323" t="s">
        <v>685</v>
      </c>
      <c r="J76" s="323"/>
      <c r="K76" s="308"/>
      <c r="L76" s="308"/>
      <c r="M76" s="308"/>
      <c r="N76" s="308"/>
      <c r="O76" s="308"/>
      <c r="P76" s="308"/>
      <c r="Q76" s="320"/>
      <c r="R76" s="316"/>
      <c r="S76" s="316"/>
      <c r="T76" s="316"/>
      <c r="U76" s="316"/>
      <c r="V76" s="316"/>
      <c r="W76" s="316"/>
      <c r="X76" s="308"/>
      <c r="Y76" s="308"/>
      <c r="Z76" s="321">
        <v>1.01E-4</v>
      </c>
      <c r="AA76" s="308">
        <v>0.43048090710511555</v>
      </c>
      <c r="AB76" s="309">
        <v>0</v>
      </c>
      <c r="AG76" s="203"/>
    </row>
    <row r="77" spans="1:33" s="324" customFormat="1">
      <c r="A77" s="317" t="s">
        <v>686</v>
      </c>
      <c r="B77" s="321">
        <v>100</v>
      </c>
      <c r="C77" s="321">
        <v>35</v>
      </c>
      <c r="D77" s="321">
        <v>5.05</v>
      </c>
      <c r="E77" s="321">
        <v>0.43058190710511557</v>
      </c>
      <c r="F77" s="321"/>
      <c r="G77" s="322" t="s">
        <v>684</v>
      </c>
      <c r="H77" s="317" t="s">
        <v>48</v>
      </c>
      <c r="I77" s="323" t="s">
        <v>685</v>
      </c>
      <c r="J77" s="323"/>
      <c r="K77" s="308"/>
      <c r="L77" s="308"/>
      <c r="M77" s="308"/>
      <c r="N77" s="308"/>
      <c r="O77" s="308"/>
      <c r="P77" s="308"/>
      <c r="Q77" s="320"/>
      <c r="R77" s="316"/>
      <c r="S77" s="316"/>
      <c r="T77" s="316"/>
      <c r="U77" s="316"/>
      <c r="V77" s="316"/>
      <c r="W77" s="316"/>
      <c r="X77" s="316"/>
      <c r="Y77" s="308"/>
      <c r="Z77" s="321">
        <v>1.01E-4</v>
      </c>
      <c r="AA77" s="308">
        <v>0.43048090710511555</v>
      </c>
      <c r="AB77" s="309">
        <v>0</v>
      </c>
      <c r="AG77" s="203"/>
    </row>
    <row r="78" spans="1:33" s="324" customFormat="1">
      <c r="A78" s="317" t="s">
        <v>687</v>
      </c>
      <c r="B78" s="321">
        <v>100</v>
      </c>
      <c r="C78" s="321">
        <v>50</v>
      </c>
      <c r="D78" s="321">
        <v>5.05</v>
      </c>
      <c r="E78" s="321">
        <v>9.1972809071051156</v>
      </c>
      <c r="F78" s="321"/>
      <c r="G78" s="322" t="s">
        <v>684</v>
      </c>
      <c r="H78" s="317" t="s">
        <v>79</v>
      </c>
      <c r="I78" s="323" t="s">
        <v>688</v>
      </c>
      <c r="J78" s="323"/>
      <c r="K78" s="308"/>
      <c r="L78" s="308"/>
      <c r="M78" s="308"/>
      <c r="N78" s="308"/>
      <c r="O78" s="308"/>
      <c r="P78" s="308"/>
      <c r="Q78" s="320"/>
      <c r="R78" s="316"/>
      <c r="S78" s="316"/>
      <c r="T78" s="316"/>
      <c r="U78" s="316"/>
      <c r="V78" s="316"/>
      <c r="W78" s="316"/>
      <c r="X78" s="316"/>
      <c r="Y78" s="308"/>
      <c r="Z78" s="321">
        <v>8.7667999999999999</v>
      </c>
      <c r="AA78" s="308">
        <v>0.43048090710511555</v>
      </c>
      <c r="AB78" s="309">
        <v>0</v>
      </c>
      <c r="AG78" s="203"/>
    </row>
    <row r="79" spans="1:33" s="324" customFormat="1">
      <c r="A79" s="317" t="s">
        <v>689</v>
      </c>
      <c r="B79" s="321">
        <v>100</v>
      </c>
      <c r="C79" s="321">
        <v>60</v>
      </c>
      <c r="D79" s="321">
        <v>5.05</v>
      </c>
      <c r="E79" s="321">
        <v>10.742580907105117</v>
      </c>
      <c r="F79" s="321"/>
      <c r="G79" s="322" t="s">
        <v>684</v>
      </c>
      <c r="H79" s="317" t="s">
        <v>80</v>
      </c>
      <c r="I79" s="323" t="s">
        <v>690</v>
      </c>
      <c r="J79" s="323"/>
      <c r="K79" s="308"/>
      <c r="L79" s="308"/>
      <c r="M79" s="308"/>
      <c r="N79" s="308"/>
      <c r="O79" s="308"/>
      <c r="P79" s="308"/>
      <c r="Q79" s="320"/>
      <c r="R79" s="316"/>
      <c r="S79" s="316"/>
      <c r="T79" s="316"/>
      <c r="U79" s="316"/>
      <c r="V79" s="316"/>
      <c r="W79" s="316"/>
      <c r="X79" s="316"/>
      <c r="Y79" s="308"/>
      <c r="Z79" s="321">
        <v>10.312100000000001</v>
      </c>
      <c r="AA79" s="308">
        <v>0.43048090710511555</v>
      </c>
      <c r="AB79" s="309">
        <v>0</v>
      </c>
      <c r="AG79" s="203"/>
    </row>
    <row r="80" spans="1:33" s="324" customFormat="1">
      <c r="A80" s="317" t="s">
        <v>691</v>
      </c>
      <c r="B80" s="321">
        <v>100</v>
      </c>
      <c r="C80" s="321">
        <v>95</v>
      </c>
      <c r="D80" s="321">
        <v>5.05</v>
      </c>
      <c r="E80" s="321">
        <v>13.318080907105115</v>
      </c>
      <c r="F80" s="321"/>
      <c r="G80" s="322" t="s">
        <v>684</v>
      </c>
      <c r="H80" s="317" t="s">
        <v>66</v>
      </c>
      <c r="I80" s="323" t="s">
        <v>692</v>
      </c>
      <c r="J80" s="323"/>
      <c r="K80" s="308"/>
      <c r="L80" s="308"/>
      <c r="M80" s="308"/>
      <c r="N80" s="308"/>
      <c r="O80" s="308"/>
      <c r="P80" s="308"/>
      <c r="Q80" s="320"/>
      <c r="R80" s="316"/>
      <c r="S80" s="316"/>
      <c r="T80" s="316"/>
      <c r="U80" s="316"/>
      <c r="V80" s="316"/>
      <c r="W80" s="316"/>
      <c r="X80" s="316"/>
      <c r="Y80" s="308"/>
      <c r="Z80" s="321">
        <v>12.887599999999999</v>
      </c>
      <c r="AA80" s="308">
        <v>0.43048090710511555</v>
      </c>
      <c r="AB80" s="309">
        <v>0</v>
      </c>
      <c r="AG80" s="203"/>
    </row>
    <row r="81" spans="1:33" s="324" customFormat="1">
      <c r="A81" s="317" t="s">
        <v>693</v>
      </c>
      <c r="B81" s="321">
        <v>100</v>
      </c>
      <c r="C81" s="321">
        <v>145</v>
      </c>
      <c r="D81" s="321">
        <v>5.05</v>
      </c>
      <c r="E81" s="321">
        <v>18.479180907105114</v>
      </c>
      <c r="F81" s="321"/>
      <c r="G81" s="322" t="s">
        <v>684</v>
      </c>
      <c r="H81" s="317" t="s">
        <v>68</v>
      </c>
      <c r="I81" s="323" t="s">
        <v>694</v>
      </c>
      <c r="J81" s="323"/>
      <c r="K81" s="308"/>
      <c r="L81" s="308"/>
      <c r="M81" s="308"/>
      <c r="N81" s="308"/>
      <c r="O81" s="308"/>
      <c r="P81" s="308"/>
      <c r="Q81" s="320"/>
      <c r="R81" s="316"/>
      <c r="S81" s="316"/>
      <c r="T81" s="316"/>
      <c r="U81" s="316"/>
      <c r="V81" s="316"/>
      <c r="W81" s="316"/>
      <c r="X81" s="316"/>
      <c r="Y81" s="308"/>
      <c r="Z81" s="321">
        <v>18.0487</v>
      </c>
      <c r="AA81" s="308">
        <v>0.43048090710511555</v>
      </c>
      <c r="AB81" s="309">
        <v>0</v>
      </c>
      <c r="AG81" s="203"/>
    </row>
    <row r="82" spans="1:33" s="324" customFormat="1">
      <c r="A82" s="317" t="s">
        <v>695</v>
      </c>
      <c r="B82" s="321">
        <v>100</v>
      </c>
      <c r="C82" s="321">
        <v>185</v>
      </c>
      <c r="D82" s="321">
        <v>5.05</v>
      </c>
      <c r="E82" s="321">
        <v>23.630180907105114</v>
      </c>
      <c r="F82" s="321"/>
      <c r="G82" s="322" t="s">
        <v>684</v>
      </c>
      <c r="H82" s="317" t="s">
        <v>82</v>
      </c>
      <c r="I82" s="323" t="s">
        <v>696</v>
      </c>
      <c r="J82" s="323"/>
      <c r="K82" s="308"/>
      <c r="L82" s="308"/>
      <c r="M82" s="308"/>
      <c r="N82" s="308"/>
      <c r="O82" s="308"/>
      <c r="P82" s="308"/>
      <c r="Q82" s="320"/>
      <c r="R82" s="316"/>
      <c r="S82" s="316"/>
      <c r="T82" s="316"/>
      <c r="U82" s="316"/>
      <c r="V82" s="316"/>
      <c r="W82" s="316"/>
      <c r="X82" s="316"/>
      <c r="Y82" s="308"/>
      <c r="Z82" s="321">
        <v>23.1997</v>
      </c>
      <c r="AA82" s="308">
        <v>0.43048090710511555</v>
      </c>
      <c r="AB82" s="309">
        <v>0</v>
      </c>
      <c r="AG82" s="203"/>
    </row>
    <row r="83" spans="1:33" s="324" customFormat="1">
      <c r="A83" s="317" t="s">
        <v>697</v>
      </c>
      <c r="B83" s="321">
        <v>100</v>
      </c>
      <c r="C83" s="321">
        <v>225</v>
      </c>
      <c r="D83" s="321">
        <v>5.05</v>
      </c>
      <c r="E83" s="321">
        <v>28.791280907105111</v>
      </c>
      <c r="F83" s="321"/>
      <c r="G83" s="322" t="s">
        <v>684</v>
      </c>
      <c r="H83" s="317" t="s">
        <v>83</v>
      </c>
      <c r="I83" s="323" t="s">
        <v>698</v>
      </c>
      <c r="J83" s="323"/>
      <c r="K83" s="308"/>
      <c r="L83" s="308"/>
      <c r="M83" s="308"/>
      <c r="N83" s="308"/>
      <c r="O83" s="308"/>
      <c r="P83" s="308"/>
      <c r="Q83" s="320"/>
      <c r="R83" s="316"/>
      <c r="S83" s="316"/>
      <c r="T83" s="316"/>
      <c r="U83" s="316"/>
      <c r="V83" s="316"/>
      <c r="W83" s="316"/>
      <c r="X83" s="316"/>
      <c r="Y83" s="308"/>
      <c r="Z83" s="321">
        <v>28.360799999999998</v>
      </c>
      <c r="AA83" s="308">
        <v>0.43048090710511555</v>
      </c>
      <c r="AB83" s="309">
        <v>0</v>
      </c>
      <c r="AG83" s="203"/>
    </row>
    <row r="84" spans="1:33" s="324" customFormat="1">
      <c r="A84" s="317" t="s">
        <v>699</v>
      </c>
      <c r="B84" s="321">
        <v>100</v>
      </c>
      <c r="C84" s="321">
        <v>265</v>
      </c>
      <c r="D84" s="321">
        <v>5.05</v>
      </c>
      <c r="E84" s="321">
        <v>33.942280907105115</v>
      </c>
      <c r="F84" s="321"/>
      <c r="G84" s="322" t="s">
        <v>684</v>
      </c>
      <c r="H84" s="317" t="s">
        <v>94</v>
      </c>
      <c r="I84" s="323" t="s">
        <v>700</v>
      </c>
      <c r="J84" s="323"/>
      <c r="K84" s="308"/>
      <c r="L84" s="308"/>
      <c r="M84" s="308"/>
      <c r="N84" s="308"/>
      <c r="O84" s="308"/>
      <c r="P84" s="308"/>
      <c r="Q84" s="320"/>
      <c r="R84" s="316"/>
      <c r="S84" s="316"/>
      <c r="T84" s="316"/>
      <c r="U84" s="316"/>
      <c r="V84" s="316"/>
      <c r="W84" s="316"/>
      <c r="X84" s="316"/>
      <c r="Y84" s="308"/>
      <c r="Z84" s="321">
        <v>33.511800000000001</v>
      </c>
      <c r="AA84" s="308">
        <v>0.43048090710511555</v>
      </c>
      <c r="AB84" s="309">
        <v>0</v>
      </c>
      <c r="AG84" s="203"/>
    </row>
    <row r="85" spans="1:33" s="324" customFormat="1">
      <c r="A85" s="317" t="s">
        <v>701</v>
      </c>
      <c r="B85" s="321">
        <v>100</v>
      </c>
      <c r="C85" s="321">
        <v>10</v>
      </c>
      <c r="D85" s="321">
        <v>5.05</v>
      </c>
      <c r="E85" s="321">
        <v>0.43058190710511557</v>
      </c>
      <c r="F85" s="321"/>
      <c r="G85" s="322" t="s">
        <v>684</v>
      </c>
      <c r="H85" s="317" t="s">
        <v>43</v>
      </c>
      <c r="I85" s="323" t="s">
        <v>685</v>
      </c>
      <c r="J85" s="323"/>
      <c r="K85" s="308"/>
      <c r="L85" s="308"/>
      <c r="M85" s="308"/>
      <c r="N85" s="308"/>
      <c r="O85" s="308"/>
      <c r="P85" s="308"/>
      <c r="Q85" s="320"/>
      <c r="R85" s="316"/>
      <c r="S85" s="316"/>
      <c r="T85" s="316"/>
      <c r="U85" s="316"/>
      <c r="V85" s="316"/>
      <c r="W85" s="316"/>
      <c r="X85" s="308"/>
      <c r="Y85" s="308"/>
      <c r="Z85" s="321">
        <v>1.01E-4</v>
      </c>
      <c r="AA85" s="308">
        <v>0.43048090710511555</v>
      </c>
      <c r="AB85" s="309">
        <v>0</v>
      </c>
      <c r="AG85" s="203"/>
    </row>
    <row r="86" spans="1:33" s="324" customFormat="1">
      <c r="A86" s="317" t="s">
        <v>702</v>
      </c>
      <c r="B86" s="321">
        <v>100</v>
      </c>
      <c r="C86" s="321">
        <v>35</v>
      </c>
      <c r="D86" s="321">
        <v>5.05</v>
      </c>
      <c r="E86" s="321">
        <v>0.43058190710511557</v>
      </c>
      <c r="F86" s="321"/>
      <c r="G86" s="322" t="s">
        <v>684</v>
      </c>
      <c r="H86" s="317" t="s">
        <v>48</v>
      </c>
      <c r="I86" s="323" t="s">
        <v>685</v>
      </c>
      <c r="J86" s="323"/>
      <c r="K86" s="308"/>
      <c r="L86" s="308"/>
      <c r="M86" s="308"/>
      <c r="N86" s="308"/>
      <c r="O86" s="308"/>
      <c r="P86" s="308"/>
      <c r="Q86" s="320"/>
      <c r="R86" s="316"/>
      <c r="S86" s="316"/>
      <c r="T86" s="316"/>
      <c r="U86" s="316"/>
      <c r="V86" s="316"/>
      <c r="W86" s="316"/>
      <c r="X86" s="316"/>
      <c r="Y86" s="308"/>
      <c r="Z86" s="321">
        <v>1.01E-4</v>
      </c>
      <c r="AA86" s="308">
        <v>0.43048090710511555</v>
      </c>
      <c r="AB86" s="309">
        <v>0</v>
      </c>
      <c r="AG86" s="203"/>
    </row>
    <row r="87" spans="1:33" s="324" customFormat="1">
      <c r="A87" s="317" t="s">
        <v>703</v>
      </c>
      <c r="B87" s="321">
        <v>100</v>
      </c>
      <c r="C87" s="321">
        <v>50</v>
      </c>
      <c r="D87" s="321">
        <v>5.05</v>
      </c>
      <c r="E87" s="321">
        <v>9.1972809071051156</v>
      </c>
      <c r="F87" s="321"/>
      <c r="G87" s="322" t="s">
        <v>684</v>
      </c>
      <c r="H87" s="317" t="s">
        <v>79</v>
      </c>
      <c r="I87" s="323" t="s">
        <v>688</v>
      </c>
      <c r="J87" s="323"/>
      <c r="K87" s="308"/>
      <c r="L87" s="308"/>
      <c r="M87" s="308"/>
      <c r="N87" s="308"/>
      <c r="O87" s="308"/>
      <c r="P87" s="308"/>
      <c r="Q87" s="320"/>
      <c r="R87" s="316"/>
      <c r="S87" s="316"/>
      <c r="T87" s="316"/>
      <c r="U87" s="316"/>
      <c r="V87" s="316"/>
      <c r="W87" s="316"/>
      <c r="X87" s="316"/>
      <c r="Y87" s="308"/>
      <c r="Z87" s="321">
        <v>8.7667999999999999</v>
      </c>
      <c r="AA87" s="308">
        <v>0.43048090710511555</v>
      </c>
      <c r="AB87" s="309">
        <v>0</v>
      </c>
      <c r="AG87" s="203"/>
    </row>
    <row r="88" spans="1:33" s="324" customFormat="1">
      <c r="A88" s="317" t="s">
        <v>704</v>
      </c>
      <c r="B88" s="321">
        <v>100</v>
      </c>
      <c r="C88" s="321">
        <v>60</v>
      </c>
      <c r="D88" s="321">
        <v>5.05</v>
      </c>
      <c r="E88" s="321">
        <v>10.742580907105117</v>
      </c>
      <c r="F88" s="321"/>
      <c r="G88" s="322" t="s">
        <v>684</v>
      </c>
      <c r="H88" s="317" t="s">
        <v>80</v>
      </c>
      <c r="I88" s="323" t="s">
        <v>690</v>
      </c>
      <c r="J88" s="323"/>
      <c r="K88" s="308"/>
      <c r="L88" s="308"/>
      <c r="M88" s="308"/>
      <c r="N88" s="308"/>
      <c r="O88" s="308"/>
      <c r="P88" s="308"/>
      <c r="Q88" s="320"/>
      <c r="R88" s="316"/>
      <c r="S88" s="316"/>
      <c r="T88" s="316"/>
      <c r="U88" s="316"/>
      <c r="V88" s="316"/>
      <c r="W88" s="316"/>
      <c r="X88" s="316"/>
      <c r="Y88" s="308"/>
      <c r="Z88" s="321">
        <v>10.312100000000001</v>
      </c>
      <c r="AA88" s="308">
        <v>0.43048090710511555</v>
      </c>
      <c r="AB88" s="309">
        <v>0</v>
      </c>
      <c r="AG88" s="203"/>
    </row>
    <row r="89" spans="1:33" s="324" customFormat="1">
      <c r="A89" s="317" t="s">
        <v>705</v>
      </c>
      <c r="B89" s="321">
        <v>100</v>
      </c>
      <c r="C89" s="321">
        <v>95</v>
      </c>
      <c r="D89" s="321">
        <v>5.05</v>
      </c>
      <c r="E89" s="321">
        <v>13.318080907105115</v>
      </c>
      <c r="F89" s="321"/>
      <c r="G89" s="322" t="s">
        <v>684</v>
      </c>
      <c r="H89" s="317" t="s">
        <v>66</v>
      </c>
      <c r="I89" s="323" t="s">
        <v>692</v>
      </c>
      <c r="J89" s="323"/>
      <c r="K89" s="308"/>
      <c r="L89" s="308"/>
      <c r="M89" s="308"/>
      <c r="N89" s="308"/>
      <c r="O89" s="308"/>
      <c r="P89" s="308"/>
      <c r="Q89" s="320"/>
      <c r="R89" s="316"/>
      <c r="S89" s="316"/>
      <c r="T89" s="316"/>
      <c r="U89" s="316"/>
      <c r="V89" s="316"/>
      <c r="W89" s="316"/>
      <c r="X89" s="316"/>
      <c r="Y89" s="308"/>
      <c r="Z89" s="321">
        <v>12.887599999999999</v>
      </c>
      <c r="AA89" s="308">
        <v>0.43048090710511555</v>
      </c>
      <c r="AB89" s="309">
        <v>0</v>
      </c>
      <c r="AG89" s="203"/>
    </row>
    <row r="90" spans="1:33" s="324" customFormat="1">
      <c r="A90" s="317" t="s">
        <v>706</v>
      </c>
      <c r="B90" s="321">
        <v>100</v>
      </c>
      <c r="C90" s="321">
        <v>145</v>
      </c>
      <c r="D90" s="321">
        <v>5.05</v>
      </c>
      <c r="E90" s="321">
        <v>18.479180907105114</v>
      </c>
      <c r="F90" s="321"/>
      <c r="G90" s="322" t="s">
        <v>684</v>
      </c>
      <c r="H90" s="317" t="s">
        <v>68</v>
      </c>
      <c r="I90" s="323" t="s">
        <v>694</v>
      </c>
      <c r="J90" s="323"/>
      <c r="K90" s="308"/>
      <c r="L90" s="308"/>
      <c r="M90" s="308"/>
      <c r="N90" s="308"/>
      <c r="O90" s="308"/>
      <c r="P90" s="308"/>
      <c r="Q90" s="320"/>
      <c r="R90" s="316"/>
      <c r="S90" s="316"/>
      <c r="T90" s="316"/>
      <c r="U90" s="316"/>
      <c r="V90" s="316"/>
      <c r="W90" s="316"/>
      <c r="X90" s="316"/>
      <c r="Y90" s="308"/>
      <c r="Z90" s="321">
        <v>18.0487</v>
      </c>
      <c r="AA90" s="308">
        <v>0.43048090710511555</v>
      </c>
      <c r="AB90" s="309">
        <v>0</v>
      </c>
      <c r="AG90" s="203"/>
    </row>
    <row r="91" spans="1:33" s="324" customFormat="1">
      <c r="A91" s="317" t="s">
        <v>707</v>
      </c>
      <c r="B91" s="321">
        <v>100</v>
      </c>
      <c r="C91" s="321">
        <v>185</v>
      </c>
      <c r="D91" s="321">
        <v>5.05</v>
      </c>
      <c r="E91" s="321">
        <v>23.630180907105114</v>
      </c>
      <c r="F91" s="321"/>
      <c r="G91" s="322" t="s">
        <v>684</v>
      </c>
      <c r="H91" s="317" t="s">
        <v>82</v>
      </c>
      <c r="I91" s="323" t="s">
        <v>696</v>
      </c>
      <c r="J91" s="323"/>
      <c r="K91" s="308"/>
      <c r="L91" s="308"/>
      <c r="M91" s="308"/>
      <c r="N91" s="308"/>
      <c r="O91" s="308"/>
      <c r="P91" s="308"/>
      <c r="Q91" s="320"/>
      <c r="R91" s="316"/>
      <c r="S91" s="316"/>
      <c r="T91" s="316"/>
      <c r="U91" s="316"/>
      <c r="V91" s="316"/>
      <c r="W91" s="316"/>
      <c r="X91" s="316"/>
      <c r="Y91" s="308"/>
      <c r="Z91" s="321">
        <v>23.1997</v>
      </c>
      <c r="AA91" s="308">
        <v>0.43048090710511555</v>
      </c>
      <c r="AB91" s="309">
        <v>0</v>
      </c>
      <c r="AG91" s="203"/>
    </row>
    <row r="92" spans="1:33" s="324" customFormat="1">
      <c r="A92" s="317" t="s">
        <v>708</v>
      </c>
      <c r="B92" s="321">
        <v>100</v>
      </c>
      <c r="C92" s="321">
        <v>225</v>
      </c>
      <c r="D92" s="321">
        <v>5.05</v>
      </c>
      <c r="E92" s="321">
        <v>28.791280907105111</v>
      </c>
      <c r="F92" s="321"/>
      <c r="G92" s="322" t="s">
        <v>684</v>
      </c>
      <c r="H92" s="317" t="s">
        <v>83</v>
      </c>
      <c r="I92" s="323" t="s">
        <v>698</v>
      </c>
      <c r="J92" s="323"/>
      <c r="K92" s="308"/>
      <c r="L92" s="308"/>
      <c r="M92" s="308"/>
      <c r="N92" s="308"/>
      <c r="O92" s="308"/>
      <c r="P92" s="308"/>
      <c r="Q92" s="320"/>
      <c r="R92" s="316"/>
      <c r="S92" s="316"/>
      <c r="T92" s="316"/>
      <c r="U92" s="316"/>
      <c r="V92" s="316"/>
      <c r="W92" s="316"/>
      <c r="X92" s="316"/>
      <c r="Y92" s="308"/>
      <c r="Z92" s="321">
        <v>28.360799999999998</v>
      </c>
      <c r="AA92" s="308">
        <v>0.43048090710511555</v>
      </c>
      <c r="AB92" s="309">
        <v>0</v>
      </c>
      <c r="AG92" s="203"/>
    </row>
    <row r="93" spans="1:33" s="324" customFormat="1">
      <c r="A93" s="317" t="s">
        <v>709</v>
      </c>
      <c r="B93" s="321">
        <v>100</v>
      </c>
      <c r="C93" s="321">
        <v>265</v>
      </c>
      <c r="D93" s="321">
        <v>5.05</v>
      </c>
      <c r="E93" s="321">
        <v>33.942280907105115</v>
      </c>
      <c r="F93" s="321"/>
      <c r="G93" s="322" t="s">
        <v>684</v>
      </c>
      <c r="H93" s="317" t="s">
        <v>94</v>
      </c>
      <c r="I93" s="323" t="s">
        <v>700</v>
      </c>
      <c r="J93" s="323"/>
      <c r="K93" s="308"/>
      <c r="L93" s="308"/>
      <c r="M93" s="308"/>
      <c r="N93" s="308"/>
      <c r="O93" s="308"/>
      <c r="P93" s="308"/>
      <c r="Q93" s="320"/>
      <c r="R93" s="316"/>
      <c r="S93" s="316"/>
      <c r="T93" s="316"/>
      <c r="U93" s="316"/>
      <c r="V93" s="316"/>
      <c r="W93" s="316"/>
      <c r="X93" s="316"/>
      <c r="Y93" s="308"/>
      <c r="Z93" s="321">
        <v>33.511800000000001</v>
      </c>
      <c r="AA93" s="308">
        <v>0.43048090710511555</v>
      </c>
      <c r="AB93" s="309">
        <v>0</v>
      </c>
      <c r="AG93" s="203"/>
    </row>
    <row r="94" spans="1:33" s="324" customFormat="1">
      <c r="A94" s="317" t="s">
        <v>710</v>
      </c>
      <c r="B94" s="321">
        <v>100</v>
      </c>
      <c r="C94" s="321">
        <v>10</v>
      </c>
      <c r="D94" s="321">
        <v>5.05</v>
      </c>
      <c r="E94" s="321">
        <v>0.43058190710511557</v>
      </c>
      <c r="F94" s="321"/>
      <c r="G94" s="322" t="s">
        <v>684</v>
      </c>
      <c r="H94" s="317" t="s">
        <v>43</v>
      </c>
      <c r="I94" s="323" t="s">
        <v>685</v>
      </c>
      <c r="J94" s="323"/>
      <c r="K94" s="308"/>
      <c r="L94" s="308"/>
      <c r="M94" s="308"/>
      <c r="N94" s="308"/>
      <c r="O94" s="308"/>
      <c r="P94" s="308"/>
      <c r="Q94" s="320"/>
      <c r="R94" s="316"/>
      <c r="S94" s="316"/>
      <c r="T94" s="316"/>
      <c r="U94" s="316"/>
      <c r="V94" s="316"/>
      <c r="W94" s="316"/>
      <c r="X94" s="308"/>
      <c r="Y94" s="308"/>
      <c r="Z94" s="321">
        <v>1.01E-4</v>
      </c>
      <c r="AA94" s="308">
        <v>0.43048090710511555</v>
      </c>
      <c r="AB94" s="309">
        <v>0</v>
      </c>
      <c r="AG94" s="203"/>
    </row>
    <row r="95" spans="1:33" s="324" customFormat="1">
      <c r="A95" s="317" t="s">
        <v>711</v>
      </c>
      <c r="B95" s="321">
        <v>100</v>
      </c>
      <c r="C95" s="321">
        <v>35</v>
      </c>
      <c r="D95" s="321">
        <v>5.05</v>
      </c>
      <c r="E95" s="321">
        <v>0.43058190710511557</v>
      </c>
      <c r="F95" s="321"/>
      <c r="G95" s="322" t="s">
        <v>684</v>
      </c>
      <c r="H95" s="317" t="s">
        <v>48</v>
      </c>
      <c r="I95" s="323" t="s">
        <v>685</v>
      </c>
      <c r="J95" s="323"/>
      <c r="K95" s="308"/>
      <c r="L95" s="308"/>
      <c r="M95" s="308"/>
      <c r="N95" s="308"/>
      <c r="O95" s="308"/>
      <c r="P95" s="308"/>
      <c r="Q95" s="320"/>
      <c r="R95" s="316"/>
      <c r="S95" s="316"/>
      <c r="T95" s="316"/>
      <c r="U95" s="316"/>
      <c r="V95" s="316"/>
      <c r="W95" s="316"/>
      <c r="X95" s="316"/>
      <c r="Y95" s="308"/>
      <c r="Z95" s="321">
        <v>1.01E-4</v>
      </c>
      <c r="AA95" s="308">
        <v>0.43048090710511555</v>
      </c>
      <c r="AB95" s="309">
        <v>0</v>
      </c>
      <c r="AG95" s="203"/>
    </row>
    <row r="96" spans="1:33" s="324" customFormat="1">
      <c r="A96" s="317" t="s">
        <v>712</v>
      </c>
      <c r="B96" s="321">
        <v>100</v>
      </c>
      <c r="C96" s="321">
        <v>50</v>
      </c>
      <c r="D96" s="321">
        <v>5.05</v>
      </c>
      <c r="E96" s="321">
        <v>9.1972809071051156</v>
      </c>
      <c r="F96" s="321"/>
      <c r="G96" s="322" t="s">
        <v>684</v>
      </c>
      <c r="H96" s="317" t="s">
        <v>79</v>
      </c>
      <c r="I96" s="323" t="s">
        <v>688</v>
      </c>
      <c r="J96" s="323"/>
      <c r="K96" s="308"/>
      <c r="L96" s="308"/>
      <c r="M96" s="308"/>
      <c r="N96" s="308"/>
      <c r="O96" s="308"/>
      <c r="P96" s="308"/>
      <c r="Q96" s="320"/>
      <c r="R96" s="316"/>
      <c r="S96" s="316"/>
      <c r="T96" s="316"/>
      <c r="U96" s="316"/>
      <c r="V96" s="316"/>
      <c r="W96" s="316"/>
      <c r="X96" s="316"/>
      <c r="Y96" s="308"/>
      <c r="Z96" s="321">
        <v>8.7667999999999999</v>
      </c>
      <c r="AA96" s="308">
        <v>0.43048090710511555</v>
      </c>
      <c r="AB96" s="309">
        <v>0</v>
      </c>
      <c r="AG96" s="203"/>
    </row>
    <row r="97" spans="1:33" s="324" customFormat="1">
      <c r="A97" s="317" t="s">
        <v>713</v>
      </c>
      <c r="B97" s="321">
        <v>100</v>
      </c>
      <c r="C97" s="321">
        <v>60</v>
      </c>
      <c r="D97" s="321">
        <v>5.05</v>
      </c>
      <c r="E97" s="321">
        <v>10.742580907105117</v>
      </c>
      <c r="F97" s="321"/>
      <c r="G97" s="322" t="s">
        <v>684</v>
      </c>
      <c r="H97" s="317" t="s">
        <v>80</v>
      </c>
      <c r="I97" s="323" t="s">
        <v>690</v>
      </c>
      <c r="J97" s="323"/>
      <c r="K97" s="308"/>
      <c r="L97" s="308"/>
      <c r="M97" s="308"/>
      <c r="N97" s="308"/>
      <c r="O97" s="308"/>
      <c r="P97" s="308"/>
      <c r="Q97" s="320"/>
      <c r="R97" s="316"/>
      <c r="S97" s="316"/>
      <c r="T97" s="316"/>
      <c r="U97" s="316"/>
      <c r="V97" s="316"/>
      <c r="W97" s="316"/>
      <c r="X97" s="316"/>
      <c r="Y97" s="308"/>
      <c r="Z97" s="321">
        <v>10.312100000000001</v>
      </c>
      <c r="AA97" s="308">
        <v>0.43048090710511555</v>
      </c>
      <c r="AB97" s="309">
        <v>0</v>
      </c>
      <c r="AG97" s="203"/>
    </row>
    <row r="98" spans="1:33" s="324" customFormat="1">
      <c r="A98" s="317" t="s">
        <v>714</v>
      </c>
      <c r="B98" s="321">
        <v>100</v>
      </c>
      <c r="C98" s="321">
        <v>95</v>
      </c>
      <c r="D98" s="321">
        <v>5.05</v>
      </c>
      <c r="E98" s="321">
        <v>13.318080907105115</v>
      </c>
      <c r="F98" s="321"/>
      <c r="G98" s="322" t="s">
        <v>684</v>
      </c>
      <c r="H98" s="317" t="s">
        <v>66</v>
      </c>
      <c r="I98" s="323" t="s">
        <v>692</v>
      </c>
      <c r="J98" s="323"/>
      <c r="K98" s="308"/>
      <c r="L98" s="308"/>
      <c r="M98" s="308"/>
      <c r="N98" s="308"/>
      <c r="O98" s="308"/>
      <c r="P98" s="308"/>
      <c r="Q98" s="320"/>
      <c r="R98" s="316"/>
      <c r="S98" s="316"/>
      <c r="T98" s="316"/>
      <c r="U98" s="316"/>
      <c r="V98" s="316"/>
      <c r="W98" s="316"/>
      <c r="X98" s="316"/>
      <c r="Y98" s="308"/>
      <c r="Z98" s="321">
        <v>12.887599999999999</v>
      </c>
      <c r="AA98" s="308">
        <v>0.43048090710511555</v>
      </c>
      <c r="AB98" s="309">
        <v>0</v>
      </c>
      <c r="AG98" s="203"/>
    </row>
    <row r="99" spans="1:33" s="324" customFormat="1">
      <c r="A99" s="317" t="s">
        <v>715</v>
      </c>
      <c r="B99" s="321">
        <v>100</v>
      </c>
      <c r="C99" s="321">
        <v>145</v>
      </c>
      <c r="D99" s="321">
        <v>5.05</v>
      </c>
      <c r="E99" s="321">
        <v>18.479180907105114</v>
      </c>
      <c r="F99" s="321"/>
      <c r="G99" s="322" t="s">
        <v>684</v>
      </c>
      <c r="H99" s="317" t="s">
        <v>68</v>
      </c>
      <c r="I99" s="323" t="s">
        <v>694</v>
      </c>
      <c r="J99" s="323"/>
      <c r="K99" s="308"/>
      <c r="L99" s="308"/>
      <c r="M99" s="308"/>
      <c r="N99" s="308"/>
      <c r="O99" s="308"/>
      <c r="P99" s="308"/>
      <c r="Q99" s="320"/>
      <c r="R99" s="316"/>
      <c r="S99" s="316"/>
      <c r="T99" s="316"/>
      <c r="U99" s="316"/>
      <c r="V99" s="316"/>
      <c r="W99" s="316"/>
      <c r="X99" s="316"/>
      <c r="Y99" s="308"/>
      <c r="Z99" s="321">
        <v>18.0487</v>
      </c>
      <c r="AA99" s="308">
        <v>0.43048090710511555</v>
      </c>
      <c r="AB99" s="309">
        <v>0</v>
      </c>
      <c r="AG99" s="203"/>
    </row>
    <row r="100" spans="1:33" s="324" customFormat="1">
      <c r="A100" s="317" t="s">
        <v>716</v>
      </c>
      <c r="B100" s="321">
        <v>100</v>
      </c>
      <c r="C100" s="321">
        <v>185</v>
      </c>
      <c r="D100" s="321">
        <v>5.05</v>
      </c>
      <c r="E100" s="321">
        <v>23.630180907105114</v>
      </c>
      <c r="F100" s="321"/>
      <c r="G100" s="322" t="s">
        <v>684</v>
      </c>
      <c r="H100" s="317" t="s">
        <v>82</v>
      </c>
      <c r="I100" s="323" t="s">
        <v>696</v>
      </c>
      <c r="J100" s="323"/>
      <c r="K100" s="308"/>
      <c r="L100" s="308"/>
      <c r="M100" s="308"/>
      <c r="N100" s="308"/>
      <c r="O100" s="308"/>
      <c r="P100" s="308"/>
      <c r="Q100" s="320"/>
      <c r="R100" s="316"/>
      <c r="S100" s="316"/>
      <c r="T100" s="316"/>
      <c r="U100" s="316"/>
      <c r="V100" s="316"/>
      <c r="W100" s="316"/>
      <c r="X100" s="316"/>
      <c r="Y100" s="308"/>
      <c r="Z100" s="321">
        <v>23.1997</v>
      </c>
      <c r="AA100" s="308">
        <v>0.43048090710511555</v>
      </c>
      <c r="AB100" s="309">
        <v>0</v>
      </c>
      <c r="AG100" s="203"/>
    </row>
    <row r="101" spans="1:33" s="324" customFormat="1">
      <c r="A101" s="317" t="s">
        <v>717</v>
      </c>
      <c r="B101" s="321">
        <v>100</v>
      </c>
      <c r="C101" s="321">
        <v>225</v>
      </c>
      <c r="D101" s="321">
        <v>5.05</v>
      </c>
      <c r="E101" s="321">
        <v>28.791280907105111</v>
      </c>
      <c r="F101" s="321"/>
      <c r="G101" s="322" t="s">
        <v>684</v>
      </c>
      <c r="H101" s="317" t="s">
        <v>83</v>
      </c>
      <c r="I101" s="323" t="s">
        <v>698</v>
      </c>
      <c r="J101" s="323"/>
      <c r="K101" s="308"/>
      <c r="L101" s="308"/>
      <c r="M101" s="308"/>
      <c r="N101" s="308"/>
      <c r="O101" s="308"/>
      <c r="P101" s="308"/>
      <c r="Q101" s="320"/>
      <c r="R101" s="316"/>
      <c r="S101" s="316"/>
      <c r="T101" s="316"/>
      <c r="U101" s="316"/>
      <c r="V101" s="316"/>
      <c r="W101" s="316"/>
      <c r="X101" s="316"/>
      <c r="Y101" s="308"/>
      <c r="Z101" s="321">
        <v>28.360799999999998</v>
      </c>
      <c r="AA101" s="308">
        <v>0.43048090710511555</v>
      </c>
      <c r="AB101" s="309">
        <v>0</v>
      </c>
      <c r="AG101" s="203"/>
    </row>
    <row r="102" spans="1:33" s="324" customFormat="1">
      <c r="A102" s="317" t="s">
        <v>718</v>
      </c>
      <c r="B102" s="321">
        <v>100</v>
      </c>
      <c r="C102" s="321">
        <v>265</v>
      </c>
      <c r="D102" s="321">
        <v>5.05</v>
      </c>
      <c r="E102" s="321">
        <v>33.942280907105115</v>
      </c>
      <c r="F102" s="321"/>
      <c r="G102" s="322" t="s">
        <v>684</v>
      </c>
      <c r="H102" s="317" t="s">
        <v>94</v>
      </c>
      <c r="I102" s="323" t="s">
        <v>700</v>
      </c>
      <c r="J102" s="323"/>
      <c r="K102" s="308"/>
      <c r="L102" s="308"/>
      <c r="M102" s="308"/>
      <c r="N102" s="308"/>
      <c r="O102" s="308"/>
      <c r="P102" s="308"/>
      <c r="Q102" s="320"/>
      <c r="R102" s="316"/>
      <c r="S102" s="316"/>
      <c r="T102" s="316"/>
      <c r="U102" s="316"/>
      <c r="V102" s="316"/>
      <c r="W102" s="316"/>
      <c r="X102" s="316"/>
      <c r="Y102" s="308"/>
      <c r="Z102" s="321">
        <v>33.511800000000001</v>
      </c>
      <c r="AA102" s="308">
        <v>0.43048090710511555</v>
      </c>
      <c r="AB102" s="309">
        <v>0</v>
      </c>
      <c r="AG102" s="203"/>
    </row>
    <row r="103" spans="1:33">
      <c r="A103" s="300" t="s">
        <v>719</v>
      </c>
      <c r="B103" s="311"/>
      <c r="C103" s="311"/>
      <c r="D103" s="311"/>
      <c r="E103" s="310">
        <v>5.4237493259877363</v>
      </c>
      <c r="F103" s="311"/>
      <c r="G103" s="312" t="s">
        <v>720</v>
      </c>
      <c r="H103" s="300"/>
      <c r="I103" s="313" t="s">
        <v>78</v>
      </c>
      <c r="J103" s="306"/>
      <c r="K103" s="306"/>
      <c r="L103" s="306"/>
      <c r="M103" s="306"/>
      <c r="N103" s="306"/>
      <c r="O103" s="306"/>
      <c r="P103" s="306"/>
      <c r="Q103" s="315"/>
      <c r="R103" s="314"/>
      <c r="S103" s="314"/>
      <c r="T103" s="314"/>
      <c r="U103" s="314"/>
      <c r="V103" s="314"/>
      <c r="W103" s="314"/>
      <c r="X103" s="314"/>
      <c r="Y103" s="314"/>
      <c r="Z103" s="314"/>
      <c r="AA103" s="316"/>
      <c r="AB103" s="325"/>
      <c r="AG103"/>
    </row>
    <row r="104" spans="1:33">
      <c r="A104" s="300" t="s">
        <v>721</v>
      </c>
      <c r="B104" s="311"/>
      <c r="C104" s="311"/>
      <c r="D104" s="311"/>
      <c r="E104" s="310">
        <v>5.854230233092852</v>
      </c>
      <c r="F104" s="311"/>
      <c r="G104" s="312" t="s">
        <v>720</v>
      </c>
      <c r="H104" s="300"/>
      <c r="I104" s="313" t="s">
        <v>70</v>
      </c>
      <c r="J104" s="306"/>
      <c r="K104" s="306"/>
      <c r="L104" s="306"/>
      <c r="M104" s="306"/>
      <c r="N104" s="306"/>
      <c r="O104" s="306"/>
      <c r="P104" s="306"/>
      <c r="Q104" s="315"/>
      <c r="R104" s="314"/>
      <c r="S104" s="314"/>
      <c r="T104" s="314"/>
      <c r="U104" s="314"/>
      <c r="V104" s="314"/>
      <c r="W104" s="314"/>
      <c r="X104" s="314"/>
      <c r="Y104" s="314"/>
      <c r="Z104" s="314"/>
      <c r="AA104" s="316"/>
      <c r="AB104" s="325"/>
      <c r="AG104"/>
    </row>
    <row r="105" spans="1:33">
      <c r="A105" s="300"/>
      <c r="B105" s="310"/>
      <c r="C105" s="310"/>
      <c r="D105" s="310"/>
      <c r="E105" s="310"/>
      <c r="F105" s="310"/>
      <c r="G105" s="312"/>
      <c r="H105" s="300"/>
      <c r="I105" s="313"/>
      <c r="J105" s="306"/>
      <c r="K105" s="306"/>
      <c r="L105" s="306"/>
      <c r="M105" s="306"/>
      <c r="N105" s="306"/>
      <c r="O105" s="306"/>
      <c r="P105" s="306"/>
      <c r="Q105" s="315"/>
      <c r="R105" s="314"/>
      <c r="S105" s="314"/>
      <c r="T105" s="314"/>
      <c r="U105" s="314"/>
      <c r="V105" s="314"/>
      <c r="W105" s="314"/>
      <c r="X105" s="314"/>
      <c r="Y105" s="314"/>
      <c r="Z105" s="314"/>
      <c r="AA105" s="319"/>
      <c r="AB105" s="320"/>
      <c r="AG105"/>
    </row>
    <row r="106" spans="1:33">
      <c r="A106" s="300"/>
      <c r="B106" s="310"/>
      <c r="C106" s="310"/>
      <c r="D106" s="310"/>
      <c r="E106" s="310"/>
      <c r="F106" s="310"/>
      <c r="G106" s="312"/>
      <c r="H106" s="300"/>
      <c r="I106" s="313"/>
      <c r="J106" s="306"/>
      <c r="K106" s="306"/>
      <c r="L106" s="306"/>
      <c r="M106" s="306"/>
      <c r="N106" s="306"/>
      <c r="O106" s="306"/>
      <c r="P106" s="306"/>
      <c r="Q106" s="315"/>
      <c r="R106" s="314"/>
      <c r="S106" s="314"/>
      <c r="T106" s="314"/>
      <c r="U106" s="314"/>
      <c r="V106" s="314"/>
      <c r="W106" s="314"/>
      <c r="X106" s="314"/>
      <c r="Y106" s="314"/>
      <c r="Z106" s="314"/>
      <c r="AA106" s="319"/>
      <c r="AB106" s="320"/>
      <c r="AG106"/>
    </row>
    <row r="107" spans="1:33">
      <c r="A107" s="300"/>
      <c r="B107" s="310"/>
      <c r="C107" s="310"/>
      <c r="D107" s="310"/>
      <c r="E107" s="310"/>
      <c r="F107" s="310"/>
      <c r="G107" s="312"/>
      <c r="H107" s="300"/>
      <c r="I107" s="313"/>
      <c r="J107" s="306"/>
      <c r="K107" s="306"/>
      <c r="L107" s="306"/>
      <c r="M107" s="306"/>
      <c r="N107" s="306"/>
      <c r="O107" s="306"/>
      <c r="P107" s="306"/>
      <c r="Q107" s="315"/>
      <c r="R107" s="314"/>
      <c r="S107" s="314"/>
      <c r="T107" s="314"/>
      <c r="U107" s="314"/>
      <c r="V107" s="314"/>
      <c r="W107" s="314"/>
      <c r="X107" s="314"/>
      <c r="Y107" s="314"/>
      <c r="Z107" s="314"/>
      <c r="AA107" s="319"/>
      <c r="AB107" s="320"/>
      <c r="AG107"/>
    </row>
    <row r="108" spans="1:33">
      <c r="A108" s="300"/>
      <c r="B108" s="310"/>
      <c r="C108" s="310"/>
      <c r="D108" s="310"/>
      <c r="E108" s="310"/>
      <c r="F108" s="310"/>
      <c r="G108" s="312"/>
      <c r="H108" s="300"/>
      <c r="I108" s="313"/>
      <c r="J108" s="306"/>
      <c r="K108" s="306"/>
      <c r="L108" s="306"/>
      <c r="M108" s="306"/>
      <c r="N108" s="306"/>
      <c r="O108" s="306"/>
      <c r="P108" s="306"/>
      <c r="Q108" s="315"/>
      <c r="R108" s="314"/>
      <c r="S108" s="314"/>
      <c r="T108" s="314"/>
      <c r="U108" s="314"/>
      <c r="V108" s="314"/>
      <c r="W108" s="314"/>
      <c r="X108" s="314"/>
      <c r="Y108" s="314"/>
      <c r="Z108" s="314"/>
      <c r="AA108" s="319"/>
      <c r="AB108" s="320"/>
      <c r="AG108"/>
    </row>
    <row r="109" spans="1:33">
      <c r="A109" s="300"/>
      <c r="B109" s="310"/>
      <c r="C109" s="310"/>
      <c r="D109" s="310"/>
      <c r="E109" s="310"/>
      <c r="F109" s="310"/>
      <c r="G109" s="312"/>
      <c r="H109" s="300"/>
      <c r="I109" s="313"/>
      <c r="J109" s="306"/>
      <c r="K109" s="306"/>
      <c r="L109" s="306"/>
      <c r="M109" s="306"/>
      <c r="N109" s="306"/>
      <c r="O109" s="306"/>
      <c r="P109" s="306"/>
      <c r="Q109" s="315"/>
      <c r="R109" s="314"/>
      <c r="S109" s="314"/>
      <c r="T109" s="314"/>
      <c r="U109" s="314"/>
      <c r="V109" s="314"/>
      <c r="W109" s="314"/>
      <c r="X109" s="314"/>
      <c r="Y109" s="314"/>
      <c r="Z109" s="314"/>
      <c r="AA109" s="319"/>
      <c r="AB109" s="320"/>
      <c r="AG109"/>
    </row>
    <row r="110" spans="1:33">
      <c r="A110" s="300"/>
      <c r="B110" s="310"/>
      <c r="C110" s="310"/>
      <c r="D110" s="310"/>
      <c r="E110" s="310"/>
      <c r="F110" s="310"/>
      <c r="G110" s="312"/>
      <c r="H110" s="300"/>
      <c r="I110" s="313"/>
      <c r="J110" s="306"/>
      <c r="K110" s="306"/>
      <c r="L110" s="306"/>
      <c r="M110" s="306"/>
      <c r="N110" s="306"/>
      <c r="O110" s="306"/>
      <c r="P110" s="306"/>
      <c r="Q110" s="315"/>
      <c r="R110" s="314"/>
      <c r="S110" s="314"/>
      <c r="T110" s="314"/>
      <c r="U110" s="314"/>
      <c r="V110" s="314"/>
      <c r="W110" s="314"/>
      <c r="X110" s="314"/>
      <c r="Y110" s="314"/>
      <c r="Z110" s="314"/>
      <c r="AA110" s="319"/>
      <c r="AB110" s="320"/>
      <c r="AG110"/>
    </row>
    <row r="111" spans="1:33">
      <c r="A111" s="300"/>
      <c r="B111" s="310"/>
      <c r="C111" s="310"/>
      <c r="D111" s="310"/>
      <c r="E111" s="310"/>
      <c r="F111" s="310"/>
      <c r="G111" s="312"/>
      <c r="H111" s="300"/>
      <c r="I111" s="313"/>
      <c r="J111" s="306"/>
      <c r="K111" s="306"/>
      <c r="L111" s="306"/>
      <c r="M111" s="306"/>
      <c r="N111" s="306"/>
      <c r="O111" s="306"/>
      <c r="P111" s="306"/>
      <c r="Q111" s="315"/>
      <c r="R111" s="314"/>
      <c r="S111" s="314"/>
      <c r="T111" s="314"/>
      <c r="U111" s="314"/>
      <c r="V111" s="314"/>
      <c r="W111" s="314"/>
      <c r="X111" s="314"/>
      <c r="Y111" s="314"/>
      <c r="Z111" s="314"/>
      <c r="AA111" s="319"/>
      <c r="AB111" s="320"/>
      <c r="AG111"/>
    </row>
    <row r="112" spans="1:33">
      <c r="A112" s="300"/>
      <c r="B112" s="310"/>
      <c r="C112" s="310"/>
      <c r="D112" s="310"/>
      <c r="E112" s="310"/>
      <c r="F112" s="310"/>
      <c r="G112" s="312"/>
      <c r="H112" s="300"/>
      <c r="I112" s="313"/>
      <c r="J112" s="306"/>
      <c r="K112" s="306"/>
      <c r="L112" s="306"/>
      <c r="M112" s="306"/>
      <c r="N112" s="306"/>
      <c r="O112" s="306"/>
      <c r="P112" s="306"/>
      <c r="Q112" s="315"/>
      <c r="R112" s="314"/>
      <c r="S112" s="314"/>
      <c r="T112" s="314"/>
      <c r="U112" s="314"/>
      <c r="V112" s="314"/>
      <c r="W112" s="314"/>
      <c r="X112" s="314"/>
      <c r="Y112" s="314"/>
      <c r="Z112" s="314"/>
      <c r="AA112" s="319"/>
      <c r="AB112" s="320"/>
      <c r="AG112"/>
    </row>
    <row r="113" spans="1:33">
      <c r="A113" s="300"/>
      <c r="B113" s="310"/>
      <c r="C113" s="310"/>
      <c r="D113" s="310"/>
      <c r="E113" s="310"/>
      <c r="F113" s="310"/>
      <c r="G113" s="312"/>
      <c r="H113" s="300"/>
      <c r="I113" s="313"/>
      <c r="J113" s="306"/>
      <c r="K113" s="306"/>
      <c r="L113" s="306"/>
      <c r="M113" s="306"/>
      <c r="N113" s="306"/>
      <c r="O113" s="306"/>
      <c r="P113" s="306"/>
      <c r="Q113" s="315"/>
      <c r="R113" s="314"/>
      <c r="S113" s="314"/>
      <c r="T113" s="314"/>
      <c r="U113" s="314"/>
      <c r="V113" s="314"/>
      <c r="W113" s="314"/>
      <c r="X113" s="314"/>
      <c r="Y113" s="314"/>
      <c r="Z113" s="314"/>
      <c r="AA113" s="319"/>
      <c r="AB113" s="320"/>
      <c r="AG113"/>
    </row>
    <row r="114" spans="1:33">
      <c r="A114" s="300"/>
      <c r="B114" s="310"/>
      <c r="C114" s="310"/>
      <c r="D114" s="310"/>
      <c r="E114" s="310"/>
      <c r="F114" s="310"/>
      <c r="G114" s="312"/>
      <c r="H114" s="300"/>
      <c r="I114" s="313"/>
      <c r="J114" s="306"/>
      <c r="K114" s="306"/>
      <c r="L114" s="306"/>
      <c r="M114" s="306"/>
      <c r="N114" s="306"/>
      <c r="O114" s="306"/>
      <c r="P114" s="306"/>
      <c r="Q114" s="315"/>
      <c r="R114" s="314"/>
      <c r="S114" s="314"/>
      <c r="T114" s="314"/>
      <c r="U114" s="314"/>
      <c r="V114" s="314"/>
      <c r="W114" s="314"/>
      <c r="X114" s="314"/>
      <c r="Y114" s="314"/>
      <c r="Z114" s="314"/>
      <c r="AA114" s="319"/>
      <c r="AB114" s="320"/>
      <c r="AG114"/>
    </row>
    <row r="115" spans="1:33">
      <c r="A115" s="300"/>
      <c r="B115" s="310"/>
      <c r="C115" s="310"/>
      <c r="D115" s="310"/>
      <c r="E115" s="310"/>
      <c r="F115" s="310"/>
      <c r="G115" s="312"/>
      <c r="H115" s="300"/>
      <c r="I115" s="313"/>
      <c r="J115" s="306"/>
      <c r="K115" s="306"/>
      <c r="L115" s="306"/>
      <c r="M115" s="306"/>
      <c r="N115" s="306"/>
      <c r="O115" s="306"/>
      <c r="P115" s="306"/>
      <c r="Q115" s="315"/>
      <c r="R115" s="314"/>
      <c r="S115" s="314"/>
      <c r="T115" s="314"/>
      <c r="U115" s="314"/>
      <c r="V115" s="314"/>
      <c r="W115" s="314"/>
      <c r="X115" s="314"/>
      <c r="Y115" s="314"/>
      <c r="Z115" s="314"/>
      <c r="AA115" s="319"/>
      <c r="AB115" s="320"/>
      <c r="AG115"/>
    </row>
    <row r="116" spans="1:33">
      <c r="A116" s="300"/>
      <c r="B116" s="310"/>
      <c r="C116" s="310"/>
      <c r="D116" s="310"/>
      <c r="E116" s="310"/>
      <c r="F116" s="310"/>
      <c r="G116" s="312"/>
      <c r="H116" s="300"/>
      <c r="I116" s="313"/>
      <c r="J116" s="306"/>
      <c r="K116" s="306"/>
      <c r="L116" s="306"/>
      <c r="M116" s="306"/>
      <c r="N116" s="306"/>
      <c r="O116" s="306"/>
      <c r="P116" s="306"/>
      <c r="Q116" s="315"/>
      <c r="R116" s="314"/>
      <c r="S116" s="314"/>
      <c r="T116" s="314"/>
      <c r="U116" s="314"/>
      <c r="V116" s="314"/>
      <c r="W116" s="314"/>
      <c r="X116" s="314"/>
      <c r="Y116" s="314"/>
      <c r="Z116" s="314"/>
      <c r="AA116" s="319"/>
      <c r="AB116" s="320"/>
      <c r="AG116"/>
    </row>
    <row r="117" spans="1:33">
      <c r="A117" s="300"/>
      <c r="B117" s="310"/>
      <c r="C117" s="310"/>
      <c r="D117" s="310"/>
      <c r="E117" s="310"/>
      <c r="F117" s="310"/>
      <c r="G117" s="312"/>
      <c r="H117" s="300"/>
      <c r="I117" s="313"/>
      <c r="J117" s="306"/>
      <c r="K117" s="306"/>
      <c r="L117" s="306"/>
      <c r="M117" s="306"/>
      <c r="N117" s="306"/>
      <c r="O117" s="306"/>
      <c r="P117" s="306"/>
      <c r="Q117" s="315"/>
      <c r="R117" s="314"/>
      <c r="S117" s="314"/>
      <c r="T117" s="314"/>
      <c r="U117" s="314"/>
      <c r="V117" s="314"/>
      <c r="W117" s="314"/>
      <c r="X117" s="314"/>
      <c r="Y117" s="314"/>
      <c r="Z117" s="314"/>
      <c r="AA117" s="319"/>
      <c r="AB117" s="320"/>
      <c r="AG117"/>
    </row>
    <row r="118" spans="1:33">
      <c r="A118" s="300"/>
      <c r="B118" s="310"/>
      <c r="C118" s="310"/>
      <c r="D118" s="310"/>
      <c r="E118" s="310"/>
      <c r="F118" s="310"/>
      <c r="G118" s="312"/>
      <c r="H118" s="300"/>
      <c r="I118" s="313"/>
      <c r="J118" s="306"/>
      <c r="K118" s="306"/>
      <c r="L118" s="306"/>
      <c r="M118" s="306"/>
      <c r="N118" s="306"/>
      <c r="O118" s="306"/>
      <c r="P118" s="306"/>
      <c r="Q118" s="315"/>
      <c r="R118" s="314"/>
      <c r="S118" s="314"/>
      <c r="T118" s="314"/>
      <c r="U118" s="314"/>
      <c r="V118" s="314"/>
      <c r="W118" s="314"/>
      <c r="X118" s="314"/>
      <c r="Y118" s="314"/>
      <c r="Z118" s="314"/>
      <c r="AA118" s="319"/>
      <c r="AB118" s="320"/>
      <c r="AG118"/>
    </row>
    <row r="119" spans="1:33">
      <c r="A119" s="300"/>
      <c r="B119" s="310"/>
      <c r="C119" s="310"/>
      <c r="D119" s="310"/>
      <c r="E119" s="310"/>
      <c r="F119" s="310"/>
      <c r="G119" s="312"/>
      <c r="H119" s="300"/>
      <c r="I119" s="313"/>
      <c r="J119" s="306"/>
      <c r="K119" s="306"/>
      <c r="L119" s="306"/>
      <c r="M119" s="306"/>
      <c r="N119" s="306"/>
      <c r="O119" s="306"/>
      <c r="P119" s="306"/>
      <c r="Q119" s="315"/>
      <c r="R119" s="314"/>
      <c r="S119" s="314"/>
      <c r="T119" s="314"/>
      <c r="U119" s="314"/>
      <c r="V119" s="314"/>
      <c r="W119" s="314"/>
      <c r="X119" s="314"/>
      <c r="Y119" s="314"/>
      <c r="Z119" s="314"/>
      <c r="AA119" s="319"/>
      <c r="AB119" s="320"/>
      <c r="AG119"/>
    </row>
    <row r="120" spans="1:33">
      <c r="A120" s="300"/>
      <c r="B120" s="310"/>
      <c r="C120" s="310"/>
      <c r="D120" s="310"/>
      <c r="E120" s="310"/>
      <c r="F120" s="310"/>
      <c r="G120" s="312"/>
      <c r="H120" s="300"/>
      <c r="I120" s="313"/>
      <c r="J120" s="306"/>
      <c r="K120" s="306"/>
      <c r="L120" s="306"/>
      <c r="M120" s="306"/>
      <c r="N120" s="306"/>
      <c r="O120" s="306"/>
      <c r="P120" s="306"/>
      <c r="Q120" s="315"/>
      <c r="R120" s="314"/>
      <c r="S120" s="314"/>
      <c r="T120" s="314"/>
      <c r="U120" s="314"/>
      <c r="V120" s="314"/>
      <c r="W120" s="314"/>
      <c r="X120" s="314"/>
      <c r="Y120" s="314"/>
      <c r="Z120" s="314"/>
      <c r="AA120" s="319"/>
      <c r="AB120" s="320"/>
      <c r="AG120"/>
    </row>
    <row r="121" spans="1:33">
      <c r="A121" s="300"/>
      <c r="B121" s="310"/>
      <c r="C121" s="310"/>
      <c r="D121" s="310"/>
      <c r="E121" s="310"/>
      <c r="F121" s="310"/>
      <c r="G121" s="312"/>
      <c r="H121" s="300"/>
      <c r="I121" s="313"/>
      <c r="J121" s="306"/>
      <c r="K121" s="306"/>
      <c r="L121" s="306"/>
      <c r="M121" s="306"/>
      <c r="N121" s="306"/>
      <c r="O121" s="306"/>
      <c r="P121" s="306"/>
      <c r="Q121" s="315"/>
      <c r="R121" s="314"/>
      <c r="S121" s="314"/>
      <c r="T121" s="314"/>
      <c r="U121" s="314"/>
      <c r="V121" s="314"/>
      <c r="W121" s="314"/>
      <c r="X121" s="314"/>
      <c r="Y121" s="314"/>
      <c r="Z121" s="314"/>
      <c r="AA121" s="319"/>
      <c r="AB121" s="320"/>
      <c r="AG121"/>
    </row>
    <row r="122" spans="1:33">
      <c r="A122" s="300"/>
      <c r="B122" s="310"/>
      <c r="C122" s="310"/>
      <c r="D122" s="310"/>
      <c r="E122" s="310"/>
      <c r="F122" s="310"/>
      <c r="G122" s="312"/>
      <c r="H122" s="300"/>
      <c r="I122" s="313"/>
      <c r="J122" s="306"/>
      <c r="K122" s="306"/>
      <c r="L122" s="306"/>
      <c r="M122" s="306"/>
      <c r="N122" s="306"/>
      <c r="O122" s="306"/>
      <c r="P122" s="306"/>
      <c r="Q122" s="315"/>
      <c r="R122" s="314"/>
      <c r="S122" s="314"/>
      <c r="T122" s="314"/>
      <c r="U122" s="314"/>
      <c r="V122" s="314"/>
      <c r="W122" s="314"/>
      <c r="X122" s="314"/>
      <c r="Y122" s="314"/>
      <c r="Z122" s="314"/>
      <c r="AA122" s="319"/>
      <c r="AB122" s="320"/>
      <c r="AG122"/>
    </row>
    <row r="123" spans="1:33">
      <c r="A123" s="300"/>
      <c r="B123" s="310"/>
      <c r="C123" s="310"/>
      <c r="D123" s="310"/>
      <c r="E123" s="310"/>
      <c r="F123" s="310"/>
      <c r="G123" s="312"/>
      <c r="H123" s="300"/>
      <c r="I123" s="313"/>
      <c r="J123" s="306"/>
      <c r="K123" s="306"/>
      <c r="L123" s="306"/>
      <c r="M123" s="306"/>
      <c r="N123" s="306"/>
      <c r="O123" s="306"/>
      <c r="P123" s="306"/>
      <c r="Q123" s="315"/>
      <c r="R123" s="314"/>
      <c r="S123" s="314"/>
      <c r="T123" s="314"/>
      <c r="U123" s="314"/>
      <c r="V123" s="314"/>
      <c r="W123" s="314"/>
      <c r="X123" s="314"/>
      <c r="Y123" s="314"/>
      <c r="Z123" s="314"/>
      <c r="AA123" s="319"/>
      <c r="AB123" s="320"/>
      <c r="AG123"/>
    </row>
    <row r="124" spans="1:33">
      <c r="A124" s="300"/>
      <c r="B124" s="310"/>
      <c r="C124" s="310"/>
      <c r="D124" s="310"/>
      <c r="E124" s="310"/>
      <c r="F124" s="310"/>
      <c r="G124" s="312"/>
      <c r="H124" s="300"/>
      <c r="I124" s="313"/>
      <c r="J124" s="306"/>
      <c r="K124" s="306"/>
      <c r="L124" s="306"/>
      <c r="M124" s="306"/>
      <c r="N124" s="306"/>
      <c r="O124" s="306"/>
      <c r="P124" s="306"/>
      <c r="Q124" s="315"/>
      <c r="R124" s="314"/>
      <c r="S124" s="314"/>
      <c r="T124" s="314"/>
      <c r="U124" s="314"/>
      <c r="V124" s="314"/>
      <c r="W124" s="314"/>
      <c r="X124" s="314"/>
      <c r="Y124" s="314"/>
      <c r="Z124" s="314"/>
      <c r="AA124" s="319"/>
      <c r="AB124" s="320"/>
      <c r="AG124"/>
    </row>
    <row r="125" spans="1:33">
      <c r="A125" s="300"/>
      <c r="B125" s="310"/>
      <c r="C125" s="310"/>
      <c r="D125" s="310"/>
      <c r="E125" s="310"/>
      <c r="F125" s="310"/>
      <c r="G125" s="312"/>
      <c r="H125" s="300"/>
      <c r="I125" s="313"/>
      <c r="J125" s="306"/>
      <c r="K125" s="306"/>
      <c r="L125" s="306"/>
      <c r="M125" s="306"/>
      <c r="N125" s="306"/>
      <c r="O125" s="306"/>
      <c r="P125" s="306"/>
      <c r="Q125" s="315"/>
      <c r="R125" s="314"/>
      <c r="S125" s="314"/>
      <c r="T125" s="314"/>
      <c r="U125" s="314"/>
      <c r="V125" s="314"/>
      <c r="W125" s="314"/>
      <c r="X125" s="314"/>
      <c r="Y125" s="314"/>
      <c r="Z125" s="314"/>
      <c r="AA125" s="319"/>
      <c r="AB125" s="320"/>
      <c r="AG125"/>
    </row>
    <row r="126" spans="1:33">
      <c r="A126" s="300"/>
      <c r="B126" s="310"/>
      <c r="C126" s="310"/>
      <c r="D126" s="310"/>
      <c r="E126" s="310"/>
      <c r="F126" s="310"/>
      <c r="G126" s="312"/>
      <c r="H126" s="300"/>
      <c r="I126" s="313"/>
      <c r="J126" s="306"/>
      <c r="K126" s="306"/>
      <c r="L126" s="306"/>
      <c r="M126" s="306"/>
      <c r="N126" s="306"/>
      <c r="O126" s="306"/>
      <c r="P126" s="306"/>
      <c r="Q126" s="315"/>
      <c r="R126" s="314"/>
      <c r="S126" s="314"/>
      <c r="T126" s="314"/>
      <c r="U126" s="314"/>
      <c r="V126" s="314"/>
      <c r="W126" s="314"/>
      <c r="X126" s="314"/>
      <c r="Y126" s="314"/>
      <c r="Z126" s="314"/>
      <c r="AA126" s="319"/>
      <c r="AB126" s="320"/>
      <c r="AG126"/>
    </row>
    <row r="127" spans="1:33">
      <c r="A127" s="300"/>
      <c r="B127" s="310"/>
      <c r="C127" s="310"/>
      <c r="D127" s="310"/>
      <c r="E127" s="310"/>
      <c r="F127" s="310"/>
      <c r="G127" s="312"/>
      <c r="H127" s="300"/>
      <c r="I127" s="313"/>
      <c r="J127" s="306"/>
      <c r="K127" s="306"/>
      <c r="L127" s="306"/>
      <c r="M127" s="306"/>
      <c r="N127" s="306"/>
      <c r="O127" s="306"/>
      <c r="P127" s="306"/>
      <c r="Q127" s="315"/>
      <c r="R127" s="314"/>
      <c r="S127" s="314"/>
      <c r="T127" s="314"/>
      <c r="U127" s="314"/>
      <c r="V127" s="314"/>
      <c r="W127" s="314"/>
      <c r="X127" s="314"/>
      <c r="Y127" s="314"/>
      <c r="Z127" s="314"/>
      <c r="AA127" s="319"/>
      <c r="AB127" s="320"/>
      <c r="AG127"/>
    </row>
    <row r="128" spans="1:33">
      <c r="A128" s="300"/>
      <c r="B128" s="310"/>
      <c r="C128" s="310"/>
      <c r="D128" s="310"/>
      <c r="E128" s="310"/>
      <c r="F128" s="310"/>
      <c r="G128" s="312"/>
      <c r="H128" s="300"/>
      <c r="I128" s="313"/>
      <c r="J128" s="306"/>
      <c r="K128" s="306"/>
      <c r="L128" s="306"/>
      <c r="M128" s="306"/>
      <c r="N128" s="306"/>
      <c r="O128" s="306"/>
      <c r="P128" s="306"/>
      <c r="Q128" s="315"/>
      <c r="R128" s="314"/>
      <c r="S128" s="314"/>
      <c r="T128" s="314"/>
      <c r="U128" s="314"/>
      <c r="V128" s="314"/>
      <c r="W128" s="314"/>
      <c r="X128" s="314"/>
      <c r="Y128" s="314"/>
      <c r="Z128" s="314"/>
      <c r="AA128" s="319"/>
      <c r="AB128" s="320"/>
      <c r="AG128"/>
    </row>
    <row r="129" spans="1:33">
      <c r="A129" s="300"/>
      <c r="B129" s="310"/>
      <c r="C129" s="310"/>
      <c r="D129" s="310"/>
      <c r="E129" s="310"/>
      <c r="F129" s="310"/>
      <c r="G129" s="312"/>
      <c r="H129" s="300"/>
      <c r="I129" s="313"/>
      <c r="J129" s="306"/>
      <c r="K129" s="306"/>
      <c r="L129" s="306"/>
      <c r="M129" s="306"/>
      <c r="N129" s="306"/>
      <c r="O129" s="306"/>
      <c r="P129" s="306"/>
      <c r="Q129" s="315"/>
      <c r="R129" s="314"/>
      <c r="S129" s="314"/>
      <c r="T129" s="314"/>
      <c r="U129" s="314"/>
      <c r="V129" s="314"/>
      <c r="W129" s="314"/>
      <c r="X129" s="314"/>
      <c r="Y129" s="314"/>
      <c r="Z129" s="314"/>
      <c r="AA129" s="319"/>
      <c r="AB129" s="320"/>
      <c r="AG129"/>
    </row>
    <row r="130" spans="1:33">
      <c r="A130" s="300"/>
      <c r="B130" s="310"/>
      <c r="C130" s="310"/>
      <c r="D130" s="310"/>
      <c r="E130" s="310"/>
      <c r="F130" s="310"/>
      <c r="G130" s="312"/>
      <c r="H130" s="300"/>
      <c r="I130" s="313"/>
      <c r="J130" s="306"/>
      <c r="K130" s="306"/>
      <c r="L130" s="306"/>
      <c r="M130" s="306"/>
      <c r="N130" s="306"/>
      <c r="O130" s="306"/>
      <c r="P130" s="306"/>
      <c r="Q130" s="315"/>
      <c r="R130" s="314"/>
      <c r="S130" s="314"/>
      <c r="T130" s="314"/>
      <c r="U130" s="314"/>
      <c r="V130" s="314"/>
      <c r="W130" s="314"/>
      <c r="X130" s="314"/>
      <c r="Y130" s="314"/>
      <c r="Z130" s="314"/>
      <c r="AA130" s="319"/>
      <c r="AB130" s="320"/>
      <c r="AG130"/>
    </row>
    <row r="131" spans="1:33">
      <c r="A131" s="300"/>
      <c r="B131" s="310"/>
      <c r="C131" s="310"/>
      <c r="D131" s="310"/>
      <c r="E131" s="310"/>
      <c r="F131" s="310"/>
      <c r="G131" s="312"/>
      <c r="H131" s="300"/>
      <c r="I131" s="313"/>
      <c r="J131" s="306"/>
      <c r="K131" s="306"/>
      <c r="L131" s="306"/>
      <c r="M131" s="306"/>
      <c r="N131" s="306"/>
      <c r="O131" s="306"/>
      <c r="P131" s="306"/>
      <c r="Q131" s="315"/>
      <c r="R131" s="314"/>
      <c r="S131" s="314"/>
      <c r="T131" s="314"/>
      <c r="U131" s="314"/>
      <c r="V131" s="314"/>
      <c r="W131" s="314"/>
      <c r="X131" s="314"/>
      <c r="Y131" s="314"/>
      <c r="Z131" s="314"/>
      <c r="AA131" s="319"/>
      <c r="AB131" s="320"/>
      <c r="AG131"/>
    </row>
    <row r="132" spans="1:33">
      <c r="A132" s="300"/>
      <c r="B132" s="310"/>
      <c r="C132" s="310"/>
      <c r="D132" s="310"/>
      <c r="E132" s="310"/>
      <c r="F132" s="310"/>
      <c r="G132" s="312"/>
      <c r="H132" s="300"/>
      <c r="I132" s="313"/>
      <c r="J132" s="306"/>
      <c r="K132" s="306"/>
      <c r="L132" s="306"/>
      <c r="M132" s="306"/>
      <c r="N132" s="306"/>
      <c r="O132" s="306"/>
      <c r="P132" s="306"/>
      <c r="Q132" s="315"/>
      <c r="R132" s="314"/>
      <c r="S132" s="314"/>
      <c r="T132" s="314"/>
      <c r="U132" s="314"/>
      <c r="V132" s="314"/>
      <c r="W132" s="314"/>
      <c r="X132" s="314"/>
      <c r="Y132" s="314"/>
      <c r="Z132" s="314"/>
      <c r="AA132" s="319"/>
      <c r="AB132" s="320"/>
      <c r="AG132"/>
    </row>
    <row r="133" spans="1:33">
      <c r="A133" s="300"/>
      <c r="B133" s="310"/>
      <c r="C133" s="310"/>
      <c r="D133" s="310"/>
      <c r="E133" s="310"/>
      <c r="F133" s="310"/>
      <c r="G133" s="312"/>
      <c r="H133" s="300"/>
      <c r="I133" s="313"/>
      <c r="J133" s="306"/>
      <c r="K133" s="306"/>
      <c r="L133" s="306"/>
      <c r="M133" s="306"/>
      <c r="N133" s="306"/>
      <c r="O133" s="306"/>
      <c r="P133" s="306"/>
      <c r="Q133" s="315"/>
      <c r="R133" s="314"/>
      <c r="S133" s="314"/>
      <c r="T133" s="314"/>
      <c r="U133" s="314"/>
      <c r="V133" s="314"/>
      <c r="W133" s="314"/>
      <c r="X133" s="314"/>
      <c r="Y133" s="314"/>
      <c r="Z133" s="314"/>
      <c r="AA133" s="319"/>
      <c r="AB133" s="320"/>
      <c r="AG133"/>
    </row>
    <row r="134" spans="1:33">
      <c r="A134" s="300"/>
      <c r="B134" s="310"/>
      <c r="C134" s="310"/>
      <c r="D134" s="310"/>
      <c r="E134" s="310"/>
      <c r="F134" s="310"/>
      <c r="G134" s="312"/>
      <c r="H134" s="300"/>
      <c r="I134" s="313"/>
      <c r="J134" s="306"/>
      <c r="K134" s="306"/>
      <c r="L134" s="306"/>
      <c r="M134" s="306"/>
      <c r="N134" s="306"/>
      <c r="O134" s="306"/>
      <c r="P134" s="306"/>
      <c r="Q134" s="315"/>
      <c r="R134" s="314"/>
      <c r="S134" s="314"/>
      <c r="T134" s="314"/>
      <c r="U134" s="314"/>
      <c r="V134" s="314"/>
      <c r="W134" s="314"/>
      <c r="X134" s="314"/>
      <c r="Y134" s="314"/>
      <c r="Z134" s="314"/>
      <c r="AA134" s="319"/>
      <c r="AB134" s="320"/>
      <c r="AG134"/>
    </row>
    <row r="135" spans="1:33">
      <c r="A135" s="300"/>
      <c r="B135" s="310"/>
      <c r="C135" s="310"/>
      <c r="D135" s="310"/>
      <c r="E135" s="310"/>
      <c r="F135" s="310"/>
      <c r="G135" s="312"/>
      <c r="H135" s="300"/>
      <c r="I135" s="313"/>
      <c r="J135" s="306"/>
      <c r="K135" s="306"/>
      <c r="L135" s="306"/>
      <c r="M135" s="306"/>
      <c r="N135" s="306"/>
      <c r="O135" s="306"/>
      <c r="P135" s="306"/>
      <c r="Q135" s="315"/>
      <c r="R135" s="314"/>
      <c r="S135" s="314"/>
      <c r="T135" s="314"/>
      <c r="U135" s="314"/>
      <c r="V135" s="314"/>
      <c r="W135" s="314"/>
      <c r="X135" s="314"/>
      <c r="Y135" s="314"/>
      <c r="Z135" s="314"/>
      <c r="AA135" s="319"/>
      <c r="AB135" s="320"/>
      <c r="AG135"/>
    </row>
    <row r="136" spans="1:33" ht="15.75" thickBot="1">
      <c r="A136" s="300"/>
      <c r="B136" s="310"/>
      <c r="C136" s="310"/>
      <c r="D136" s="310"/>
      <c r="E136" s="310"/>
      <c r="F136" s="310"/>
      <c r="G136" s="312"/>
      <c r="H136" s="300"/>
      <c r="I136" s="313"/>
      <c r="J136" s="306"/>
      <c r="K136" s="306"/>
      <c r="L136" s="306"/>
      <c r="M136" s="306"/>
      <c r="N136" s="306"/>
      <c r="O136" s="306"/>
      <c r="P136" s="306"/>
      <c r="Q136" s="315"/>
      <c r="R136" s="314"/>
      <c r="S136" s="314"/>
      <c r="T136" s="314"/>
      <c r="U136" s="314"/>
      <c r="V136" s="314"/>
      <c r="W136" s="314"/>
      <c r="X136" s="314"/>
      <c r="Y136" s="314"/>
      <c r="Z136" s="314"/>
      <c r="AA136" s="319"/>
      <c r="AB136" s="320"/>
      <c r="AG136"/>
    </row>
    <row r="137" spans="1:33">
      <c r="A137" s="326"/>
      <c r="B137" s="302"/>
      <c r="C137" s="302"/>
      <c r="D137" s="302"/>
      <c r="E137" s="302"/>
      <c r="F137" s="302"/>
      <c r="G137" s="303"/>
      <c r="H137" s="304"/>
      <c r="I137" s="313"/>
      <c r="J137" s="306"/>
      <c r="K137" s="306"/>
      <c r="L137" s="306"/>
      <c r="M137" s="306"/>
      <c r="N137" s="306"/>
      <c r="O137" s="306"/>
      <c r="P137" s="306"/>
      <c r="Q137" s="307"/>
      <c r="R137" s="306"/>
      <c r="S137" s="306"/>
      <c r="T137" s="306"/>
      <c r="U137" s="306"/>
      <c r="V137" s="306"/>
      <c r="W137" s="306"/>
      <c r="X137" s="306"/>
      <c r="Y137" s="306"/>
      <c r="Z137" s="306"/>
      <c r="AA137" s="327"/>
      <c r="AB137" s="328"/>
      <c r="AG137"/>
    </row>
    <row r="138" spans="1:33">
      <c r="A138" s="300"/>
      <c r="B138" s="310"/>
      <c r="C138" s="310"/>
      <c r="D138" s="310"/>
      <c r="E138" s="310"/>
      <c r="F138" s="310"/>
      <c r="G138" s="312"/>
      <c r="H138" s="300"/>
      <c r="I138" s="313"/>
      <c r="J138" s="306"/>
      <c r="K138" s="306"/>
      <c r="L138" s="306"/>
      <c r="M138" s="306"/>
      <c r="N138" s="306"/>
      <c r="O138" s="306"/>
      <c r="P138" s="306"/>
      <c r="Q138" s="315"/>
      <c r="R138" s="314"/>
      <c r="S138" s="314"/>
      <c r="T138" s="314"/>
      <c r="U138" s="314"/>
      <c r="V138" s="314"/>
      <c r="W138" s="314"/>
      <c r="X138" s="314"/>
      <c r="Y138" s="314"/>
      <c r="Z138" s="314"/>
      <c r="AA138" s="319"/>
      <c r="AB138" s="320"/>
      <c r="AG138"/>
    </row>
    <row r="139" spans="1:33">
      <c r="A139" s="300"/>
      <c r="B139" s="310"/>
      <c r="C139" s="310"/>
      <c r="D139" s="310"/>
      <c r="E139" s="310"/>
      <c r="F139" s="310"/>
      <c r="G139" s="312"/>
      <c r="H139" s="300"/>
      <c r="I139" s="313"/>
      <c r="J139" s="306"/>
      <c r="K139" s="306"/>
      <c r="L139" s="306"/>
      <c r="M139" s="306"/>
      <c r="N139" s="306"/>
      <c r="O139" s="306"/>
      <c r="P139" s="306"/>
      <c r="Q139" s="315"/>
      <c r="R139" s="314"/>
      <c r="S139" s="314"/>
      <c r="T139" s="314"/>
      <c r="U139" s="314"/>
      <c r="V139" s="314"/>
      <c r="W139" s="314"/>
      <c r="X139" s="314"/>
      <c r="Y139" s="314"/>
      <c r="Z139" s="314"/>
      <c r="AA139" s="319"/>
      <c r="AB139" s="320"/>
      <c r="AG139"/>
    </row>
    <row r="140" spans="1:33">
      <c r="A140" s="300"/>
      <c r="B140" s="310"/>
      <c r="C140" s="310"/>
      <c r="D140" s="310"/>
      <c r="E140" s="310"/>
      <c r="F140" s="310"/>
      <c r="G140" s="312"/>
      <c r="H140" s="300"/>
      <c r="I140" s="313"/>
      <c r="J140" s="306"/>
      <c r="K140" s="306"/>
      <c r="L140" s="306"/>
      <c r="M140" s="306"/>
      <c r="N140" s="306"/>
      <c r="O140" s="306"/>
      <c r="P140" s="306"/>
      <c r="Q140" s="315"/>
      <c r="R140" s="314"/>
      <c r="S140" s="314"/>
      <c r="T140" s="314"/>
      <c r="U140" s="314"/>
      <c r="V140" s="314"/>
      <c r="W140" s="314"/>
      <c r="X140" s="314"/>
      <c r="Y140" s="314"/>
      <c r="Z140" s="314"/>
      <c r="AA140" s="319"/>
      <c r="AB140" s="320"/>
      <c r="AG140"/>
    </row>
    <row r="141" spans="1:33">
      <c r="A141" s="300"/>
      <c r="B141" s="310"/>
      <c r="C141" s="310"/>
      <c r="D141" s="310"/>
      <c r="E141" s="310"/>
      <c r="F141" s="310"/>
      <c r="G141" s="312"/>
      <c r="H141" s="300"/>
      <c r="I141" s="313"/>
      <c r="J141" s="306"/>
      <c r="K141" s="306"/>
      <c r="L141" s="306"/>
      <c r="M141" s="306"/>
      <c r="N141" s="306"/>
      <c r="O141" s="306"/>
      <c r="P141" s="306"/>
      <c r="Q141" s="315"/>
      <c r="R141" s="314"/>
      <c r="S141" s="314"/>
      <c r="T141" s="314"/>
      <c r="U141" s="314"/>
      <c r="V141" s="314"/>
      <c r="W141" s="314"/>
      <c r="X141" s="314"/>
      <c r="Y141" s="314"/>
      <c r="Z141" s="314"/>
      <c r="AA141" s="319"/>
      <c r="AB141" s="320"/>
      <c r="AG141"/>
    </row>
    <row r="142" spans="1:33">
      <c r="A142" s="300"/>
      <c r="B142" s="310"/>
      <c r="C142" s="310"/>
      <c r="D142" s="310"/>
      <c r="E142" s="310"/>
      <c r="F142" s="310"/>
      <c r="G142" s="312"/>
      <c r="H142" s="300"/>
      <c r="I142" s="313"/>
      <c r="J142" s="306"/>
      <c r="K142" s="306"/>
      <c r="L142" s="306"/>
      <c r="M142" s="306"/>
      <c r="N142" s="306"/>
      <c r="O142" s="306"/>
      <c r="P142" s="306"/>
      <c r="Q142" s="315"/>
      <c r="R142" s="314"/>
      <c r="S142" s="314"/>
      <c r="T142" s="314"/>
      <c r="U142" s="314"/>
      <c r="V142" s="314"/>
      <c r="W142" s="314"/>
      <c r="X142" s="314"/>
      <c r="Y142" s="314"/>
      <c r="Z142" s="314"/>
      <c r="AA142" s="319"/>
      <c r="AB142" s="320"/>
      <c r="AG142"/>
    </row>
    <row r="143" spans="1:33">
      <c r="A143" s="300"/>
      <c r="B143" s="310"/>
      <c r="C143" s="310"/>
      <c r="D143" s="310"/>
      <c r="E143" s="310"/>
      <c r="F143" s="310"/>
      <c r="G143" s="312"/>
      <c r="H143" s="300"/>
      <c r="I143" s="313"/>
      <c r="J143" s="306"/>
      <c r="K143" s="306"/>
      <c r="L143" s="306"/>
      <c r="M143" s="306"/>
      <c r="N143" s="306"/>
      <c r="O143" s="306"/>
      <c r="P143" s="306"/>
      <c r="Q143" s="315"/>
      <c r="R143" s="314"/>
      <c r="S143" s="314"/>
      <c r="T143" s="314"/>
      <c r="U143" s="314"/>
      <c r="V143" s="314"/>
      <c r="W143" s="314"/>
      <c r="X143" s="314"/>
      <c r="Y143" s="314"/>
      <c r="Z143" s="314"/>
      <c r="AA143" s="319"/>
      <c r="AB143" s="320"/>
      <c r="AG143"/>
    </row>
    <row r="144" spans="1:33">
      <c r="A144" s="300"/>
      <c r="B144" s="310"/>
      <c r="C144" s="310"/>
      <c r="D144" s="310"/>
      <c r="E144" s="310"/>
      <c r="F144" s="310"/>
      <c r="G144" s="312"/>
      <c r="H144" s="300"/>
      <c r="I144" s="313"/>
      <c r="J144" s="306"/>
      <c r="K144" s="306"/>
      <c r="L144" s="306"/>
      <c r="M144" s="306"/>
      <c r="N144" s="306"/>
      <c r="O144" s="306"/>
      <c r="P144" s="306"/>
      <c r="Q144" s="315"/>
      <c r="R144" s="314"/>
      <c r="S144" s="314"/>
      <c r="T144" s="314"/>
      <c r="U144" s="314"/>
      <c r="V144" s="314"/>
      <c r="W144" s="314"/>
      <c r="X144" s="314"/>
      <c r="Y144" s="314"/>
      <c r="Z144" s="314"/>
      <c r="AA144" s="319"/>
      <c r="AB144" s="320"/>
      <c r="AG144"/>
    </row>
    <row r="145" spans="1:33">
      <c r="A145" s="300"/>
      <c r="B145" s="310"/>
      <c r="C145" s="310"/>
      <c r="D145" s="310"/>
      <c r="E145" s="310"/>
      <c r="F145" s="310"/>
      <c r="G145" s="312"/>
      <c r="H145" s="300"/>
      <c r="I145" s="313"/>
      <c r="J145" s="306"/>
      <c r="K145" s="306"/>
      <c r="L145" s="306"/>
      <c r="M145" s="306"/>
      <c r="N145" s="306"/>
      <c r="O145" s="306"/>
      <c r="P145" s="306"/>
      <c r="Q145" s="315"/>
      <c r="R145" s="314"/>
      <c r="S145" s="314"/>
      <c r="T145" s="314"/>
      <c r="U145" s="314"/>
      <c r="V145" s="314"/>
      <c r="W145" s="314"/>
      <c r="X145" s="314"/>
      <c r="Y145" s="314"/>
      <c r="Z145" s="314"/>
      <c r="AA145" s="319"/>
      <c r="AB145" s="320"/>
      <c r="AG145"/>
    </row>
    <row r="146" spans="1:33">
      <c r="A146" s="300"/>
      <c r="B146" s="310"/>
      <c r="C146" s="310"/>
      <c r="D146" s="310"/>
      <c r="E146" s="310"/>
      <c r="F146" s="310"/>
      <c r="G146" s="312"/>
      <c r="H146" s="300"/>
      <c r="I146" s="313"/>
      <c r="J146" s="306"/>
      <c r="K146" s="306"/>
      <c r="L146" s="306"/>
      <c r="M146" s="306"/>
      <c r="N146" s="306"/>
      <c r="O146" s="306"/>
      <c r="P146" s="306"/>
      <c r="Q146" s="315"/>
      <c r="R146" s="314"/>
      <c r="S146" s="314"/>
      <c r="T146" s="314"/>
      <c r="U146" s="314"/>
      <c r="V146" s="314"/>
      <c r="W146" s="314"/>
      <c r="X146" s="314"/>
      <c r="Y146" s="314"/>
      <c r="Z146" s="314"/>
      <c r="AA146" s="319"/>
      <c r="AB146" s="320"/>
      <c r="AG146"/>
    </row>
    <row r="147" spans="1:33">
      <c r="A147" s="300"/>
      <c r="B147" s="310"/>
      <c r="C147" s="310"/>
      <c r="D147" s="310"/>
      <c r="E147" s="310"/>
      <c r="F147" s="310"/>
      <c r="G147" s="312"/>
      <c r="H147" s="300"/>
      <c r="I147" s="313"/>
      <c r="J147" s="306"/>
      <c r="K147" s="306"/>
      <c r="L147" s="306"/>
      <c r="M147" s="306"/>
      <c r="N147" s="306"/>
      <c r="O147" s="306"/>
      <c r="P147" s="306"/>
      <c r="Q147" s="315"/>
      <c r="R147" s="314"/>
      <c r="S147" s="314"/>
      <c r="T147" s="314"/>
      <c r="U147" s="314"/>
      <c r="V147" s="314"/>
      <c r="W147" s="314"/>
      <c r="X147" s="314"/>
      <c r="Y147" s="314"/>
      <c r="Z147" s="314"/>
      <c r="AA147" s="319"/>
      <c r="AB147" s="320"/>
      <c r="AG147"/>
    </row>
    <row r="148" spans="1:33">
      <c r="A148" s="300"/>
      <c r="B148" s="310"/>
      <c r="C148" s="310"/>
      <c r="D148" s="310"/>
      <c r="E148" s="310"/>
      <c r="F148" s="310"/>
      <c r="G148" s="312"/>
      <c r="H148" s="300"/>
      <c r="I148" s="313"/>
      <c r="J148" s="306"/>
      <c r="K148" s="306"/>
      <c r="L148" s="306"/>
      <c r="M148" s="306"/>
      <c r="N148" s="306"/>
      <c r="O148" s="306"/>
      <c r="P148" s="306"/>
      <c r="Q148" s="315"/>
      <c r="R148" s="314"/>
      <c r="S148" s="314"/>
      <c r="T148" s="314"/>
      <c r="U148" s="314"/>
      <c r="V148" s="314"/>
      <c r="W148" s="314"/>
      <c r="X148" s="314"/>
      <c r="Y148" s="314"/>
      <c r="Z148" s="314"/>
      <c r="AA148" s="319"/>
      <c r="AB148" s="320"/>
      <c r="AG148"/>
    </row>
    <row r="149" spans="1:33">
      <c r="A149" s="300"/>
      <c r="B149" s="310"/>
      <c r="C149" s="310"/>
      <c r="D149" s="310"/>
      <c r="E149" s="310"/>
      <c r="F149" s="310"/>
      <c r="G149" s="312"/>
      <c r="H149" s="300"/>
      <c r="I149" s="313"/>
      <c r="J149" s="306"/>
      <c r="K149" s="306"/>
      <c r="L149" s="306"/>
      <c r="M149" s="306"/>
      <c r="N149" s="306"/>
      <c r="O149" s="306"/>
      <c r="P149" s="306"/>
      <c r="Q149" s="315"/>
      <c r="R149" s="314"/>
      <c r="S149" s="314"/>
      <c r="T149" s="314"/>
      <c r="U149" s="314"/>
      <c r="V149" s="314"/>
      <c r="W149" s="314"/>
      <c r="X149" s="314"/>
      <c r="Y149" s="314"/>
      <c r="Z149" s="314"/>
      <c r="AA149" s="319"/>
      <c r="AB149" s="320"/>
      <c r="AG149"/>
    </row>
    <row r="150" spans="1:33">
      <c r="A150" s="300"/>
      <c r="B150" s="310"/>
      <c r="C150" s="310"/>
      <c r="D150" s="310"/>
      <c r="E150" s="310"/>
      <c r="F150" s="310"/>
      <c r="G150" s="312"/>
      <c r="H150" s="300"/>
      <c r="I150" s="313"/>
      <c r="J150" s="306"/>
      <c r="K150" s="306"/>
      <c r="L150" s="306"/>
      <c r="M150" s="306"/>
      <c r="N150" s="306"/>
      <c r="O150" s="306"/>
      <c r="P150" s="306"/>
      <c r="Q150" s="315"/>
      <c r="R150" s="314"/>
      <c r="S150" s="314"/>
      <c r="T150" s="314"/>
      <c r="U150" s="314"/>
      <c r="V150" s="314"/>
      <c r="W150" s="314"/>
      <c r="X150" s="314"/>
      <c r="Y150" s="314"/>
      <c r="Z150" s="314"/>
      <c r="AA150" s="319"/>
      <c r="AB150" s="320"/>
      <c r="AG150"/>
    </row>
    <row r="151" spans="1:33">
      <c r="A151" s="300"/>
      <c r="B151" s="310"/>
      <c r="C151" s="310"/>
      <c r="D151" s="310"/>
      <c r="E151" s="310"/>
      <c r="F151" s="310"/>
      <c r="G151" s="312"/>
      <c r="H151" s="300"/>
      <c r="I151" s="313"/>
      <c r="J151" s="306"/>
      <c r="K151" s="306"/>
      <c r="L151" s="306"/>
      <c r="M151" s="306"/>
      <c r="N151" s="306"/>
      <c r="O151" s="306"/>
      <c r="P151" s="306"/>
      <c r="Q151" s="315"/>
      <c r="R151" s="314"/>
      <c r="S151" s="314"/>
      <c r="T151" s="314"/>
      <c r="U151" s="314"/>
      <c r="V151" s="314"/>
      <c r="W151" s="314"/>
      <c r="X151" s="314"/>
      <c r="Y151" s="314"/>
      <c r="Z151" s="314"/>
      <c r="AA151" s="319"/>
      <c r="AB151" s="320"/>
      <c r="AG151"/>
    </row>
    <row r="152" spans="1:33">
      <c r="A152" s="300"/>
      <c r="B152" s="310"/>
      <c r="C152" s="310"/>
      <c r="D152" s="310"/>
      <c r="E152" s="310"/>
      <c r="F152" s="310"/>
      <c r="G152" s="312"/>
      <c r="H152" s="300"/>
      <c r="I152" s="313"/>
      <c r="J152" s="306"/>
      <c r="K152" s="306"/>
      <c r="L152" s="306"/>
      <c r="M152" s="306"/>
      <c r="N152" s="306"/>
      <c r="O152" s="306"/>
      <c r="P152" s="306"/>
      <c r="Q152" s="315"/>
      <c r="R152" s="314"/>
      <c r="S152" s="314"/>
      <c r="T152" s="314"/>
      <c r="U152" s="314"/>
      <c r="V152" s="314"/>
      <c r="W152" s="314"/>
      <c r="X152" s="314"/>
      <c r="Y152" s="314"/>
      <c r="Z152" s="314"/>
      <c r="AA152" s="319"/>
      <c r="AB152" s="320"/>
      <c r="AG152"/>
    </row>
    <row r="153" spans="1:33">
      <c r="A153" s="300"/>
      <c r="B153" s="310"/>
      <c r="C153" s="310"/>
      <c r="D153" s="310"/>
      <c r="E153" s="310"/>
      <c r="F153" s="310"/>
      <c r="G153" s="312"/>
      <c r="H153" s="300"/>
      <c r="I153" s="313"/>
      <c r="J153" s="306"/>
      <c r="K153" s="306"/>
      <c r="L153" s="306"/>
      <c r="M153" s="306"/>
      <c r="N153" s="306"/>
      <c r="O153" s="306"/>
      <c r="P153" s="306"/>
      <c r="Q153" s="315"/>
      <c r="R153" s="314"/>
      <c r="S153" s="314"/>
      <c r="T153" s="314"/>
      <c r="U153" s="314"/>
      <c r="V153" s="314"/>
      <c r="W153" s="314"/>
      <c r="X153" s="314"/>
      <c r="Y153" s="314"/>
      <c r="Z153" s="314"/>
      <c r="AA153" s="319"/>
      <c r="AB153" s="320"/>
      <c r="AG153"/>
    </row>
    <row r="154" spans="1:33">
      <c r="A154" s="300"/>
      <c r="B154" s="310"/>
      <c r="C154" s="310"/>
      <c r="D154" s="310"/>
      <c r="E154" s="310"/>
      <c r="F154" s="310"/>
      <c r="G154" s="312"/>
      <c r="H154" s="300"/>
      <c r="I154" s="313"/>
      <c r="J154" s="306"/>
      <c r="K154" s="306"/>
      <c r="L154" s="306"/>
      <c r="M154" s="306"/>
      <c r="N154" s="306"/>
      <c r="O154" s="306"/>
      <c r="P154" s="306"/>
      <c r="Q154" s="315"/>
      <c r="R154" s="314"/>
      <c r="S154" s="314"/>
      <c r="T154" s="314"/>
      <c r="U154" s="314"/>
      <c r="V154" s="314"/>
      <c r="W154" s="314"/>
      <c r="X154" s="314"/>
      <c r="Y154" s="314"/>
      <c r="Z154" s="314"/>
      <c r="AA154" s="319"/>
      <c r="AB154" s="320"/>
      <c r="AG154"/>
    </row>
    <row r="155" spans="1:33">
      <c r="A155" s="300"/>
      <c r="B155" s="310"/>
      <c r="C155" s="310"/>
      <c r="D155" s="310"/>
      <c r="E155" s="310"/>
      <c r="F155" s="310"/>
      <c r="G155" s="312"/>
      <c r="H155" s="300"/>
      <c r="I155" s="313"/>
      <c r="J155" s="306"/>
      <c r="K155" s="306"/>
      <c r="L155" s="306"/>
      <c r="M155" s="306"/>
      <c r="N155" s="306"/>
      <c r="O155" s="306"/>
      <c r="P155" s="306"/>
      <c r="Q155" s="315"/>
      <c r="R155" s="314"/>
      <c r="S155" s="314"/>
      <c r="T155" s="314"/>
      <c r="U155" s="314"/>
      <c r="V155" s="314"/>
      <c r="W155" s="314"/>
      <c r="X155" s="314"/>
      <c r="Y155" s="314"/>
      <c r="Z155" s="314"/>
      <c r="AA155" s="319"/>
      <c r="AB155" s="320"/>
      <c r="AG155"/>
    </row>
    <row r="156" spans="1:33">
      <c r="A156" s="300"/>
      <c r="B156" s="310"/>
      <c r="C156" s="310"/>
      <c r="D156" s="310"/>
      <c r="E156" s="310"/>
      <c r="F156" s="310"/>
      <c r="G156" s="312"/>
      <c r="H156" s="300"/>
      <c r="I156" s="313"/>
      <c r="J156" s="306"/>
      <c r="K156" s="306"/>
      <c r="L156" s="306"/>
      <c r="M156" s="306"/>
      <c r="N156" s="306"/>
      <c r="O156" s="306"/>
      <c r="P156" s="306"/>
      <c r="Q156" s="315"/>
      <c r="R156" s="314"/>
      <c r="S156" s="314"/>
      <c r="T156" s="314"/>
      <c r="U156" s="314"/>
      <c r="V156" s="314"/>
      <c r="W156" s="314"/>
      <c r="X156" s="314"/>
      <c r="Y156" s="314"/>
      <c r="Z156" s="314"/>
      <c r="AA156" s="319"/>
      <c r="AB156" s="320"/>
      <c r="AG156"/>
    </row>
    <row r="157" spans="1:33">
      <c r="A157" s="300"/>
      <c r="B157" s="310"/>
      <c r="C157" s="310"/>
      <c r="D157" s="310"/>
      <c r="E157" s="310"/>
      <c r="F157" s="310"/>
      <c r="G157" s="312"/>
      <c r="H157" s="300"/>
      <c r="I157" s="313"/>
      <c r="J157" s="306"/>
      <c r="K157" s="306"/>
      <c r="L157" s="306"/>
      <c r="M157" s="306"/>
      <c r="N157" s="306"/>
      <c r="O157" s="306"/>
      <c r="P157" s="306"/>
      <c r="Q157" s="315"/>
      <c r="R157" s="314"/>
      <c r="S157" s="314"/>
      <c r="T157" s="314"/>
      <c r="U157" s="314"/>
      <c r="V157" s="314"/>
      <c r="W157" s="314"/>
      <c r="X157" s="314"/>
      <c r="Y157" s="314"/>
      <c r="Z157" s="314"/>
      <c r="AA157" s="319"/>
      <c r="AB157" s="320"/>
      <c r="AG157"/>
    </row>
    <row r="158" spans="1:33">
      <c r="A158" s="300"/>
      <c r="B158" s="310"/>
      <c r="C158" s="310"/>
      <c r="D158" s="310"/>
      <c r="E158" s="310"/>
      <c r="F158" s="310"/>
      <c r="G158" s="312"/>
      <c r="H158" s="300"/>
      <c r="I158" s="313"/>
      <c r="J158" s="306"/>
      <c r="K158" s="306"/>
      <c r="L158" s="306"/>
      <c r="M158" s="306"/>
      <c r="N158" s="306"/>
      <c r="O158" s="306"/>
      <c r="P158" s="306"/>
      <c r="Q158" s="315"/>
      <c r="R158" s="314"/>
      <c r="S158" s="314"/>
      <c r="T158" s="314"/>
      <c r="U158" s="314"/>
      <c r="V158" s="314"/>
      <c r="W158" s="314"/>
      <c r="X158" s="314"/>
      <c r="Y158" s="314"/>
      <c r="Z158" s="314"/>
      <c r="AA158" s="319"/>
      <c r="AB158" s="320"/>
      <c r="AG158"/>
    </row>
    <row r="159" spans="1:33">
      <c r="A159" s="300"/>
      <c r="B159" s="310"/>
      <c r="C159" s="310"/>
      <c r="D159" s="310"/>
      <c r="E159" s="310"/>
      <c r="F159" s="310"/>
      <c r="G159" s="312"/>
      <c r="H159" s="300"/>
      <c r="I159" s="313"/>
      <c r="J159" s="306"/>
      <c r="K159" s="306"/>
      <c r="L159" s="306"/>
      <c r="M159" s="306"/>
      <c r="N159" s="306"/>
      <c r="O159" s="306"/>
      <c r="P159" s="306"/>
      <c r="Q159" s="315"/>
      <c r="R159" s="314"/>
      <c r="S159" s="314"/>
      <c r="T159" s="314"/>
      <c r="U159" s="314"/>
      <c r="V159" s="314"/>
      <c r="W159" s="314"/>
      <c r="X159" s="314"/>
      <c r="Y159" s="314"/>
      <c r="Z159" s="314"/>
      <c r="AA159" s="319"/>
      <c r="AB159" s="320"/>
      <c r="AG159"/>
    </row>
    <row r="160" spans="1:33">
      <c r="A160" s="300"/>
      <c r="B160" s="310"/>
      <c r="C160" s="310"/>
      <c r="D160" s="310"/>
      <c r="E160" s="310"/>
      <c r="F160" s="310"/>
      <c r="G160" s="312"/>
      <c r="H160" s="300"/>
      <c r="I160" s="313"/>
      <c r="J160" s="306"/>
      <c r="K160" s="306"/>
      <c r="L160" s="306"/>
      <c r="M160" s="306"/>
      <c r="N160" s="306"/>
      <c r="O160" s="306"/>
      <c r="P160" s="306"/>
      <c r="Q160" s="315"/>
      <c r="R160" s="314"/>
      <c r="S160" s="314"/>
      <c r="T160" s="314"/>
      <c r="U160" s="314"/>
      <c r="V160" s="314"/>
      <c r="W160" s="314"/>
      <c r="X160" s="314"/>
      <c r="Y160" s="314"/>
      <c r="Z160" s="314"/>
      <c r="AA160" s="319"/>
      <c r="AB160" s="320"/>
      <c r="AG160"/>
    </row>
    <row r="161" spans="1:33">
      <c r="A161" s="300"/>
      <c r="B161" s="310"/>
      <c r="C161" s="310"/>
      <c r="D161" s="310"/>
      <c r="E161" s="310"/>
      <c r="F161" s="310"/>
      <c r="G161" s="312"/>
      <c r="H161" s="300"/>
      <c r="I161" s="313"/>
      <c r="J161" s="306"/>
      <c r="K161" s="306"/>
      <c r="L161" s="306"/>
      <c r="M161" s="306"/>
      <c r="N161" s="306"/>
      <c r="O161" s="306"/>
      <c r="P161" s="306"/>
      <c r="Q161" s="315"/>
      <c r="R161" s="314"/>
      <c r="S161" s="314"/>
      <c r="T161" s="314"/>
      <c r="U161" s="314"/>
      <c r="V161" s="314"/>
      <c r="W161" s="314"/>
      <c r="X161" s="314"/>
      <c r="Y161" s="314"/>
      <c r="Z161" s="314"/>
      <c r="AA161" s="319"/>
      <c r="AB161" s="320"/>
      <c r="AG161"/>
    </row>
    <row r="162" spans="1:33">
      <c r="A162" s="300"/>
      <c r="B162" s="310"/>
      <c r="C162" s="310"/>
      <c r="D162" s="310"/>
      <c r="E162" s="310"/>
      <c r="F162" s="310"/>
      <c r="G162" s="312"/>
      <c r="H162" s="300"/>
      <c r="I162" s="313"/>
      <c r="J162" s="306"/>
      <c r="K162" s="306"/>
      <c r="L162" s="306"/>
      <c r="M162" s="306"/>
      <c r="N162" s="306"/>
      <c r="O162" s="306"/>
      <c r="P162" s="306"/>
      <c r="Q162" s="315"/>
      <c r="R162" s="314"/>
      <c r="S162" s="314"/>
      <c r="T162" s="314"/>
      <c r="U162" s="314"/>
      <c r="V162" s="314"/>
      <c r="W162" s="314"/>
      <c r="X162" s="314"/>
      <c r="Y162" s="314"/>
      <c r="Z162" s="314"/>
      <c r="AA162" s="319"/>
      <c r="AB162" s="320"/>
      <c r="AG162"/>
    </row>
    <row r="163" spans="1:33">
      <c r="A163" s="300"/>
      <c r="B163" s="310"/>
      <c r="C163" s="310"/>
      <c r="D163" s="310"/>
      <c r="E163" s="310"/>
      <c r="F163" s="310"/>
      <c r="G163" s="312"/>
      <c r="H163" s="300"/>
      <c r="I163" s="313"/>
      <c r="J163" s="306"/>
      <c r="K163" s="306"/>
      <c r="L163" s="306"/>
      <c r="M163" s="306"/>
      <c r="N163" s="306"/>
      <c r="O163" s="306"/>
      <c r="P163" s="306"/>
      <c r="Q163" s="315"/>
      <c r="R163" s="314"/>
      <c r="S163" s="314"/>
      <c r="T163" s="314"/>
      <c r="U163" s="314"/>
      <c r="V163" s="314"/>
      <c r="W163" s="314"/>
      <c r="X163" s="314"/>
      <c r="Y163" s="314"/>
      <c r="Z163" s="314"/>
      <c r="AA163" s="319"/>
      <c r="AB163" s="320"/>
      <c r="AG163"/>
    </row>
    <row r="164" spans="1:33">
      <c r="A164" s="300"/>
      <c r="B164" s="310"/>
      <c r="C164" s="310"/>
      <c r="D164" s="310"/>
      <c r="E164" s="310"/>
      <c r="F164" s="310"/>
      <c r="G164" s="312"/>
      <c r="H164" s="300"/>
      <c r="I164" s="313"/>
      <c r="J164" s="306"/>
      <c r="K164" s="306"/>
      <c r="L164" s="306"/>
      <c r="M164" s="306"/>
      <c r="N164" s="306"/>
      <c r="O164" s="306"/>
      <c r="P164" s="306"/>
      <c r="Q164" s="315"/>
      <c r="R164" s="314"/>
      <c r="S164" s="314"/>
      <c r="T164" s="314"/>
      <c r="U164" s="314"/>
      <c r="V164" s="314"/>
      <c r="W164" s="314"/>
      <c r="X164" s="314"/>
      <c r="Y164" s="314"/>
      <c r="Z164" s="314"/>
      <c r="AA164" s="319"/>
      <c r="AB164" s="320"/>
      <c r="AG164"/>
    </row>
    <row r="165" spans="1:33">
      <c r="A165" s="300"/>
      <c r="B165" s="310"/>
      <c r="C165" s="310"/>
      <c r="D165" s="310"/>
      <c r="E165" s="310"/>
      <c r="F165" s="310"/>
      <c r="G165" s="312"/>
      <c r="H165" s="300"/>
      <c r="I165" s="313"/>
      <c r="J165" s="306"/>
      <c r="K165" s="306"/>
      <c r="L165" s="306"/>
      <c r="M165" s="306"/>
      <c r="N165" s="306"/>
      <c r="O165" s="306"/>
      <c r="P165" s="306"/>
      <c r="Q165" s="315"/>
      <c r="R165" s="314"/>
      <c r="S165" s="314"/>
      <c r="T165" s="314"/>
      <c r="U165" s="314"/>
      <c r="V165" s="314"/>
      <c r="W165" s="314"/>
      <c r="X165" s="314"/>
      <c r="Y165" s="314"/>
      <c r="Z165" s="314"/>
      <c r="AA165" s="319"/>
      <c r="AB165" s="320"/>
      <c r="AG165"/>
    </row>
    <row r="166" spans="1:33">
      <c r="A166" s="300"/>
      <c r="B166" s="310"/>
      <c r="C166" s="310"/>
      <c r="D166" s="310"/>
      <c r="E166" s="310"/>
      <c r="F166" s="310"/>
      <c r="G166" s="312"/>
      <c r="H166" s="300"/>
      <c r="I166" s="313"/>
      <c r="J166" s="306"/>
      <c r="K166" s="306"/>
      <c r="L166" s="306"/>
      <c r="M166" s="306"/>
      <c r="N166" s="306"/>
      <c r="O166" s="306"/>
      <c r="P166" s="306"/>
      <c r="Q166" s="315"/>
      <c r="R166" s="314"/>
      <c r="S166" s="314"/>
      <c r="T166" s="314"/>
      <c r="U166" s="314"/>
      <c r="V166" s="314"/>
      <c r="W166" s="314"/>
      <c r="X166" s="314"/>
      <c r="Y166" s="314"/>
      <c r="Z166" s="314"/>
      <c r="AA166" s="319"/>
      <c r="AB166" s="320"/>
      <c r="AG166"/>
    </row>
    <row r="167" spans="1:33">
      <c r="A167" s="300"/>
      <c r="B167" s="310"/>
      <c r="C167" s="310"/>
      <c r="D167" s="310"/>
      <c r="E167" s="310"/>
      <c r="F167" s="310"/>
      <c r="G167" s="312"/>
      <c r="H167" s="300"/>
      <c r="I167" s="313"/>
      <c r="J167" s="306"/>
      <c r="K167" s="306"/>
      <c r="L167" s="306"/>
      <c r="M167" s="306"/>
      <c r="N167" s="306"/>
      <c r="O167" s="306"/>
      <c r="P167" s="306"/>
      <c r="Q167" s="315"/>
      <c r="R167" s="314"/>
      <c r="S167" s="314"/>
      <c r="T167" s="314"/>
      <c r="U167" s="314"/>
      <c r="V167" s="314"/>
      <c r="W167" s="314"/>
      <c r="X167" s="314"/>
      <c r="Y167" s="314"/>
      <c r="Z167" s="314"/>
      <c r="AA167" s="319"/>
      <c r="AB167" s="320"/>
      <c r="AG167"/>
    </row>
    <row r="168" spans="1:33">
      <c r="A168" s="300"/>
      <c r="B168" s="310"/>
      <c r="C168" s="310"/>
      <c r="D168" s="310"/>
      <c r="E168" s="310"/>
      <c r="F168" s="310"/>
      <c r="G168" s="312"/>
      <c r="H168" s="300"/>
      <c r="I168" s="313"/>
      <c r="J168" s="306"/>
      <c r="K168" s="306"/>
      <c r="L168" s="306"/>
      <c r="M168" s="306"/>
      <c r="N168" s="306"/>
      <c r="O168" s="306"/>
      <c r="P168" s="306"/>
      <c r="Q168" s="315"/>
      <c r="R168" s="314"/>
      <c r="S168" s="314"/>
      <c r="T168" s="314"/>
      <c r="U168" s="314"/>
      <c r="V168" s="314"/>
      <c r="W168" s="314"/>
      <c r="X168" s="314"/>
      <c r="Y168" s="314"/>
      <c r="Z168" s="314"/>
      <c r="AA168" s="319"/>
      <c r="AB168" s="320"/>
      <c r="AG168"/>
    </row>
    <row r="169" spans="1:33">
      <c r="A169" s="300"/>
      <c r="B169" s="310"/>
      <c r="C169" s="310"/>
      <c r="D169" s="310"/>
      <c r="E169" s="310"/>
      <c r="F169" s="310"/>
      <c r="G169" s="312"/>
      <c r="H169" s="300"/>
      <c r="I169" s="313"/>
      <c r="J169" s="306"/>
      <c r="K169" s="306"/>
      <c r="L169" s="306"/>
      <c r="M169" s="306"/>
      <c r="N169" s="306"/>
      <c r="O169" s="306"/>
      <c r="P169" s="306"/>
      <c r="Q169" s="315"/>
      <c r="R169" s="314"/>
      <c r="S169" s="314"/>
      <c r="T169" s="314"/>
      <c r="U169" s="314"/>
      <c r="V169" s="314"/>
      <c r="W169" s="314"/>
      <c r="X169" s="314"/>
      <c r="Y169" s="314"/>
      <c r="Z169" s="314"/>
      <c r="AA169" s="319"/>
      <c r="AB169" s="320"/>
      <c r="AG169"/>
    </row>
    <row r="170" spans="1:33">
      <c r="A170" s="300"/>
      <c r="B170" s="310"/>
      <c r="C170" s="310"/>
      <c r="D170" s="310"/>
      <c r="E170" s="310"/>
      <c r="F170" s="310"/>
      <c r="G170" s="312"/>
      <c r="H170" s="300"/>
      <c r="I170" s="313"/>
      <c r="J170" s="306"/>
      <c r="K170" s="306"/>
      <c r="L170" s="306"/>
      <c r="M170" s="306"/>
      <c r="N170" s="306"/>
      <c r="O170" s="306"/>
      <c r="P170" s="306"/>
      <c r="Q170" s="315"/>
      <c r="R170" s="314"/>
      <c r="S170" s="314"/>
      <c r="T170" s="314"/>
      <c r="U170" s="314"/>
      <c r="V170" s="314"/>
      <c r="W170" s="314"/>
      <c r="X170" s="314"/>
      <c r="Y170" s="314"/>
      <c r="Z170" s="314"/>
      <c r="AA170" s="319"/>
      <c r="AB170" s="320"/>
      <c r="AG170"/>
    </row>
    <row r="171" spans="1:33">
      <c r="A171" s="300"/>
      <c r="B171" s="310"/>
      <c r="C171" s="310"/>
      <c r="D171" s="310"/>
      <c r="E171" s="310"/>
      <c r="F171" s="310"/>
      <c r="G171" s="312"/>
      <c r="H171" s="300"/>
      <c r="I171" s="313"/>
      <c r="J171" s="306"/>
      <c r="K171" s="306"/>
      <c r="L171" s="306"/>
      <c r="M171" s="306"/>
      <c r="N171" s="306"/>
      <c r="O171" s="306"/>
      <c r="P171" s="306"/>
      <c r="Q171" s="315"/>
      <c r="R171" s="314"/>
      <c r="S171" s="314"/>
      <c r="T171" s="314"/>
      <c r="U171" s="314"/>
      <c r="V171" s="314"/>
      <c r="W171" s="314"/>
      <c r="X171" s="314"/>
      <c r="Y171" s="314"/>
      <c r="Z171" s="314"/>
      <c r="AA171" s="319"/>
      <c r="AB171" s="320"/>
      <c r="AG171"/>
    </row>
    <row r="172" spans="1:33">
      <c r="A172" s="300"/>
      <c r="B172" s="310"/>
      <c r="C172" s="310"/>
      <c r="D172" s="310"/>
      <c r="E172" s="310"/>
      <c r="F172" s="310"/>
      <c r="G172" s="312"/>
      <c r="H172" s="300"/>
      <c r="I172" s="313"/>
      <c r="J172" s="306"/>
      <c r="K172" s="306"/>
      <c r="L172" s="306"/>
      <c r="M172" s="306"/>
      <c r="N172" s="306"/>
      <c r="O172" s="306"/>
      <c r="P172" s="306"/>
      <c r="Q172" s="315"/>
      <c r="R172" s="314"/>
      <c r="S172" s="314"/>
      <c r="T172" s="314"/>
      <c r="U172" s="314"/>
      <c r="V172" s="314"/>
      <c r="W172" s="314"/>
      <c r="X172" s="314"/>
      <c r="Y172" s="314"/>
      <c r="Z172" s="314"/>
      <c r="AA172" s="319"/>
      <c r="AB172" s="320"/>
      <c r="AG172"/>
    </row>
    <row r="173" spans="1:33">
      <c r="A173" s="300"/>
      <c r="B173" s="310"/>
      <c r="C173" s="310"/>
      <c r="D173" s="310"/>
      <c r="E173" s="310"/>
      <c r="F173" s="310"/>
      <c r="G173" s="312"/>
      <c r="H173" s="300"/>
      <c r="I173" s="313"/>
      <c r="J173" s="306"/>
      <c r="K173" s="306"/>
      <c r="L173" s="306"/>
      <c r="M173" s="306"/>
      <c r="N173" s="306"/>
      <c r="O173" s="306"/>
      <c r="P173" s="306"/>
      <c r="Q173" s="315"/>
      <c r="R173" s="314"/>
      <c r="S173" s="314"/>
      <c r="T173" s="314"/>
      <c r="U173" s="314"/>
      <c r="V173" s="314"/>
      <c r="W173" s="314"/>
      <c r="X173" s="314"/>
      <c r="Y173" s="314"/>
      <c r="Z173" s="314"/>
      <c r="AA173" s="319"/>
      <c r="AB173" s="320"/>
      <c r="AG173"/>
    </row>
    <row r="174" spans="1:33">
      <c r="A174" s="300"/>
      <c r="B174" s="310"/>
      <c r="C174" s="310"/>
      <c r="D174" s="310"/>
      <c r="E174" s="310"/>
      <c r="F174" s="310"/>
      <c r="G174" s="312"/>
      <c r="H174" s="300"/>
      <c r="I174" s="313"/>
      <c r="J174" s="306"/>
      <c r="K174" s="306"/>
      <c r="L174" s="306"/>
      <c r="M174" s="306"/>
      <c r="N174" s="306"/>
      <c r="O174" s="306"/>
      <c r="P174" s="306"/>
      <c r="Q174" s="315"/>
      <c r="R174" s="314"/>
      <c r="S174" s="314"/>
      <c r="T174" s="314"/>
      <c r="U174" s="314"/>
      <c r="V174" s="314"/>
      <c r="W174" s="314"/>
      <c r="X174" s="314"/>
      <c r="Y174" s="314"/>
      <c r="Z174" s="314"/>
      <c r="AA174" s="319"/>
      <c r="AB174" s="320"/>
      <c r="AG174"/>
    </row>
    <row r="175" spans="1:33">
      <c r="A175" s="300"/>
      <c r="B175" s="310"/>
      <c r="C175" s="310"/>
      <c r="D175" s="310"/>
      <c r="E175" s="310"/>
      <c r="F175" s="310"/>
      <c r="G175" s="312"/>
      <c r="H175" s="300"/>
      <c r="I175" s="313"/>
      <c r="J175" s="306"/>
      <c r="K175" s="306"/>
      <c r="L175" s="306"/>
      <c r="M175" s="306"/>
      <c r="N175" s="306"/>
      <c r="O175" s="306"/>
      <c r="P175" s="306"/>
      <c r="Q175" s="315"/>
      <c r="R175" s="314"/>
      <c r="S175" s="314"/>
      <c r="T175" s="314"/>
      <c r="U175" s="314"/>
      <c r="V175" s="314"/>
      <c r="W175" s="314"/>
      <c r="X175" s="314"/>
      <c r="Y175" s="314"/>
      <c r="Z175" s="314"/>
      <c r="AA175" s="319"/>
      <c r="AB175" s="320"/>
      <c r="AG175"/>
    </row>
    <row r="176" spans="1:33">
      <c r="A176" s="300"/>
      <c r="B176" s="310"/>
      <c r="C176" s="310"/>
      <c r="D176" s="310"/>
      <c r="E176" s="310"/>
      <c r="F176" s="310"/>
      <c r="G176" s="312"/>
      <c r="H176" s="300"/>
      <c r="I176" s="313"/>
      <c r="J176" s="306"/>
      <c r="K176" s="306"/>
      <c r="L176" s="306"/>
      <c r="M176" s="306"/>
      <c r="N176" s="306"/>
      <c r="O176" s="306"/>
      <c r="P176" s="306"/>
      <c r="Q176" s="315"/>
      <c r="R176" s="314"/>
      <c r="S176" s="314"/>
      <c r="T176" s="314"/>
      <c r="U176" s="314"/>
      <c r="V176" s="314"/>
      <c r="W176" s="314"/>
      <c r="X176" s="314"/>
      <c r="Y176" s="314"/>
      <c r="Z176" s="314"/>
      <c r="AA176" s="319"/>
      <c r="AB176" s="320"/>
      <c r="AG176"/>
    </row>
    <row r="177" spans="1:33">
      <c r="A177" s="300"/>
      <c r="B177" s="310"/>
      <c r="C177" s="310"/>
      <c r="D177" s="310"/>
      <c r="E177" s="310"/>
      <c r="F177" s="310"/>
      <c r="G177" s="312"/>
      <c r="H177" s="300"/>
      <c r="I177" s="313"/>
      <c r="J177" s="306"/>
      <c r="K177" s="306"/>
      <c r="L177" s="306"/>
      <c r="M177" s="306"/>
      <c r="N177" s="306"/>
      <c r="O177" s="306"/>
      <c r="P177" s="306"/>
      <c r="Q177" s="315"/>
      <c r="R177" s="314"/>
      <c r="S177" s="314"/>
      <c r="T177" s="314"/>
      <c r="U177" s="314"/>
      <c r="V177" s="314"/>
      <c r="W177" s="314"/>
      <c r="X177" s="314"/>
      <c r="Y177" s="314"/>
      <c r="Z177" s="314"/>
      <c r="AA177" s="319"/>
      <c r="AB177" s="320"/>
      <c r="AG177"/>
    </row>
    <row r="178" spans="1:33">
      <c r="A178" s="300"/>
      <c r="B178" s="310"/>
      <c r="C178" s="310"/>
      <c r="D178" s="310"/>
      <c r="E178" s="310"/>
      <c r="F178" s="310"/>
      <c r="G178" s="312"/>
      <c r="H178" s="300"/>
      <c r="I178" s="313"/>
      <c r="J178" s="306"/>
      <c r="K178" s="306"/>
      <c r="L178" s="306"/>
      <c r="M178" s="306"/>
      <c r="N178" s="306"/>
      <c r="O178" s="306"/>
      <c r="P178" s="306"/>
      <c r="Q178" s="315"/>
      <c r="R178" s="314"/>
      <c r="S178" s="314"/>
      <c r="T178" s="314"/>
      <c r="U178" s="314"/>
      <c r="V178" s="314"/>
      <c r="W178" s="314"/>
      <c r="X178" s="314"/>
      <c r="Y178" s="314"/>
      <c r="Z178" s="314"/>
      <c r="AA178" s="319"/>
      <c r="AB178" s="320"/>
      <c r="AG178"/>
    </row>
    <row r="179" spans="1:33">
      <c r="A179" s="300"/>
      <c r="B179" s="310"/>
      <c r="C179" s="310"/>
      <c r="D179" s="310"/>
      <c r="E179" s="310"/>
      <c r="F179" s="310"/>
      <c r="G179" s="312"/>
      <c r="H179" s="300"/>
      <c r="I179" s="313"/>
      <c r="J179" s="306"/>
      <c r="K179" s="306"/>
      <c r="L179" s="306"/>
      <c r="M179" s="306"/>
      <c r="N179" s="306"/>
      <c r="O179" s="306"/>
      <c r="P179" s="306"/>
      <c r="Q179" s="315"/>
      <c r="R179" s="314"/>
      <c r="S179" s="314"/>
      <c r="T179" s="314"/>
      <c r="U179" s="314"/>
      <c r="V179" s="314"/>
      <c r="W179" s="314"/>
      <c r="X179" s="314"/>
      <c r="Y179" s="314"/>
      <c r="Z179" s="314"/>
      <c r="AA179" s="319"/>
      <c r="AB179" s="320"/>
      <c r="AG179"/>
    </row>
    <row r="180" spans="1:33">
      <c r="A180" s="300"/>
      <c r="B180" s="310"/>
      <c r="C180" s="310"/>
      <c r="D180" s="310"/>
      <c r="E180" s="310"/>
      <c r="F180" s="310"/>
      <c r="G180" s="312"/>
      <c r="H180" s="300"/>
      <c r="I180" s="313"/>
      <c r="J180" s="306"/>
      <c r="K180" s="306"/>
      <c r="L180" s="306"/>
      <c r="M180" s="306"/>
      <c r="N180" s="306"/>
      <c r="O180" s="306"/>
      <c r="P180" s="306"/>
      <c r="Q180" s="315"/>
      <c r="R180" s="314"/>
      <c r="S180" s="314"/>
      <c r="T180" s="314"/>
      <c r="U180" s="314"/>
      <c r="V180" s="314"/>
      <c r="W180" s="314"/>
      <c r="X180" s="314"/>
      <c r="Y180" s="314"/>
      <c r="Z180" s="314"/>
      <c r="AA180" s="319"/>
      <c r="AB180" s="320"/>
      <c r="AG180"/>
    </row>
    <row r="181" spans="1:33">
      <c r="A181" s="300"/>
      <c r="B181" s="310"/>
      <c r="C181" s="310"/>
      <c r="D181" s="310"/>
      <c r="E181" s="310"/>
      <c r="F181" s="310"/>
      <c r="G181" s="312"/>
      <c r="H181" s="300"/>
      <c r="I181" s="313"/>
      <c r="J181" s="306"/>
      <c r="K181" s="306"/>
      <c r="L181" s="306"/>
      <c r="M181" s="306"/>
      <c r="N181" s="306"/>
      <c r="O181" s="306"/>
      <c r="P181" s="306"/>
      <c r="Q181" s="315"/>
      <c r="R181" s="314"/>
      <c r="S181" s="314"/>
      <c r="T181" s="314"/>
      <c r="U181" s="314"/>
      <c r="V181" s="314"/>
      <c r="W181" s="314"/>
      <c r="X181" s="314"/>
      <c r="Y181" s="314"/>
      <c r="Z181" s="314"/>
      <c r="AA181" s="319"/>
      <c r="AB181" s="320"/>
      <c r="AG181"/>
    </row>
    <row r="182" spans="1:33">
      <c r="A182" s="300"/>
      <c r="B182" s="310"/>
      <c r="C182" s="310"/>
      <c r="D182" s="310"/>
      <c r="E182" s="310"/>
      <c r="F182" s="310"/>
      <c r="G182" s="312"/>
      <c r="H182" s="300"/>
      <c r="I182" s="313"/>
      <c r="J182" s="306"/>
      <c r="K182" s="306"/>
      <c r="L182" s="306"/>
      <c r="M182" s="306"/>
      <c r="N182" s="306"/>
      <c r="O182" s="306"/>
      <c r="P182" s="306"/>
      <c r="Q182" s="315"/>
      <c r="R182" s="314"/>
      <c r="S182" s="314"/>
      <c r="T182" s="314"/>
      <c r="U182" s="314"/>
      <c r="V182" s="314"/>
      <c r="W182" s="314"/>
      <c r="X182" s="314"/>
      <c r="Y182" s="314"/>
      <c r="Z182" s="314"/>
      <c r="AA182" s="319"/>
      <c r="AB182" s="320"/>
      <c r="AG182"/>
    </row>
    <row r="183" spans="1:33">
      <c r="A183" s="300"/>
      <c r="B183" s="310"/>
      <c r="C183" s="310"/>
      <c r="D183" s="310"/>
      <c r="E183" s="310"/>
      <c r="F183" s="310"/>
      <c r="G183" s="312"/>
      <c r="H183" s="300"/>
      <c r="I183" s="313"/>
      <c r="J183" s="306"/>
      <c r="K183" s="306"/>
      <c r="L183" s="306"/>
      <c r="M183" s="306"/>
      <c r="N183" s="306"/>
      <c r="O183" s="306"/>
      <c r="P183" s="306"/>
      <c r="Q183" s="315"/>
      <c r="R183" s="314"/>
      <c r="S183" s="314"/>
      <c r="T183" s="314"/>
      <c r="U183" s="314"/>
      <c r="V183" s="314"/>
      <c r="W183" s="314"/>
      <c r="X183" s="314"/>
      <c r="Y183" s="314"/>
      <c r="Z183" s="314"/>
      <c r="AA183" s="319"/>
      <c r="AB183" s="320"/>
      <c r="AG183"/>
    </row>
    <row r="184" spans="1:33">
      <c r="A184" s="300"/>
      <c r="B184" s="310"/>
      <c r="C184" s="310"/>
      <c r="D184" s="310"/>
      <c r="E184" s="310"/>
      <c r="F184" s="310"/>
      <c r="G184" s="312"/>
      <c r="H184" s="300"/>
      <c r="I184" s="313"/>
      <c r="J184" s="306"/>
      <c r="K184" s="306"/>
      <c r="L184" s="306"/>
      <c r="M184" s="306"/>
      <c r="N184" s="306"/>
      <c r="O184" s="306"/>
      <c r="P184" s="306"/>
      <c r="Q184" s="315"/>
      <c r="R184" s="314"/>
      <c r="S184" s="314"/>
      <c r="T184" s="314"/>
      <c r="U184" s="314"/>
      <c r="V184" s="314"/>
      <c r="W184" s="314"/>
      <c r="X184" s="314"/>
      <c r="Y184" s="314"/>
      <c r="Z184" s="314"/>
      <c r="AA184" s="319"/>
      <c r="AB184" s="320"/>
      <c r="AG184"/>
    </row>
    <row r="185" spans="1:33">
      <c r="A185" s="300"/>
      <c r="B185" s="310"/>
      <c r="C185" s="310"/>
      <c r="D185" s="310"/>
      <c r="E185" s="310"/>
      <c r="F185" s="310"/>
      <c r="G185" s="312"/>
      <c r="H185" s="300"/>
      <c r="I185" s="313"/>
      <c r="J185" s="306"/>
      <c r="K185" s="306"/>
      <c r="L185" s="306"/>
      <c r="M185" s="306"/>
      <c r="N185" s="306"/>
      <c r="O185" s="306"/>
      <c r="P185" s="306"/>
      <c r="Q185" s="315"/>
      <c r="R185" s="314"/>
      <c r="S185" s="314"/>
      <c r="T185" s="314"/>
      <c r="U185" s="314"/>
      <c r="V185" s="314"/>
      <c r="W185" s="314"/>
      <c r="X185" s="314"/>
      <c r="Y185" s="314"/>
      <c r="Z185" s="314"/>
      <c r="AA185" s="319"/>
      <c r="AB185" s="320"/>
      <c r="AG185"/>
    </row>
    <row r="186" spans="1:33">
      <c r="A186" s="300"/>
      <c r="B186" s="310"/>
      <c r="C186" s="310"/>
      <c r="D186" s="310"/>
      <c r="E186" s="310"/>
      <c r="F186" s="310"/>
      <c r="G186" s="312"/>
      <c r="H186" s="300"/>
      <c r="I186" s="313"/>
      <c r="J186" s="306"/>
      <c r="K186" s="306"/>
      <c r="L186" s="306"/>
      <c r="M186" s="306"/>
      <c r="N186" s="306"/>
      <c r="O186" s="306"/>
      <c r="P186" s="306"/>
      <c r="Q186" s="315"/>
      <c r="R186" s="314"/>
      <c r="S186" s="314"/>
      <c r="T186" s="314"/>
      <c r="U186" s="314"/>
      <c r="V186" s="314"/>
      <c r="W186" s="314"/>
      <c r="X186" s="314"/>
      <c r="Y186" s="314"/>
      <c r="Z186" s="314"/>
      <c r="AA186" s="319"/>
      <c r="AB186" s="320"/>
      <c r="AG186"/>
    </row>
    <row r="187" spans="1:33">
      <c r="A187" s="300"/>
      <c r="B187" s="310"/>
      <c r="C187" s="310"/>
      <c r="D187" s="310"/>
      <c r="E187" s="310"/>
      <c r="F187" s="310"/>
      <c r="G187" s="312"/>
      <c r="H187" s="300"/>
      <c r="I187" s="313"/>
      <c r="J187" s="306"/>
      <c r="K187" s="306"/>
      <c r="L187" s="306"/>
      <c r="M187" s="306"/>
      <c r="N187" s="306"/>
      <c r="O187" s="306"/>
      <c r="P187" s="306"/>
      <c r="Q187" s="315"/>
      <c r="R187" s="314"/>
      <c r="S187" s="314"/>
      <c r="T187" s="314"/>
      <c r="U187" s="314"/>
      <c r="V187" s="314"/>
      <c r="W187" s="314"/>
      <c r="X187" s="314"/>
      <c r="Y187" s="314"/>
      <c r="Z187" s="314"/>
      <c r="AA187" s="319"/>
      <c r="AB187" s="320"/>
      <c r="AG187"/>
    </row>
    <row r="188" spans="1:33">
      <c r="A188" s="300"/>
      <c r="B188" s="310"/>
      <c r="C188" s="310"/>
      <c r="D188" s="310"/>
      <c r="E188" s="310"/>
      <c r="F188" s="310"/>
      <c r="G188" s="312"/>
      <c r="H188" s="300"/>
      <c r="I188" s="313"/>
      <c r="J188" s="306"/>
      <c r="K188" s="306"/>
      <c r="L188" s="306"/>
      <c r="M188" s="306"/>
      <c r="N188" s="306"/>
      <c r="O188" s="306"/>
      <c r="P188" s="306"/>
      <c r="Q188" s="315"/>
      <c r="R188" s="314"/>
      <c r="S188" s="314"/>
      <c r="T188" s="314"/>
      <c r="U188" s="314"/>
      <c r="V188" s="314"/>
      <c r="W188" s="314"/>
      <c r="X188" s="314"/>
      <c r="Y188" s="314"/>
      <c r="Z188" s="314"/>
      <c r="AA188" s="319"/>
      <c r="AB188" s="320"/>
      <c r="AG188"/>
    </row>
    <row r="189" spans="1:33">
      <c r="A189" s="300"/>
      <c r="B189" s="310"/>
      <c r="C189" s="310"/>
      <c r="D189" s="310"/>
      <c r="E189" s="310"/>
      <c r="F189" s="310"/>
      <c r="G189" s="312"/>
      <c r="H189" s="300"/>
      <c r="I189" s="313"/>
      <c r="J189" s="306"/>
      <c r="K189" s="306"/>
      <c r="L189" s="306"/>
      <c r="M189" s="306"/>
      <c r="N189" s="306"/>
      <c r="O189" s="306"/>
      <c r="P189" s="306"/>
      <c r="Q189" s="315"/>
      <c r="R189" s="314"/>
      <c r="S189" s="314"/>
      <c r="T189" s="314"/>
      <c r="U189" s="314"/>
      <c r="V189" s="314"/>
      <c r="W189" s="314"/>
      <c r="X189" s="314"/>
      <c r="Y189" s="314"/>
      <c r="Z189" s="314"/>
      <c r="AA189" s="319"/>
      <c r="AB189" s="320"/>
      <c r="AG189"/>
    </row>
    <row r="190" spans="1:33">
      <c r="A190" s="300"/>
      <c r="B190" s="310"/>
      <c r="C190" s="310"/>
      <c r="D190" s="310"/>
      <c r="E190" s="310"/>
      <c r="F190" s="310"/>
      <c r="G190" s="312"/>
      <c r="H190" s="300"/>
      <c r="I190" s="313"/>
      <c r="J190" s="306"/>
      <c r="K190" s="306"/>
      <c r="L190" s="306"/>
      <c r="M190" s="306"/>
      <c r="N190" s="306"/>
      <c r="O190" s="306"/>
      <c r="P190" s="306"/>
      <c r="Q190" s="315"/>
      <c r="R190" s="314"/>
      <c r="S190" s="314"/>
      <c r="T190" s="314"/>
      <c r="U190" s="314"/>
      <c r="V190" s="314"/>
      <c r="W190" s="314"/>
      <c r="X190" s="314"/>
      <c r="Y190" s="314"/>
      <c r="Z190" s="314"/>
      <c r="AA190" s="319"/>
      <c r="AB190" s="320"/>
      <c r="AG190"/>
    </row>
    <row r="191" spans="1:33">
      <c r="A191" s="300"/>
      <c r="B191" s="310"/>
      <c r="C191" s="310"/>
      <c r="D191" s="310"/>
      <c r="E191" s="310"/>
      <c r="F191" s="310"/>
      <c r="G191" s="312"/>
      <c r="H191" s="300"/>
      <c r="I191" s="313"/>
      <c r="J191" s="306"/>
      <c r="K191" s="306"/>
      <c r="L191" s="306"/>
      <c r="M191" s="306"/>
      <c r="N191" s="306"/>
      <c r="O191" s="306"/>
      <c r="P191" s="306"/>
      <c r="Q191" s="315"/>
      <c r="R191" s="314"/>
      <c r="S191" s="314"/>
      <c r="T191" s="314"/>
      <c r="U191" s="314"/>
      <c r="V191" s="314"/>
      <c r="W191" s="314"/>
      <c r="X191" s="314"/>
      <c r="Y191" s="314"/>
      <c r="Z191" s="314"/>
      <c r="AA191" s="319"/>
      <c r="AB191" s="320"/>
      <c r="AG191"/>
    </row>
    <row r="192" spans="1:33">
      <c r="A192" s="300"/>
      <c r="B192" s="310"/>
      <c r="C192" s="310"/>
      <c r="D192" s="310"/>
      <c r="E192" s="310"/>
      <c r="F192" s="310"/>
      <c r="G192" s="312"/>
      <c r="H192" s="300"/>
      <c r="I192" s="313"/>
      <c r="J192" s="306"/>
      <c r="K192" s="306"/>
      <c r="L192" s="306"/>
      <c r="M192" s="306"/>
      <c r="N192" s="306"/>
      <c r="O192" s="306"/>
      <c r="P192" s="306"/>
      <c r="Q192" s="315"/>
      <c r="R192" s="314"/>
      <c r="S192" s="314"/>
      <c r="T192" s="314"/>
      <c r="U192" s="314"/>
      <c r="V192" s="314"/>
      <c r="W192" s="314"/>
      <c r="X192" s="314"/>
      <c r="Y192" s="314"/>
      <c r="Z192" s="314"/>
      <c r="AA192" s="319"/>
      <c r="AB192" s="320"/>
      <c r="AG192"/>
    </row>
    <row r="193" spans="1:33">
      <c r="A193" s="300"/>
      <c r="B193" s="310"/>
      <c r="C193" s="310"/>
      <c r="D193" s="310"/>
      <c r="E193" s="310"/>
      <c r="F193" s="310"/>
      <c r="G193" s="312"/>
      <c r="H193" s="300"/>
      <c r="I193" s="313"/>
      <c r="J193" s="306"/>
      <c r="K193" s="306"/>
      <c r="L193" s="306"/>
      <c r="M193" s="306"/>
      <c r="N193" s="306"/>
      <c r="O193" s="306"/>
      <c r="P193" s="306"/>
      <c r="Q193" s="315"/>
      <c r="R193" s="314"/>
      <c r="S193" s="314"/>
      <c r="T193" s="314"/>
      <c r="U193" s="314"/>
      <c r="V193" s="314"/>
      <c r="W193" s="314"/>
      <c r="X193" s="314"/>
      <c r="Y193" s="314"/>
      <c r="Z193" s="314"/>
      <c r="AA193" s="319"/>
      <c r="AB193" s="320"/>
      <c r="AG193"/>
    </row>
    <row r="194" spans="1:33">
      <c r="A194" s="300"/>
      <c r="B194" s="310"/>
      <c r="C194" s="310"/>
      <c r="D194" s="310"/>
      <c r="E194" s="310"/>
      <c r="F194" s="310"/>
      <c r="G194" s="312"/>
      <c r="H194" s="300"/>
      <c r="I194" s="313"/>
      <c r="J194" s="306"/>
      <c r="K194" s="306"/>
      <c r="L194" s="306"/>
      <c r="M194" s="306"/>
      <c r="N194" s="306"/>
      <c r="O194" s="306"/>
      <c r="P194" s="306"/>
      <c r="Q194" s="315"/>
      <c r="R194" s="314"/>
      <c r="S194" s="314"/>
      <c r="T194" s="314"/>
      <c r="U194" s="314"/>
      <c r="V194" s="314"/>
      <c r="W194" s="314"/>
      <c r="X194" s="314"/>
      <c r="Y194" s="314"/>
      <c r="Z194" s="314"/>
      <c r="AA194" s="319"/>
      <c r="AB194" s="320"/>
      <c r="AG194"/>
    </row>
    <row r="195" spans="1:33">
      <c r="A195" s="300"/>
      <c r="B195" s="310"/>
      <c r="C195" s="310"/>
      <c r="D195" s="310"/>
      <c r="E195" s="310"/>
      <c r="F195" s="310"/>
      <c r="G195" s="312"/>
      <c r="H195" s="300"/>
      <c r="I195" s="313"/>
      <c r="J195" s="306"/>
      <c r="K195" s="306"/>
      <c r="L195" s="306"/>
      <c r="M195" s="306"/>
      <c r="N195" s="306"/>
      <c r="O195" s="306"/>
      <c r="P195" s="306"/>
      <c r="Q195" s="315"/>
      <c r="R195" s="314"/>
      <c r="S195" s="314"/>
      <c r="T195" s="314"/>
      <c r="U195" s="314"/>
      <c r="V195" s="314"/>
      <c r="W195" s="314"/>
      <c r="X195" s="314"/>
      <c r="Y195" s="314"/>
      <c r="Z195" s="314"/>
      <c r="AA195" s="319"/>
      <c r="AB195" s="320"/>
      <c r="AG195"/>
    </row>
    <row r="196" spans="1:33">
      <c r="A196" s="300"/>
      <c r="B196" s="310"/>
      <c r="C196" s="310"/>
      <c r="D196" s="310"/>
      <c r="E196" s="310"/>
      <c r="F196" s="310"/>
      <c r="G196" s="312"/>
      <c r="H196" s="300"/>
      <c r="I196" s="313"/>
      <c r="J196" s="306"/>
      <c r="K196" s="306"/>
      <c r="L196" s="306"/>
      <c r="M196" s="306"/>
      <c r="N196" s="306"/>
      <c r="O196" s="306"/>
      <c r="P196" s="306"/>
      <c r="Q196" s="315"/>
      <c r="R196" s="314"/>
      <c r="S196" s="314"/>
      <c r="T196" s="314"/>
      <c r="U196" s="314"/>
      <c r="V196" s="314"/>
      <c r="W196" s="314"/>
      <c r="X196" s="314"/>
      <c r="Y196" s="314"/>
      <c r="Z196" s="314"/>
      <c r="AA196" s="319"/>
      <c r="AB196" s="320"/>
      <c r="AG196"/>
    </row>
    <row r="197" spans="1:33">
      <c r="A197" s="300"/>
      <c r="B197" s="310"/>
      <c r="C197" s="310"/>
      <c r="D197" s="310"/>
      <c r="E197" s="310"/>
      <c r="F197" s="310"/>
      <c r="G197" s="312"/>
      <c r="H197" s="300"/>
      <c r="I197" s="313"/>
      <c r="J197" s="306"/>
      <c r="K197" s="306"/>
      <c r="L197" s="306"/>
      <c r="M197" s="306"/>
      <c r="N197" s="306"/>
      <c r="O197" s="306"/>
      <c r="P197" s="306"/>
      <c r="Q197" s="315"/>
      <c r="R197" s="314"/>
      <c r="S197" s="314"/>
      <c r="T197" s="314"/>
      <c r="U197" s="314"/>
      <c r="V197" s="314"/>
      <c r="W197" s="314"/>
      <c r="X197" s="314"/>
      <c r="Y197" s="314"/>
      <c r="Z197" s="314"/>
      <c r="AA197" s="319"/>
      <c r="AB197" s="320"/>
      <c r="AG197"/>
    </row>
    <row r="198" spans="1:33">
      <c r="A198" s="300"/>
      <c r="B198" s="310"/>
      <c r="C198" s="310"/>
      <c r="D198" s="310"/>
      <c r="E198" s="310"/>
      <c r="F198" s="310"/>
      <c r="G198" s="312"/>
      <c r="H198" s="300"/>
      <c r="I198" s="313"/>
      <c r="J198" s="306"/>
      <c r="K198" s="306"/>
      <c r="L198" s="306"/>
      <c r="M198" s="306"/>
      <c r="N198" s="306"/>
      <c r="O198" s="306"/>
      <c r="P198" s="306"/>
      <c r="Q198" s="315"/>
      <c r="R198" s="314"/>
      <c r="S198" s="314"/>
      <c r="T198" s="314"/>
      <c r="U198" s="314"/>
      <c r="V198" s="314"/>
      <c r="W198" s="314"/>
      <c r="X198" s="314"/>
      <c r="Y198" s="314"/>
      <c r="Z198" s="314"/>
      <c r="AA198" s="319"/>
      <c r="AB198" s="320"/>
      <c r="AG198"/>
    </row>
    <row r="199" spans="1:33">
      <c r="A199" s="300"/>
      <c r="B199" s="310"/>
      <c r="C199" s="310"/>
      <c r="D199" s="310"/>
      <c r="E199" s="310"/>
      <c r="F199" s="310"/>
      <c r="G199" s="312"/>
      <c r="H199" s="300"/>
      <c r="I199" s="313"/>
      <c r="J199" s="306"/>
      <c r="K199" s="306"/>
      <c r="L199" s="306"/>
      <c r="M199" s="306"/>
      <c r="N199" s="306"/>
      <c r="O199" s="306"/>
      <c r="P199" s="306"/>
      <c r="Q199" s="315"/>
      <c r="R199" s="314"/>
      <c r="S199" s="314"/>
      <c r="T199" s="314"/>
      <c r="U199" s="314"/>
      <c r="V199" s="314"/>
      <c r="W199" s="314"/>
      <c r="X199" s="314"/>
      <c r="Y199" s="314"/>
      <c r="Z199" s="314"/>
      <c r="AA199" s="319"/>
      <c r="AB199" s="320"/>
      <c r="AG199"/>
    </row>
    <row r="200" spans="1:33">
      <c r="A200" s="300"/>
      <c r="B200" s="310"/>
      <c r="C200" s="310"/>
      <c r="D200" s="310"/>
      <c r="E200" s="310"/>
      <c r="F200" s="310"/>
      <c r="G200" s="312"/>
      <c r="H200" s="300"/>
      <c r="I200" s="313"/>
      <c r="J200" s="306"/>
      <c r="K200" s="306"/>
      <c r="L200" s="306"/>
      <c r="M200" s="306"/>
      <c r="N200" s="306"/>
      <c r="O200" s="306"/>
      <c r="P200" s="306"/>
      <c r="Q200" s="315"/>
      <c r="R200" s="314"/>
      <c r="S200" s="314"/>
      <c r="T200" s="314"/>
      <c r="U200" s="314"/>
      <c r="V200" s="314"/>
      <c r="W200" s="314"/>
      <c r="X200" s="314"/>
      <c r="Y200" s="314"/>
      <c r="Z200" s="314"/>
      <c r="AA200" s="319"/>
      <c r="AB200" s="320"/>
      <c r="AG200"/>
    </row>
    <row r="201" spans="1:33">
      <c r="A201" s="300"/>
      <c r="B201" s="310"/>
      <c r="C201" s="310"/>
      <c r="D201" s="310"/>
      <c r="E201" s="310"/>
      <c r="F201" s="310"/>
      <c r="G201" s="312"/>
      <c r="H201" s="300"/>
      <c r="I201" s="313"/>
      <c r="J201" s="306"/>
      <c r="K201" s="306"/>
      <c r="L201" s="306"/>
      <c r="M201" s="306"/>
      <c r="N201" s="306"/>
      <c r="O201" s="306"/>
      <c r="P201" s="306"/>
      <c r="Q201" s="315"/>
      <c r="R201" s="314"/>
      <c r="S201" s="314"/>
      <c r="T201" s="314"/>
      <c r="U201" s="314"/>
      <c r="V201" s="314"/>
      <c r="W201" s="314"/>
      <c r="X201" s="314"/>
      <c r="Y201" s="314"/>
      <c r="Z201" s="314"/>
      <c r="AA201" s="319"/>
      <c r="AB201" s="320"/>
      <c r="AG201"/>
    </row>
    <row r="202" spans="1:33">
      <c r="A202" s="300"/>
      <c r="B202" s="310"/>
      <c r="C202" s="310"/>
      <c r="D202" s="310"/>
      <c r="E202" s="310"/>
      <c r="F202" s="310"/>
      <c r="G202" s="312"/>
      <c r="H202" s="300"/>
      <c r="I202" s="313"/>
      <c r="J202" s="306"/>
      <c r="K202" s="306"/>
      <c r="L202" s="306"/>
      <c r="M202" s="306"/>
      <c r="N202" s="306"/>
      <c r="O202" s="306"/>
      <c r="P202" s="306"/>
      <c r="Q202" s="315"/>
      <c r="R202" s="314"/>
      <c r="S202" s="314"/>
      <c r="T202" s="314"/>
      <c r="U202" s="314"/>
      <c r="V202" s="314"/>
      <c r="W202" s="314"/>
      <c r="X202" s="314"/>
      <c r="Y202" s="314"/>
      <c r="Z202" s="314"/>
      <c r="AA202" s="319"/>
      <c r="AB202" s="320"/>
      <c r="AG202"/>
    </row>
    <row r="203" spans="1:33">
      <c r="A203" s="300"/>
      <c r="B203" s="310"/>
      <c r="C203" s="310"/>
      <c r="D203" s="310"/>
      <c r="E203" s="310"/>
      <c r="F203" s="310"/>
      <c r="G203" s="312"/>
      <c r="H203" s="300"/>
      <c r="I203" s="313"/>
      <c r="J203" s="306"/>
      <c r="K203" s="306"/>
      <c r="L203" s="306"/>
      <c r="M203" s="306"/>
      <c r="N203" s="306"/>
      <c r="O203" s="306"/>
      <c r="P203" s="306"/>
      <c r="Q203" s="315"/>
      <c r="R203" s="314"/>
      <c r="S203" s="314"/>
      <c r="T203" s="314"/>
      <c r="U203" s="314"/>
      <c r="V203" s="314"/>
      <c r="W203" s="314"/>
      <c r="X203" s="314"/>
      <c r="Y203" s="314"/>
      <c r="Z203" s="314"/>
      <c r="AA203" s="319"/>
      <c r="AB203" s="320"/>
      <c r="AG203"/>
    </row>
    <row r="204" spans="1:33" ht="15.75" thickBot="1">
      <c r="A204" s="300"/>
      <c r="B204" s="310"/>
      <c r="C204" s="310"/>
      <c r="D204" s="310"/>
      <c r="E204" s="310"/>
      <c r="F204" s="310"/>
      <c r="G204" s="312"/>
      <c r="H204" s="300"/>
      <c r="I204" s="313"/>
      <c r="J204" s="306"/>
      <c r="K204" s="306"/>
      <c r="L204" s="306"/>
      <c r="M204" s="306"/>
      <c r="N204" s="306"/>
      <c r="O204" s="306"/>
      <c r="P204" s="306"/>
      <c r="Q204" s="315"/>
      <c r="R204" s="314"/>
      <c r="S204" s="314"/>
      <c r="T204" s="314"/>
      <c r="U204" s="314"/>
      <c r="V204" s="314"/>
      <c r="W204" s="314"/>
      <c r="X204" s="314"/>
      <c r="Y204" s="314"/>
      <c r="Z204" s="314"/>
      <c r="AA204" s="319"/>
      <c r="AB204" s="320"/>
      <c r="AG204"/>
    </row>
    <row r="205" spans="1:33">
      <c r="A205" s="326"/>
      <c r="B205" s="302"/>
      <c r="C205" s="302"/>
      <c r="D205" s="302"/>
      <c r="E205" s="302"/>
      <c r="F205" s="302"/>
      <c r="G205" s="303"/>
      <c r="H205" s="304"/>
      <c r="I205" s="313"/>
      <c r="J205" s="306"/>
      <c r="K205" s="306"/>
      <c r="L205" s="306"/>
      <c r="M205" s="306"/>
      <c r="N205" s="306"/>
      <c r="O205" s="306"/>
      <c r="P205" s="306"/>
      <c r="Q205" s="307"/>
      <c r="R205" s="306"/>
      <c r="S205" s="306"/>
      <c r="T205" s="306"/>
      <c r="U205" s="306"/>
      <c r="V205" s="306"/>
      <c r="W205" s="306"/>
      <c r="X205" s="306"/>
      <c r="Y205" s="306"/>
      <c r="Z205" s="306"/>
      <c r="AA205" s="327"/>
      <c r="AB205" s="328"/>
      <c r="AG205"/>
    </row>
    <row r="206" spans="1:33">
      <c r="A206" s="300"/>
      <c r="B206" s="310"/>
      <c r="C206" s="310"/>
      <c r="D206" s="310"/>
      <c r="E206" s="310"/>
      <c r="F206" s="310"/>
      <c r="G206" s="312"/>
      <c r="H206" s="300"/>
      <c r="I206" s="313"/>
      <c r="J206" s="306"/>
      <c r="K206" s="306"/>
      <c r="L206" s="306"/>
      <c r="M206" s="306"/>
      <c r="N206" s="306"/>
      <c r="O206" s="306"/>
      <c r="P206" s="306"/>
      <c r="Q206" s="315"/>
      <c r="R206" s="314"/>
      <c r="S206" s="314"/>
      <c r="T206" s="314"/>
      <c r="U206" s="314"/>
      <c r="V206" s="314"/>
      <c r="W206" s="314"/>
      <c r="X206" s="314"/>
      <c r="Y206" s="314"/>
      <c r="Z206" s="314"/>
      <c r="AA206" s="319"/>
      <c r="AB206" s="320"/>
      <c r="AG206"/>
    </row>
    <row r="207" spans="1:33">
      <c r="A207" s="300"/>
      <c r="B207" s="310"/>
      <c r="C207" s="310"/>
      <c r="D207" s="310"/>
      <c r="E207" s="310"/>
      <c r="F207" s="310"/>
      <c r="G207" s="312"/>
      <c r="H207" s="300"/>
      <c r="I207" s="313"/>
      <c r="J207" s="306"/>
      <c r="K207" s="306"/>
      <c r="L207" s="306"/>
      <c r="M207" s="306"/>
      <c r="N207" s="306"/>
      <c r="O207" s="306"/>
      <c r="P207" s="306"/>
      <c r="Q207" s="315"/>
      <c r="R207" s="314"/>
      <c r="S207" s="314"/>
      <c r="T207" s="314"/>
      <c r="U207" s="314"/>
      <c r="V207" s="314"/>
      <c r="W207" s="314"/>
      <c r="X207" s="314"/>
      <c r="Y207" s="314"/>
      <c r="Z207" s="314"/>
      <c r="AA207" s="319"/>
      <c r="AB207" s="320"/>
      <c r="AG207"/>
    </row>
    <row r="208" spans="1:33">
      <c r="A208" s="300"/>
      <c r="B208" s="310"/>
      <c r="C208" s="310"/>
      <c r="D208" s="310"/>
      <c r="E208" s="310"/>
      <c r="F208" s="310"/>
      <c r="G208" s="312"/>
      <c r="H208" s="300"/>
      <c r="I208" s="313"/>
      <c r="J208" s="306"/>
      <c r="K208" s="306"/>
      <c r="L208" s="306"/>
      <c r="M208" s="306"/>
      <c r="N208" s="306"/>
      <c r="O208" s="306"/>
      <c r="P208" s="306"/>
      <c r="Q208" s="315"/>
      <c r="R208" s="314"/>
      <c r="S208" s="314"/>
      <c r="T208" s="314"/>
      <c r="U208" s="314"/>
      <c r="V208" s="314"/>
      <c r="W208" s="314"/>
      <c r="X208" s="314"/>
      <c r="Y208" s="314"/>
      <c r="Z208" s="314"/>
      <c r="AA208" s="319"/>
      <c r="AB208" s="320"/>
      <c r="AG208"/>
    </row>
    <row r="209" spans="1:33">
      <c r="A209" s="300"/>
      <c r="B209" s="310"/>
      <c r="C209" s="310"/>
      <c r="D209" s="310"/>
      <c r="E209" s="310"/>
      <c r="F209" s="310"/>
      <c r="G209" s="312"/>
      <c r="H209" s="300"/>
      <c r="I209" s="313"/>
      <c r="J209" s="306"/>
      <c r="K209" s="306"/>
      <c r="L209" s="306"/>
      <c r="M209" s="306"/>
      <c r="N209" s="306"/>
      <c r="O209" s="306"/>
      <c r="P209" s="306"/>
      <c r="Q209" s="315"/>
      <c r="R209" s="314"/>
      <c r="S209" s="314"/>
      <c r="T209" s="314"/>
      <c r="U209" s="314"/>
      <c r="V209" s="314"/>
      <c r="W209" s="314"/>
      <c r="X209" s="314"/>
      <c r="Y209" s="314"/>
      <c r="Z209" s="314"/>
      <c r="AA209" s="319"/>
      <c r="AB209" s="320"/>
      <c r="AG209"/>
    </row>
    <row r="210" spans="1:33">
      <c r="A210" s="300"/>
      <c r="B210" s="310"/>
      <c r="C210" s="310"/>
      <c r="D210" s="310"/>
      <c r="E210" s="310"/>
      <c r="F210" s="310"/>
      <c r="G210" s="312"/>
      <c r="H210" s="300"/>
      <c r="I210" s="313"/>
      <c r="J210" s="306"/>
      <c r="K210" s="306"/>
      <c r="L210" s="306"/>
      <c r="M210" s="306"/>
      <c r="N210" s="306"/>
      <c r="O210" s="306"/>
      <c r="P210" s="306"/>
      <c r="Q210" s="315"/>
      <c r="R210" s="314"/>
      <c r="S210" s="314"/>
      <c r="T210" s="314"/>
      <c r="U210" s="314"/>
      <c r="V210" s="314"/>
      <c r="W210" s="314"/>
      <c r="X210" s="314"/>
      <c r="Y210" s="314"/>
      <c r="Z210" s="314"/>
      <c r="AA210" s="319"/>
      <c r="AB210" s="320"/>
      <c r="AG210"/>
    </row>
    <row r="211" spans="1:33">
      <c r="A211" s="300"/>
      <c r="B211" s="310"/>
      <c r="C211" s="310"/>
      <c r="D211" s="310"/>
      <c r="E211" s="310"/>
      <c r="F211" s="310"/>
      <c r="G211" s="312"/>
      <c r="H211" s="300"/>
      <c r="I211" s="313"/>
      <c r="J211" s="306"/>
      <c r="K211" s="306"/>
      <c r="L211" s="306"/>
      <c r="M211" s="306"/>
      <c r="N211" s="306"/>
      <c r="O211" s="306"/>
      <c r="P211" s="306"/>
      <c r="Q211" s="315"/>
      <c r="R211" s="314"/>
      <c r="S211" s="314"/>
      <c r="T211" s="314"/>
      <c r="U211" s="314"/>
      <c r="V211" s="314"/>
      <c r="W211" s="314"/>
      <c r="X211" s="314"/>
      <c r="Y211" s="314"/>
      <c r="Z211" s="314"/>
      <c r="AA211" s="319"/>
      <c r="AB211" s="320"/>
      <c r="AG211"/>
    </row>
    <row r="212" spans="1:33">
      <c r="A212" s="300"/>
      <c r="B212" s="310"/>
      <c r="C212" s="310"/>
      <c r="D212" s="310"/>
      <c r="E212" s="310"/>
      <c r="F212" s="310"/>
      <c r="G212" s="312"/>
      <c r="H212" s="300"/>
      <c r="I212" s="313"/>
      <c r="J212" s="306"/>
      <c r="K212" s="306"/>
      <c r="L212" s="306"/>
      <c r="M212" s="306"/>
      <c r="N212" s="306"/>
      <c r="O212" s="306"/>
      <c r="P212" s="306"/>
      <c r="Q212" s="315"/>
      <c r="R212" s="314"/>
      <c r="S212" s="314"/>
      <c r="T212" s="314"/>
      <c r="U212" s="314"/>
      <c r="V212" s="314"/>
      <c r="W212" s="314"/>
      <c r="X212" s="314"/>
      <c r="Y212" s="314"/>
      <c r="Z212" s="314"/>
      <c r="AA212" s="319"/>
      <c r="AB212" s="320"/>
      <c r="AG212"/>
    </row>
    <row r="213" spans="1:33">
      <c r="A213" s="300"/>
      <c r="B213" s="310"/>
      <c r="C213" s="310"/>
      <c r="D213" s="310"/>
      <c r="E213" s="310"/>
      <c r="F213" s="310"/>
      <c r="G213" s="312"/>
      <c r="H213" s="300"/>
      <c r="I213" s="313"/>
      <c r="J213" s="306"/>
      <c r="K213" s="306"/>
      <c r="L213" s="306"/>
      <c r="M213" s="306"/>
      <c r="N213" s="306"/>
      <c r="O213" s="306"/>
      <c r="P213" s="306"/>
      <c r="Q213" s="315"/>
      <c r="R213" s="314"/>
      <c r="S213" s="314"/>
      <c r="T213" s="314"/>
      <c r="U213" s="314"/>
      <c r="V213" s="314"/>
      <c r="W213" s="314"/>
      <c r="X213" s="314"/>
      <c r="Y213" s="314"/>
      <c r="Z213" s="314"/>
      <c r="AA213" s="319"/>
      <c r="AB213" s="320"/>
      <c r="AG213"/>
    </row>
    <row r="214" spans="1:33">
      <c r="A214" s="300"/>
      <c r="B214" s="310"/>
      <c r="C214" s="310"/>
      <c r="D214" s="310"/>
      <c r="E214" s="310"/>
      <c r="F214" s="310"/>
      <c r="G214" s="312"/>
      <c r="H214" s="300"/>
      <c r="I214" s="313"/>
      <c r="J214" s="306"/>
      <c r="K214" s="306"/>
      <c r="L214" s="306"/>
      <c r="M214" s="306"/>
      <c r="N214" s="306"/>
      <c r="O214" s="306"/>
      <c r="P214" s="306"/>
      <c r="Q214" s="315"/>
      <c r="R214" s="314"/>
      <c r="S214" s="314"/>
      <c r="T214" s="314"/>
      <c r="U214" s="314"/>
      <c r="V214" s="314"/>
      <c r="W214" s="314"/>
      <c r="X214" s="314"/>
      <c r="Y214" s="314"/>
      <c r="Z214" s="314"/>
      <c r="AA214" s="319"/>
      <c r="AB214" s="320"/>
      <c r="AG214"/>
    </row>
    <row r="215" spans="1:33">
      <c r="A215" s="300"/>
      <c r="B215" s="310"/>
      <c r="C215" s="310"/>
      <c r="D215" s="310"/>
      <c r="E215" s="310"/>
      <c r="F215" s="310"/>
      <c r="G215" s="312"/>
      <c r="H215" s="300"/>
      <c r="I215" s="313"/>
      <c r="J215" s="306"/>
      <c r="K215" s="306"/>
      <c r="L215" s="306"/>
      <c r="M215" s="306"/>
      <c r="N215" s="306"/>
      <c r="O215" s="306"/>
      <c r="P215" s="306"/>
      <c r="Q215" s="315"/>
      <c r="R215" s="314"/>
      <c r="S215" s="314"/>
      <c r="T215" s="314"/>
      <c r="U215" s="314"/>
      <c r="V215" s="314"/>
      <c r="W215" s="314"/>
      <c r="X215" s="314"/>
      <c r="Y215" s="314"/>
      <c r="Z215" s="314"/>
      <c r="AA215" s="319"/>
      <c r="AB215" s="320"/>
      <c r="AG215"/>
    </row>
    <row r="216" spans="1:33">
      <c r="A216" s="300"/>
      <c r="B216" s="310"/>
      <c r="C216" s="310"/>
      <c r="D216" s="310"/>
      <c r="E216" s="310"/>
      <c r="F216" s="310"/>
      <c r="G216" s="312"/>
      <c r="H216" s="300"/>
      <c r="I216" s="313"/>
      <c r="J216" s="306"/>
      <c r="K216" s="306"/>
      <c r="L216" s="306"/>
      <c r="M216" s="306"/>
      <c r="N216" s="306"/>
      <c r="O216" s="306"/>
      <c r="P216" s="306"/>
      <c r="Q216" s="315"/>
      <c r="R216" s="314"/>
      <c r="S216" s="314"/>
      <c r="T216" s="314"/>
      <c r="U216" s="314"/>
      <c r="V216" s="314"/>
      <c r="W216" s="314"/>
      <c r="X216" s="314"/>
      <c r="Y216" s="314"/>
      <c r="Z216" s="314"/>
      <c r="AA216" s="319"/>
      <c r="AB216" s="320"/>
      <c r="AG216"/>
    </row>
    <row r="217" spans="1:33">
      <c r="A217" s="300"/>
      <c r="B217" s="310"/>
      <c r="C217" s="310"/>
      <c r="D217" s="310"/>
      <c r="E217" s="310"/>
      <c r="F217" s="310"/>
      <c r="G217" s="312"/>
      <c r="H217" s="300"/>
      <c r="I217" s="313"/>
      <c r="J217" s="306"/>
      <c r="K217" s="306"/>
      <c r="L217" s="306"/>
      <c r="M217" s="306"/>
      <c r="N217" s="306"/>
      <c r="O217" s="306"/>
      <c r="P217" s="306"/>
      <c r="Q217" s="315"/>
      <c r="R217" s="314"/>
      <c r="S217" s="314"/>
      <c r="T217" s="314"/>
      <c r="U217" s="314"/>
      <c r="V217" s="314"/>
      <c r="W217" s="314"/>
      <c r="X217" s="314"/>
      <c r="Y217" s="314"/>
      <c r="Z217" s="314"/>
      <c r="AA217" s="319"/>
      <c r="AB217" s="320"/>
      <c r="AG217"/>
    </row>
    <row r="218" spans="1:33">
      <c r="A218" s="300"/>
      <c r="B218" s="310"/>
      <c r="C218" s="310"/>
      <c r="D218" s="310"/>
      <c r="E218" s="310"/>
      <c r="F218" s="310"/>
      <c r="G218" s="312"/>
      <c r="H218" s="300"/>
      <c r="I218" s="313"/>
      <c r="J218" s="306"/>
      <c r="K218" s="306"/>
      <c r="L218" s="306"/>
      <c r="M218" s="306"/>
      <c r="N218" s="306"/>
      <c r="O218" s="306"/>
      <c r="P218" s="306"/>
      <c r="Q218" s="315"/>
      <c r="R218" s="314"/>
      <c r="S218" s="314"/>
      <c r="T218" s="314"/>
      <c r="U218" s="314"/>
      <c r="V218" s="314"/>
      <c r="W218" s="314"/>
      <c r="X218" s="314"/>
      <c r="Y218" s="314"/>
      <c r="Z218" s="314"/>
      <c r="AA218" s="319"/>
      <c r="AB218" s="320"/>
      <c r="AG218"/>
    </row>
    <row r="219" spans="1:33">
      <c r="A219" s="300"/>
      <c r="B219" s="310"/>
      <c r="C219" s="310"/>
      <c r="D219" s="310"/>
      <c r="E219" s="310"/>
      <c r="F219" s="310"/>
      <c r="G219" s="312"/>
      <c r="H219" s="300"/>
      <c r="I219" s="313"/>
      <c r="J219" s="306"/>
      <c r="K219" s="306"/>
      <c r="L219" s="306"/>
      <c r="M219" s="306"/>
      <c r="N219" s="306"/>
      <c r="O219" s="306"/>
      <c r="P219" s="306"/>
      <c r="Q219" s="315"/>
      <c r="R219" s="314"/>
      <c r="S219" s="314"/>
      <c r="T219" s="314"/>
      <c r="U219" s="314"/>
      <c r="V219" s="314"/>
      <c r="W219" s="314"/>
      <c r="X219" s="314"/>
      <c r="Y219" s="314"/>
      <c r="Z219" s="314"/>
      <c r="AA219" s="319"/>
      <c r="AB219" s="320"/>
      <c r="AG219"/>
    </row>
    <row r="220" spans="1:33">
      <c r="A220" s="300"/>
      <c r="B220" s="310"/>
      <c r="C220" s="310"/>
      <c r="D220" s="310"/>
      <c r="E220" s="310"/>
      <c r="F220" s="310"/>
      <c r="G220" s="312"/>
      <c r="H220" s="300"/>
      <c r="I220" s="313"/>
      <c r="J220" s="306"/>
      <c r="K220" s="306"/>
      <c r="L220" s="306"/>
      <c r="M220" s="306"/>
      <c r="N220" s="306"/>
      <c r="O220" s="306"/>
      <c r="P220" s="306"/>
      <c r="Q220" s="315"/>
      <c r="R220" s="314"/>
      <c r="S220" s="314"/>
      <c r="T220" s="314"/>
      <c r="U220" s="314"/>
      <c r="V220" s="314"/>
      <c r="W220" s="314"/>
      <c r="X220" s="314"/>
      <c r="Y220" s="314"/>
      <c r="Z220" s="314"/>
      <c r="AA220" s="319"/>
      <c r="AB220" s="320"/>
      <c r="AG220"/>
    </row>
    <row r="221" spans="1:33">
      <c r="A221" s="300"/>
      <c r="B221" s="310"/>
      <c r="C221" s="310"/>
      <c r="D221" s="310"/>
      <c r="E221" s="310"/>
      <c r="F221" s="310"/>
      <c r="G221" s="312"/>
      <c r="H221" s="300"/>
      <c r="I221" s="313"/>
      <c r="J221" s="306"/>
      <c r="K221" s="306"/>
      <c r="L221" s="306"/>
      <c r="M221" s="306"/>
      <c r="N221" s="306"/>
      <c r="O221" s="306"/>
      <c r="P221" s="306"/>
      <c r="Q221" s="315"/>
      <c r="R221" s="314"/>
      <c r="S221" s="314"/>
      <c r="T221" s="314"/>
      <c r="U221" s="314"/>
      <c r="V221" s="314"/>
      <c r="W221" s="314"/>
      <c r="X221" s="314"/>
      <c r="Y221" s="314"/>
      <c r="Z221" s="314"/>
      <c r="AA221" s="319"/>
      <c r="AB221" s="320"/>
      <c r="AG221"/>
    </row>
    <row r="222" spans="1:33">
      <c r="A222" s="300"/>
      <c r="B222" s="310"/>
      <c r="C222" s="310"/>
      <c r="D222" s="310"/>
      <c r="E222" s="310"/>
      <c r="F222" s="310"/>
      <c r="G222" s="312"/>
      <c r="H222" s="300"/>
      <c r="I222" s="313"/>
      <c r="J222" s="306"/>
      <c r="K222" s="306"/>
      <c r="L222" s="306"/>
      <c r="M222" s="306"/>
      <c r="N222" s="306"/>
      <c r="O222" s="306"/>
      <c r="P222" s="306"/>
      <c r="Q222" s="315"/>
      <c r="R222" s="314"/>
      <c r="S222" s="314"/>
      <c r="T222" s="314"/>
      <c r="U222" s="314"/>
      <c r="V222" s="314"/>
      <c r="W222" s="314"/>
      <c r="X222" s="314"/>
      <c r="Y222" s="314"/>
      <c r="Z222" s="314"/>
      <c r="AA222" s="319"/>
      <c r="AB222" s="320"/>
      <c r="AG222"/>
    </row>
    <row r="223" spans="1:33">
      <c r="A223" s="300"/>
      <c r="B223" s="310"/>
      <c r="C223" s="310"/>
      <c r="D223" s="310"/>
      <c r="E223" s="310"/>
      <c r="F223" s="310"/>
      <c r="G223" s="312"/>
      <c r="H223" s="300"/>
      <c r="I223" s="313"/>
      <c r="J223" s="306"/>
      <c r="K223" s="306"/>
      <c r="L223" s="306"/>
      <c r="M223" s="306"/>
      <c r="N223" s="306"/>
      <c r="O223" s="306"/>
      <c r="P223" s="306"/>
      <c r="Q223" s="315"/>
      <c r="R223" s="314"/>
      <c r="S223" s="314"/>
      <c r="T223" s="314"/>
      <c r="U223" s="314"/>
      <c r="V223" s="314"/>
      <c r="W223" s="314"/>
      <c r="X223" s="314"/>
      <c r="Y223" s="314"/>
      <c r="Z223" s="314"/>
      <c r="AA223" s="319"/>
      <c r="AB223" s="320"/>
      <c r="AG223"/>
    </row>
    <row r="224" spans="1:33">
      <c r="A224" s="300"/>
      <c r="B224" s="310"/>
      <c r="C224" s="310"/>
      <c r="D224" s="310"/>
      <c r="E224" s="310"/>
      <c r="F224" s="310"/>
      <c r="G224" s="312"/>
      <c r="H224" s="300"/>
      <c r="I224" s="313"/>
      <c r="J224" s="306"/>
      <c r="K224" s="306"/>
      <c r="L224" s="306"/>
      <c r="M224" s="306"/>
      <c r="N224" s="306"/>
      <c r="O224" s="306"/>
      <c r="P224" s="306"/>
      <c r="Q224" s="315"/>
      <c r="R224" s="314"/>
      <c r="S224" s="314"/>
      <c r="T224" s="314"/>
      <c r="U224" s="314"/>
      <c r="V224" s="314"/>
      <c r="W224" s="314"/>
      <c r="X224" s="314"/>
      <c r="Y224" s="314"/>
      <c r="Z224" s="314"/>
      <c r="AA224" s="319"/>
      <c r="AB224" s="320"/>
      <c r="AG224"/>
    </row>
    <row r="225" spans="1:33">
      <c r="A225" s="300"/>
      <c r="B225" s="310"/>
      <c r="C225" s="310"/>
      <c r="D225" s="310"/>
      <c r="E225" s="310"/>
      <c r="F225" s="310"/>
      <c r="G225" s="312"/>
      <c r="H225" s="300"/>
      <c r="I225" s="313"/>
      <c r="J225" s="306"/>
      <c r="K225" s="306"/>
      <c r="L225" s="306"/>
      <c r="M225" s="306"/>
      <c r="N225" s="306"/>
      <c r="O225" s="306"/>
      <c r="P225" s="306"/>
      <c r="Q225" s="315"/>
      <c r="R225" s="314"/>
      <c r="S225" s="314"/>
      <c r="T225" s="314"/>
      <c r="U225" s="314"/>
      <c r="V225" s="314"/>
      <c r="W225" s="314"/>
      <c r="X225" s="314"/>
      <c r="Y225" s="314"/>
      <c r="Z225" s="314"/>
      <c r="AA225" s="319"/>
      <c r="AB225" s="320"/>
      <c r="AG225"/>
    </row>
    <row r="226" spans="1:33">
      <c r="A226" s="300"/>
      <c r="B226" s="310"/>
      <c r="C226" s="310"/>
      <c r="D226" s="310"/>
      <c r="E226" s="310"/>
      <c r="F226" s="310"/>
      <c r="G226" s="312"/>
      <c r="H226" s="300"/>
      <c r="I226" s="313"/>
      <c r="J226" s="306"/>
      <c r="K226" s="306"/>
      <c r="L226" s="306"/>
      <c r="M226" s="306"/>
      <c r="N226" s="306"/>
      <c r="O226" s="306"/>
      <c r="P226" s="306"/>
      <c r="Q226" s="315"/>
      <c r="R226" s="314"/>
      <c r="S226" s="314"/>
      <c r="T226" s="314"/>
      <c r="U226" s="314"/>
      <c r="V226" s="314"/>
      <c r="W226" s="314"/>
      <c r="X226" s="314"/>
      <c r="Y226" s="314"/>
      <c r="Z226" s="314"/>
      <c r="AA226" s="319"/>
      <c r="AB226" s="320"/>
      <c r="AG226"/>
    </row>
    <row r="227" spans="1:33">
      <c r="A227" s="300"/>
      <c r="B227" s="310"/>
      <c r="C227" s="310"/>
      <c r="D227" s="310"/>
      <c r="E227" s="310"/>
      <c r="F227" s="310"/>
      <c r="G227" s="312"/>
      <c r="H227" s="300"/>
      <c r="I227" s="313"/>
      <c r="J227" s="306"/>
      <c r="K227" s="306"/>
      <c r="L227" s="306"/>
      <c r="M227" s="306"/>
      <c r="N227" s="306"/>
      <c r="O227" s="306"/>
      <c r="P227" s="306"/>
      <c r="Q227" s="315"/>
      <c r="R227" s="314"/>
      <c r="S227" s="314"/>
      <c r="T227" s="314"/>
      <c r="U227" s="314"/>
      <c r="V227" s="314"/>
      <c r="W227" s="314"/>
      <c r="X227" s="314"/>
      <c r="Y227" s="314"/>
      <c r="Z227" s="314"/>
      <c r="AA227" s="319"/>
      <c r="AB227" s="320"/>
      <c r="AG227"/>
    </row>
    <row r="228" spans="1:33">
      <c r="A228" s="300"/>
      <c r="B228" s="310"/>
      <c r="C228" s="310"/>
      <c r="D228" s="310"/>
      <c r="E228" s="310"/>
      <c r="F228" s="310"/>
      <c r="G228" s="312"/>
      <c r="H228" s="300"/>
      <c r="I228" s="313"/>
      <c r="J228" s="306"/>
      <c r="K228" s="306"/>
      <c r="L228" s="306"/>
      <c r="M228" s="306"/>
      <c r="N228" s="306"/>
      <c r="O228" s="306"/>
      <c r="P228" s="306"/>
      <c r="Q228" s="315"/>
      <c r="R228" s="314"/>
      <c r="S228" s="314"/>
      <c r="T228" s="314"/>
      <c r="U228" s="314"/>
      <c r="V228" s="314"/>
      <c r="W228" s="314"/>
      <c r="X228" s="314"/>
      <c r="Y228" s="314"/>
      <c r="Z228" s="314"/>
      <c r="AA228" s="319"/>
      <c r="AB228" s="320"/>
      <c r="AG228"/>
    </row>
    <row r="229" spans="1:33">
      <c r="A229" s="300"/>
      <c r="B229" s="310"/>
      <c r="C229" s="310"/>
      <c r="D229" s="310"/>
      <c r="E229" s="310"/>
      <c r="F229" s="310"/>
      <c r="G229" s="312"/>
      <c r="H229" s="300"/>
      <c r="I229" s="313"/>
      <c r="J229" s="306"/>
      <c r="K229" s="306"/>
      <c r="L229" s="306"/>
      <c r="M229" s="306"/>
      <c r="N229" s="306"/>
      <c r="O229" s="306"/>
      <c r="P229" s="306"/>
      <c r="Q229" s="315"/>
      <c r="R229" s="314"/>
      <c r="S229" s="314"/>
      <c r="T229" s="314"/>
      <c r="U229" s="314"/>
      <c r="V229" s="314"/>
      <c r="W229" s="314"/>
      <c r="X229" s="314"/>
      <c r="Y229" s="314"/>
      <c r="Z229" s="314"/>
      <c r="AA229" s="319"/>
      <c r="AB229" s="320"/>
      <c r="AG229"/>
    </row>
    <row r="230" spans="1:33">
      <c r="A230" s="300"/>
      <c r="B230" s="310"/>
      <c r="C230" s="310"/>
      <c r="D230" s="310"/>
      <c r="E230" s="310"/>
      <c r="F230" s="310"/>
      <c r="G230" s="312"/>
      <c r="H230" s="300"/>
      <c r="I230" s="313"/>
      <c r="J230" s="306"/>
      <c r="K230" s="306"/>
      <c r="L230" s="306"/>
      <c r="M230" s="306"/>
      <c r="N230" s="306"/>
      <c r="O230" s="306"/>
      <c r="P230" s="306"/>
      <c r="Q230" s="315"/>
      <c r="R230" s="314"/>
      <c r="S230" s="314"/>
      <c r="T230" s="314"/>
      <c r="U230" s="314"/>
      <c r="V230" s="314"/>
      <c r="W230" s="314"/>
      <c r="X230" s="314"/>
      <c r="Y230" s="314"/>
      <c r="Z230" s="314"/>
      <c r="AA230" s="319"/>
      <c r="AB230" s="320"/>
      <c r="AG230"/>
    </row>
    <row r="231" spans="1:33">
      <c r="A231" s="300"/>
      <c r="B231" s="310"/>
      <c r="C231" s="310"/>
      <c r="D231" s="310"/>
      <c r="E231" s="310"/>
      <c r="F231" s="310"/>
      <c r="G231" s="312"/>
      <c r="H231" s="300"/>
      <c r="I231" s="313"/>
      <c r="J231" s="306"/>
      <c r="K231" s="306"/>
      <c r="L231" s="306"/>
      <c r="M231" s="306"/>
      <c r="N231" s="306"/>
      <c r="O231" s="306"/>
      <c r="P231" s="306"/>
      <c r="Q231" s="315"/>
      <c r="R231" s="314"/>
      <c r="S231" s="314"/>
      <c r="T231" s="314"/>
      <c r="U231" s="314"/>
      <c r="V231" s="314"/>
      <c r="W231" s="314"/>
      <c r="X231" s="314"/>
      <c r="Y231" s="314"/>
      <c r="Z231" s="314"/>
      <c r="AA231" s="319"/>
      <c r="AB231" s="320"/>
      <c r="AG231"/>
    </row>
    <row r="232" spans="1:33">
      <c r="A232" s="300"/>
      <c r="B232" s="310"/>
      <c r="C232" s="310"/>
      <c r="D232" s="310"/>
      <c r="E232" s="310"/>
      <c r="F232" s="310"/>
      <c r="G232" s="312"/>
      <c r="H232" s="300"/>
      <c r="I232" s="313"/>
      <c r="J232" s="306"/>
      <c r="K232" s="306"/>
      <c r="L232" s="306"/>
      <c r="M232" s="306"/>
      <c r="N232" s="306"/>
      <c r="O232" s="306"/>
      <c r="P232" s="306"/>
      <c r="Q232" s="315"/>
      <c r="R232" s="314"/>
      <c r="S232" s="314"/>
      <c r="T232" s="314"/>
      <c r="U232" s="314"/>
      <c r="V232" s="314"/>
      <c r="W232" s="314"/>
      <c r="X232" s="314"/>
      <c r="Y232" s="314"/>
      <c r="Z232" s="314"/>
      <c r="AA232" s="319"/>
      <c r="AB232" s="320"/>
      <c r="AG232"/>
    </row>
    <row r="233" spans="1:33">
      <c r="A233" s="300"/>
      <c r="B233" s="310"/>
      <c r="C233" s="310"/>
      <c r="D233" s="310"/>
      <c r="E233" s="310"/>
      <c r="F233" s="310"/>
      <c r="G233" s="312"/>
      <c r="H233" s="300"/>
      <c r="I233" s="313"/>
      <c r="J233" s="306"/>
      <c r="K233" s="306"/>
      <c r="L233" s="306"/>
      <c r="M233" s="306"/>
      <c r="N233" s="306"/>
      <c r="O233" s="306"/>
      <c r="P233" s="306"/>
      <c r="Q233" s="315"/>
      <c r="R233" s="314"/>
      <c r="S233" s="314"/>
      <c r="T233" s="314"/>
      <c r="U233" s="314"/>
      <c r="V233" s="314"/>
      <c r="W233" s="314"/>
      <c r="X233" s="314"/>
      <c r="Y233" s="314"/>
      <c r="Z233" s="314"/>
      <c r="AA233" s="319"/>
      <c r="AB233" s="320"/>
      <c r="AG233"/>
    </row>
    <row r="234" spans="1:33">
      <c r="A234" s="300"/>
      <c r="B234" s="310"/>
      <c r="C234" s="310"/>
      <c r="D234" s="310"/>
      <c r="E234" s="310"/>
      <c r="F234" s="310"/>
      <c r="G234" s="312"/>
      <c r="H234" s="300"/>
      <c r="I234" s="313"/>
      <c r="J234" s="306"/>
      <c r="K234" s="306"/>
      <c r="L234" s="306"/>
      <c r="M234" s="306"/>
      <c r="N234" s="306"/>
      <c r="O234" s="306"/>
      <c r="P234" s="306"/>
      <c r="Q234" s="315"/>
      <c r="R234" s="314"/>
      <c r="S234" s="314"/>
      <c r="T234" s="314"/>
      <c r="U234" s="314"/>
      <c r="V234" s="314"/>
      <c r="W234" s="314"/>
      <c r="X234" s="314"/>
      <c r="Y234" s="314"/>
      <c r="Z234" s="314"/>
      <c r="AA234" s="319"/>
      <c r="AB234" s="320"/>
      <c r="AG234"/>
    </row>
    <row r="235" spans="1:33">
      <c r="A235" s="300"/>
      <c r="B235" s="310"/>
      <c r="C235" s="310"/>
      <c r="D235" s="310"/>
      <c r="E235" s="310"/>
      <c r="F235" s="310"/>
      <c r="G235" s="312"/>
      <c r="H235" s="300"/>
      <c r="I235" s="313"/>
      <c r="J235" s="306"/>
      <c r="K235" s="306"/>
      <c r="L235" s="306"/>
      <c r="M235" s="306"/>
      <c r="N235" s="306"/>
      <c r="O235" s="306"/>
      <c r="P235" s="306"/>
      <c r="Q235" s="315"/>
      <c r="R235" s="314"/>
      <c r="S235" s="314"/>
      <c r="T235" s="314"/>
      <c r="U235" s="314"/>
      <c r="V235" s="314"/>
      <c r="W235" s="314"/>
      <c r="X235" s="314"/>
      <c r="Y235" s="314"/>
      <c r="Z235" s="314"/>
      <c r="AA235" s="319"/>
      <c r="AB235" s="320"/>
      <c r="AG235"/>
    </row>
    <row r="236" spans="1:33">
      <c r="A236" s="300"/>
      <c r="B236" s="310"/>
      <c r="C236" s="310"/>
      <c r="D236" s="310"/>
      <c r="E236" s="310"/>
      <c r="F236" s="310"/>
      <c r="G236" s="312"/>
      <c r="H236" s="300"/>
      <c r="I236" s="313"/>
      <c r="J236" s="306"/>
      <c r="K236" s="306"/>
      <c r="L236" s="306"/>
      <c r="M236" s="306"/>
      <c r="N236" s="306"/>
      <c r="O236" s="306"/>
      <c r="P236" s="306"/>
      <c r="Q236" s="315"/>
      <c r="R236" s="314"/>
      <c r="S236" s="314"/>
      <c r="T236" s="314"/>
      <c r="U236" s="314"/>
      <c r="V236" s="314"/>
      <c r="W236" s="314"/>
      <c r="X236" s="314"/>
      <c r="Y236" s="314"/>
      <c r="Z236" s="314"/>
      <c r="AA236" s="319"/>
      <c r="AB236" s="320"/>
      <c r="AG236"/>
    </row>
    <row r="237" spans="1:33">
      <c r="A237" s="300"/>
      <c r="B237" s="310"/>
      <c r="C237" s="310"/>
      <c r="D237" s="310"/>
      <c r="E237" s="310"/>
      <c r="F237" s="310"/>
      <c r="G237" s="312"/>
      <c r="H237" s="300"/>
      <c r="I237" s="313"/>
      <c r="J237" s="306"/>
      <c r="K237" s="306"/>
      <c r="L237" s="306"/>
      <c r="M237" s="306"/>
      <c r="N237" s="306"/>
      <c r="O237" s="306"/>
      <c r="P237" s="306"/>
      <c r="Q237" s="315"/>
      <c r="R237" s="314"/>
      <c r="S237" s="314"/>
      <c r="T237" s="314"/>
      <c r="U237" s="314"/>
      <c r="V237" s="314"/>
      <c r="W237" s="314"/>
      <c r="X237" s="314"/>
      <c r="Y237" s="314"/>
      <c r="Z237" s="314"/>
      <c r="AA237" s="319"/>
      <c r="AB237" s="320"/>
      <c r="AG237"/>
    </row>
    <row r="238" spans="1:33">
      <c r="A238" s="300"/>
      <c r="B238" s="310"/>
      <c r="C238" s="310"/>
      <c r="D238" s="310"/>
      <c r="E238" s="310"/>
      <c r="F238" s="310"/>
      <c r="G238" s="312"/>
      <c r="H238" s="300"/>
      <c r="I238" s="313"/>
      <c r="J238" s="306"/>
      <c r="K238" s="306"/>
      <c r="L238" s="306"/>
      <c r="M238" s="306"/>
      <c r="N238" s="306"/>
      <c r="O238" s="306"/>
      <c r="P238" s="306"/>
      <c r="Q238" s="315"/>
      <c r="R238" s="314"/>
      <c r="S238" s="314"/>
      <c r="T238" s="314"/>
      <c r="U238" s="314"/>
      <c r="V238" s="314"/>
      <c r="W238" s="314"/>
      <c r="X238" s="314"/>
      <c r="Y238" s="314"/>
      <c r="Z238" s="314"/>
      <c r="AA238" s="319"/>
      <c r="AB238" s="320"/>
      <c r="AG238"/>
    </row>
    <row r="239" spans="1:33">
      <c r="A239" s="300"/>
      <c r="B239" s="310"/>
      <c r="C239" s="310"/>
      <c r="D239" s="310"/>
      <c r="E239" s="310"/>
      <c r="F239" s="310"/>
      <c r="G239" s="312"/>
      <c r="H239" s="300"/>
      <c r="I239" s="313"/>
      <c r="J239" s="306"/>
      <c r="K239" s="306"/>
      <c r="L239" s="306"/>
      <c r="M239" s="306"/>
      <c r="N239" s="306"/>
      <c r="O239" s="306"/>
      <c r="P239" s="306"/>
      <c r="Q239" s="315"/>
      <c r="R239" s="314"/>
      <c r="S239" s="314"/>
      <c r="T239" s="314"/>
      <c r="U239" s="314"/>
      <c r="V239" s="314"/>
      <c r="W239" s="314"/>
      <c r="X239" s="314"/>
      <c r="Y239" s="314"/>
      <c r="Z239" s="314"/>
      <c r="AA239" s="319"/>
      <c r="AB239" s="320"/>
      <c r="AG239"/>
    </row>
    <row r="240" spans="1:33">
      <c r="A240" s="300"/>
      <c r="B240" s="310"/>
      <c r="C240" s="310"/>
      <c r="D240" s="310"/>
      <c r="E240" s="310"/>
      <c r="F240" s="310"/>
      <c r="G240" s="312"/>
      <c r="H240" s="300"/>
      <c r="I240" s="313"/>
      <c r="J240" s="306"/>
      <c r="K240" s="306"/>
      <c r="L240" s="306"/>
      <c r="M240" s="306"/>
      <c r="N240" s="306"/>
      <c r="O240" s="306"/>
      <c r="P240" s="306"/>
      <c r="Q240" s="315"/>
      <c r="R240" s="314"/>
      <c r="S240" s="314"/>
      <c r="T240" s="314"/>
      <c r="U240" s="314"/>
      <c r="V240" s="314"/>
      <c r="W240" s="314"/>
      <c r="X240" s="314"/>
      <c r="Y240" s="314"/>
      <c r="Z240" s="314"/>
      <c r="AA240" s="319"/>
      <c r="AB240" s="320"/>
      <c r="AG240"/>
    </row>
    <row r="241" spans="1:33">
      <c r="A241" s="300"/>
      <c r="B241" s="310"/>
      <c r="C241" s="310"/>
      <c r="D241" s="310"/>
      <c r="E241" s="310"/>
      <c r="F241" s="310"/>
      <c r="G241" s="312"/>
      <c r="H241" s="300"/>
      <c r="I241" s="313"/>
      <c r="J241" s="306"/>
      <c r="K241" s="306"/>
      <c r="L241" s="306"/>
      <c r="M241" s="306"/>
      <c r="N241" s="306"/>
      <c r="O241" s="306"/>
      <c r="P241" s="306"/>
      <c r="Q241" s="315"/>
      <c r="R241" s="314"/>
      <c r="S241" s="314"/>
      <c r="T241" s="314"/>
      <c r="U241" s="314"/>
      <c r="V241" s="314"/>
      <c r="W241" s="314"/>
      <c r="X241" s="314"/>
      <c r="Y241" s="314"/>
      <c r="Z241" s="314"/>
      <c r="AA241" s="319"/>
      <c r="AB241" s="320"/>
      <c r="AG241"/>
    </row>
    <row r="242" spans="1:33">
      <c r="A242" s="300"/>
      <c r="B242" s="310"/>
      <c r="C242" s="310"/>
      <c r="D242" s="310"/>
      <c r="E242" s="310"/>
      <c r="F242" s="310"/>
      <c r="G242" s="312"/>
      <c r="H242" s="300"/>
      <c r="I242" s="313"/>
      <c r="J242" s="306"/>
      <c r="K242" s="306"/>
      <c r="L242" s="306"/>
      <c r="M242" s="306"/>
      <c r="N242" s="306"/>
      <c r="O242" s="306"/>
      <c r="P242" s="306"/>
      <c r="Q242" s="315"/>
      <c r="R242" s="314"/>
      <c r="S242" s="314"/>
      <c r="T242" s="314"/>
      <c r="U242" s="314"/>
      <c r="V242" s="314"/>
      <c r="W242" s="314"/>
      <c r="X242" s="314"/>
      <c r="Y242" s="314"/>
      <c r="Z242" s="314"/>
      <c r="AA242" s="319"/>
      <c r="AB242" s="320"/>
      <c r="AG242"/>
    </row>
    <row r="243" spans="1:33">
      <c r="A243" s="300"/>
      <c r="B243" s="310"/>
      <c r="C243" s="310"/>
      <c r="D243" s="310"/>
      <c r="E243" s="310"/>
      <c r="F243" s="310"/>
      <c r="G243" s="312"/>
      <c r="H243" s="300"/>
      <c r="I243" s="313"/>
      <c r="J243" s="306"/>
      <c r="K243" s="306"/>
      <c r="L243" s="306"/>
      <c r="M243" s="306"/>
      <c r="N243" s="306"/>
      <c r="O243" s="306"/>
      <c r="P243" s="306"/>
      <c r="Q243" s="315"/>
      <c r="R243" s="314"/>
      <c r="S243" s="314"/>
      <c r="T243" s="314"/>
      <c r="U243" s="314"/>
      <c r="V243" s="314"/>
      <c r="W243" s="314"/>
      <c r="X243" s="314"/>
      <c r="Y243" s="314"/>
      <c r="Z243" s="314"/>
      <c r="AA243" s="319"/>
      <c r="AB243" s="320"/>
      <c r="AG243"/>
    </row>
    <row r="244" spans="1:33">
      <c r="A244" s="300"/>
      <c r="B244" s="310"/>
      <c r="C244" s="310"/>
      <c r="D244" s="310"/>
      <c r="E244" s="310"/>
      <c r="F244" s="310"/>
      <c r="G244" s="312"/>
      <c r="H244" s="300"/>
      <c r="I244" s="313"/>
      <c r="J244" s="306"/>
      <c r="K244" s="306"/>
      <c r="L244" s="306"/>
      <c r="M244" s="306"/>
      <c r="N244" s="306"/>
      <c r="O244" s="306"/>
      <c r="P244" s="306"/>
      <c r="Q244" s="315"/>
      <c r="R244" s="314"/>
      <c r="S244" s="314"/>
      <c r="T244" s="314"/>
      <c r="U244" s="314"/>
      <c r="V244" s="314"/>
      <c r="W244" s="314"/>
      <c r="X244" s="314"/>
      <c r="Y244" s="314"/>
      <c r="Z244" s="314"/>
      <c r="AA244" s="319"/>
      <c r="AB244" s="320"/>
      <c r="AG244"/>
    </row>
    <row r="245" spans="1:33">
      <c r="A245" s="300"/>
      <c r="B245" s="310"/>
      <c r="C245" s="310"/>
      <c r="D245" s="310"/>
      <c r="E245" s="310"/>
      <c r="F245" s="310"/>
      <c r="G245" s="312"/>
      <c r="H245" s="300"/>
      <c r="I245" s="313"/>
      <c r="J245" s="306"/>
      <c r="K245" s="306"/>
      <c r="L245" s="306"/>
      <c r="M245" s="306"/>
      <c r="N245" s="306"/>
      <c r="O245" s="306"/>
      <c r="P245" s="306"/>
      <c r="Q245" s="315"/>
      <c r="R245" s="314"/>
      <c r="S245" s="314"/>
      <c r="T245" s="314"/>
      <c r="U245" s="314"/>
      <c r="V245" s="314"/>
      <c r="W245" s="314"/>
      <c r="X245" s="314"/>
      <c r="Y245" s="314"/>
      <c r="Z245" s="314"/>
      <c r="AA245" s="319"/>
      <c r="AB245" s="320"/>
      <c r="AG245"/>
    </row>
    <row r="246" spans="1:33">
      <c r="A246" s="300"/>
      <c r="B246" s="310"/>
      <c r="C246" s="310"/>
      <c r="D246" s="310"/>
      <c r="E246" s="310"/>
      <c r="F246" s="310"/>
      <c r="G246" s="312"/>
      <c r="H246" s="300"/>
      <c r="I246" s="313"/>
      <c r="J246" s="306"/>
      <c r="K246" s="306"/>
      <c r="L246" s="306"/>
      <c r="M246" s="306"/>
      <c r="N246" s="306"/>
      <c r="O246" s="306"/>
      <c r="P246" s="306"/>
      <c r="Q246" s="315"/>
      <c r="R246" s="314"/>
      <c r="S246" s="314"/>
      <c r="T246" s="314"/>
      <c r="U246" s="314"/>
      <c r="V246" s="314"/>
      <c r="W246" s="314"/>
      <c r="X246" s="314"/>
      <c r="Y246" s="314"/>
      <c r="Z246" s="314"/>
      <c r="AA246" s="319"/>
      <c r="AB246" s="320"/>
      <c r="AG246"/>
    </row>
    <row r="247" spans="1:33">
      <c r="A247" s="300"/>
      <c r="B247" s="310"/>
      <c r="C247" s="310"/>
      <c r="D247" s="310"/>
      <c r="E247" s="310"/>
      <c r="F247" s="310"/>
      <c r="G247" s="312"/>
      <c r="H247" s="300"/>
      <c r="I247" s="313"/>
      <c r="J247" s="306"/>
      <c r="K247" s="306"/>
      <c r="L247" s="306"/>
      <c r="M247" s="306"/>
      <c r="N247" s="306"/>
      <c r="O247" s="306"/>
      <c r="P247" s="306"/>
      <c r="Q247" s="315"/>
      <c r="R247" s="314"/>
      <c r="S247" s="314"/>
      <c r="T247" s="314"/>
      <c r="U247" s="314"/>
      <c r="V247" s="314"/>
      <c r="W247" s="314"/>
      <c r="X247" s="314"/>
      <c r="Y247" s="314"/>
      <c r="Z247" s="314"/>
      <c r="AA247" s="319"/>
      <c r="AB247" s="320"/>
      <c r="AG247"/>
    </row>
    <row r="248" spans="1:33">
      <c r="A248" s="300"/>
      <c r="B248" s="310"/>
      <c r="C248" s="310"/>
      <c r="D248" s="310"/>
      <c r="E248" s="310"/>
      <c r="F248" s="310"/>
      <c r="G248" s="312"/>
      <c r="H248" s="300"/>
      <c r="I248" s="313"/>
      <c r="J248" s="306"/>
      <c r="K248" s="306"/>
      <c r="L248" s="306"/>
      <c r="M248" s="306"/>
      <c r="N248" s="306"/>
      <c r="O248" s="306"/>
      <c r="P248" s="306"/>
      <c r="Q248" s="315"/>
      <c r="R248" s="314"/>
      <c r="S248" s="314"/>
      <c r="T248" s="314"/>
      <c r="U248" s="314"/>
      <c r="V248" s="314"/>
      <c r="W248" s="314"/>
      <c r="X248" s="314"/>
      <c r="Y248" s="314"/>
      <c r="Z248" s="314"/>
      <c r="AA248" s="319"/>
      <c r="AB248" s="320"/>
      <c r="AG248"/>
    </row>
    <row r="249" spans="1:33">
      <c r="A249" s="300"/>
      <c r="B249" s="310"/>
      <c r="C249" s="310"/>
      <c r="D249" s="310"/>
      <c r="E249" s="310"/>
      <c r="F249" s="310"/>
      <c r="G249" s="312"/>
      <c r="H249" s="300"/>
      <c r="I249" s="313"/>
      <c r="J249" s="306"/>
      <c r="K249" s="306"/>
      <c r="L249" s="306"/>
      <c r="M249" s="306"/>
      <c r="N249" s="306"/>
      <c r="O249" s="306"/>
      <c r="P249" s="306"/>
      <c r="Q249" s="315"/>
      <c r="R249" s="314"/>
      <c r="S249" s="314"/>
      <c r="T249" s="314"/>
      <c r="U249" s="314"/>
      <c r="V249" s="314"/>
      <c r="W249" s="314"/>
      <c r="X249" s="314"/>
      <c r="Y249" s="314"/>
      <c r="Z249" s="314"/>
      <c r="AA249" s="319"/>
      <c r="AB249" s="320"/>
      <c r="AG249"/>
    </row>
    <row r="250" spans="1:33">
      <c r="A250" s="300"/>
      <c r="B250" s="310"/>
      <c r="C250" s="310"/>
      <c r="D250" s="310"/>
      <c r="E250" s="310"/>
      <c r="F250" s="310"/>
      <c r="G250" s="312"/>
      <c r="H250" s="300"/>
      <c r="I250" s="313"/>
      <c r="J250" s="306"/>
      <c r="K250" s="306"/>
      <c r="L250" s="306"/>
      <c r="M250" s="306"/>
      <c r="N250" s="306"/>
      <c r="O250" s="306"/>
      <c r="P250" s="306"/>
      <c r="Q250" s="315"/>
      <c r="R250" s="314"/>
      <c r="S250" s="314"/>
      <c r="T250" s="314"/>
      <c r="U250" s="314"/>
      <c r="V250" s="314"/>
      <c r="W250" s="314"/>
      <c r="X250" s="314"/>
      <c r="Y250" s="314"/>
      <c r="Z250" s="314"/>
      <c r="AA250" s="319"/>
      <c r="AB250" s="320"/>
      <c r="AG250"/>
    </row>
    <row r="251" spans="1:33">
      <c r="A251" s="300"/>
      <c r="B251" s="310"/>
      <c r="C251" s="310"/>
      <c r="D251" s="310"/>
      <c r="E251" s="310"/>
      <c r="F251" s="310"/>
      <c r="G251" s="312"/>
      <c r="H251" s="300"/>
      <c r="I251" s="313"/>
      <c r="J251" s="306"/>
      <c r="K251" s="306"/>
      <c r="L251" s="306"/>
      <c r="M251" s="306"/>
      <c r="N251" s="306"/>
      <c r="O251" s="306"/>
      <c r="P251" s="306"/>
      <c r="Q251" s="315"/>
      <c r="R251" s="314"/>
      <c r="S251" s="314"/>
      <c r="T251" s="314"/>
      <c r="U251" s="314"/>
      <c r="V251" s="314"/>
      <c r="W251" s="314"/>
      <c r="X251" s="314"/>
      <c r="Y251" s="314"/>
      <c r="Z251" s="314"/>
      <c r="AA251" s="319"/>
      <c r="AB251" s="320"/>
      <c r="AG251"/>
    </row>
    <row r="252" spans="1:33">
      <c r="A252" s="300"/>
      <c r="B252" s="310"/>
      <c r="C252" s="310"/>
      <c r="D252" s="310"/>
      <c r="E252" s="310"/>
      <c r="F252" s="310"/>
      <c r="G252" s="312"/>
      <c r="H252" s="300"/>
      <c r="I252" s="313"/>
      <c r="J252" s="306"/>
      <c r="K252" s="306"/>
      <c r="L252" s="306"/>
      <c r="M252" s="306"/>
      <c r="N252" s="306"/>
      <c r="O252" s="306"/>
      <c r="P252" s="306"/>
      <c r="Q252" s="315"/>
      <c r="R252" s="314"/>
      <c r="S252" s="314"/>
      <c r="T252" s="314"/>
      <c r="U252" s="314"/>
      <c r="V252" s="314"/>
      <c r="W252" s="314"/>
      <c r="X252" s="314"/>
      <c r="Y252" s="314"/>
      <c r="Z252" s="314"/>
      <c r="AA252" s="319"/>
      <c r="AB252" s="320"/>
      <c r="AG252"/>
    </row>
    <row r="253" spans="1:33">
      <c r="A253" s="300"/>
      <c r="B253" s="310"/>
      <c r="C253" s="310"/>
      <c r="D253" s="310"/>
      <c r="E253" s="310"/>
      <c r="F253" s="310"/>
      <c r="G253" s="312"/>
      <c r="H253" s="300"/>
      <c r="I253" s="313"/>
      <c r="J253" s="306"/>
      <c r="K253" s="306"/>
      <c r="L253" s="306"/>
      <c r="M253" s="306"/>
      <c r="N253" s="306"/>
      <c r="O253" s="306"/>
      <c r="P253" s="306"/>
      <c r="Q253" s="315"/>
      <c r="R253" s="314"/>
      <c r="S253" s="314"/>
      <c r="T253" s="314"/>
      <c r="U253" s="314"/>
      <c r="V253" s="314"/>
      <c r="W253" s="314"/>
      <c r="X253" s="314"/>
      <c r="Y253" s="314"/>
      <c r="Z253" s="314"/>
      <c r="AA253" s="319"/>
      <c r="AB253" s="320"/>
      <c r="AG253"/>
    </row>
    <row r="254" spans="1:33">
      <c r="A254" s="300"/>
      <c r="B254" s="310"/>
      <c r="C254" s="310"/>
      <c r="D254" s="310"/>
      <c r="E254" s="310"/>
      <c r="F254" s="310"/>
      <c r="G254" s="312"/>
      <c r="H254" s="300"/>
      <c r="I254" s="313"/>
      <c r="J254" s="306"/>
      <c r="K254" s="306"/>
      <c r="L254" s="306"/>
      <c r="M254" s="306"/>
      <c r="N254" s="306"/>
      <c r="O254" s="306"/>
      <c r="P254" s="306"/>
      <c r="Q254" s="315"/>
      <c r="R254" s="314"/>
      <c r="S254" s="314"/>
      <c r="T254" s="314"/>
      <c r="U254" s="314"/>
      <c r="V254" s="314"/>
      <c r="W254" s="314"/>
      <c r="X254" s="314"/>
      <c r="Y254" s="314"/>
      <c r="Z254" s="314"/>
      <c r="AA254" s="319"/>
      <c r="AB254" s="320"/>
      <c r="AG254"/>
    </row>
    <row r="255" spans="1:33">
      <c r="A255" s="300"/>
      <c r="B255" s="310"/>
      <c r="C255" s="310"/>
      <c r="D255" s="310"/>
      <c r="E255" s="310"/>
      <c r="F255" s="310"/>
      <c r="G255" s="312"/>
      <c r="H255" s="300"/>
      <c r="I255" s="313"/>
      <c r="J255" s="306"/>
      <c r="K255" s="306"/>
      <c r="L255" s="306"/>
      <c r="M255" s="306"/>
      <c r="N255" s="306"/>
      <c r="O255" s="306"/>
      <c r="P255" s="306"/>
      <c r="Q255" s="315"/>
      <c r="R255" s="314"/>
      <c r="S255" s="314"/>
      <c r="T255" s="314"/>
      <c r="U255" s="314"/>
      <c r="V255" s="314"/>
      <c r="W255" s="314"/>
      <c r="X255" s="314"/>
      <c r="Y255" s="314"/>
      <c r="Z255" s="314"/>
      <c r="AA255" s="319"/>
      <c r="AB255" s="320"/>
      <c r="AG255"/>
    </row>
    <row r="256" spans="1:33">
      <c r="A256" s="300"/>
      <c r="B256" s="310"/>
      <c r="C256" s="310"/>
      <c r="D256" s="310"/>
      <c r="E256" s="310"/>
      <c r="F256" s="310"/>
      <c r="G256" s="312"/>
      <c r="H256" s="300"/>
      <c r="I256" s="313"/>
      <c r="J256" s="306"/>
      <c r="K256" s="306"/>
      <c r="L256" s="306"/>
      <c r="M256" s="306"/>
      <c r="N256" s="306"/>
      <c r="O256" s="306"/>
      <c r="P256" s="306"/>
      <c r="Q256" s="315"/>
      <c r="R256" s="314"/>
      <c r="S256" s="314"/>
      <c r="T256" s="314"/>
      <c r="U256" s="314"/>
      <c r="V256" s="314"/>
      <c r="W256" s="314"/>
      <c r="X256" s="314"/>
      <c r="Y256" s="314"/>
      <c r="Z256" s="314"/>
      <c r="AA256" s="319"/>
      <c r="AB256" s="320"/>
      <c r="AG256"/>
    </row>
    <row r="257" spans="1:33">
      <c r="A257" s="300"/>
      <c r="B257" s="310"/>
      <c r="C257" s="310"/>
      <c r="D257" s="310"/>
      <c r="E257" s="310"/>
      <c r="F257" s="310"/>
      <c r="G257" s="312"/>
      <c r="H257" s="300"/>
      <c r="I257" s="313"/>
      <c r="J257" s="306"/>
      <c r="K257" s="306"/>
      <c r="L257" s="306"/>
      <c r="M257" s="306"/>
      <c r="N257" s="306"/>
      <c r="O257" s="306"/>
      <c r="P257" s="306"/>
      <c r="Q257" s="315"/>
      <c r="R257" s="314"/>
      <c r="S257" s="314"/>
      <c r="T257" s="314"/>
      <c r="U257" s="314"/>
      <c r="V257" s="314"/>
      <c r="W257" s="314"/>
      <c r="X257" s="314"/>
      <c r="Y257" s="314"/>
      <c r="Z257" s="314"/>
      <c r="AA257" s="319"/>
      <c r="AB257" s="320"/>
      <c r="AG257"/>
    </row>
    <row r="258" spans="1:33">
      <c r="A258" s="300"/>
      <c r="B258" s="310"/>
      <c r="C258" s="310"/>
      <c r="D258" s="310"/>
      <c r="E258" s="310"/>
      <c r="F258" s="310"/>
      <c r="G258" s="312"/>
      <c r="H258" s="300"/>
      <c r="I258" s="313"/>
      <c r="J258" s="306"/>
      <c r="K258" s="306"/>
      <c r="L258" s="306"/>
      <c r="M258" s="306"/>
      <c r="N258" s="306"/>
      <c r="O258" s="306"/>
      <c r="P258" s="306"/>
      <c r="Q258" s="315"/>
      <c r="R258" s="314"/>
      <c r="S258" s="314"/>
      <c r="T258" s="314"/>
      <c r="U258" s="314"/>
      <c r="V258" s="314"/>
      <c r="W258" s="314"/>
      <c r="X258" s="314"/>
      <c r="Y258" s="314"/>
      <c r="Z258" s="314"/>
      <c r="AA258" s="319"/>
      <c r="AB258" s="320"/>
      <c r="AG258"/>
    </row>
    <row r="259" spans="1:33">
      <c r="A259" s="300"/>
      <c r="B259" s="310"/>
      <c r="C259" s="310"/>
      <c r="D259" s="310"/>
      <c r="E259" s="310"/>
      <c r="F259" s="310"/>
      <c r="G259" s="312"/>
      <c r="H259" s="300"/>
      <c r="I259" s="313"/>
      <c r="J259" s="306"/>
      <c r="K259" s="306"/>
      <c r="L259" s="306"/>
      <c r="M259" s="306"/>
      <c r="N259" s="306"/>
      <c r="O259" s="306"/>
      <c r="P259" s="306"/>
      <c r="Q259" s="315"/>
      <c r="R259" s="314"/>
      <c r="S259" s="314"/>
      <c r="T259" s="314"/>
      <c r="U259" s="314"/>
      <c r="V259" s="314"/>
      <c r="W259" s="314"/>
      <c r="X259" s="314"/>
      <c r="Y259" s="314"/>
      <c r="Z259" s="314"/>
      <c r="AA259" s="319"/>
      <c r="AB259" s="320"/>
      <c r="AG259"/>
    </row>
    <row r="260" spans="1:33">
      <c r="A260" s="300"/>
      <c r="B260" s="310"/>
      <c r="C260" s="310"/>
      <c r="D260" s="310"/>
      <c r="E260" s="310"/>
      <c r="F260" s="310"/>
      <c r="G260" s="312"/>
      <c r="H260" s="300"/>
      <c r="I260" s="313"/>
      <c r="J260" s="306"/>
      <c r="K260" s="306"/>
      <c r="L260" s="306"/>
      <c r="M260" s="306"/>
      <c r="N260" s="306"/>
      <c r="O260" s="306"/>
      <c r="P260" s="306"/>
      <c r="Q260" s="315"/>
      <c r="R260" s="314"/>
      <c r="S260" s="314"/>
      <c r="T260" s="314"/>
      <c r="U260" s="314"/>
      <c r="V260" s="314"/>
      <c r="W260" s="314"/>
      <c r="X260" s="314"/>
      <c r="Y260" s="314"/>
      <c r="Z260" s="314"/>
      <c r="AA260" s="319"/>
      <c r="AB260" s="320"/>
      <c r="AG260"/>
    </row>
    <row r="261" spans="1:33">
      <c r="A261" s="300"/>
      <c r="B261" s="310"/>
      <c r="C261" s="310"/>
      <c r="D261" s="310"/>
      <c r="E261" s="310"/>
      <c r="F261" s="310"/>
      <c r="G261" s="312"/>
      <c r="H261" s="300"/>
      <c r="I261" s="313"/>
      <c r="J261" s="306"/>
      <c r="K261" s="306"/>
      <c r="L261" s="306"/>
      <c r="M261" s="306"/>
      <c r="N261" s="306"/>
      <c r="O261" s="306"/>
      <c r="P261" s="306"/>
      <c r="Q261" s="315"/>
      <c r="R261" s="314"/>
      <c r="S261" s="314"/>
      <c r="T261" s="314"/>
      <c r="U261" s="314"/>
      <c r="V261" s="314"/>
      <c r="W261" s="314"/>
      <c r="X261" s="314"/>
      <c r="Y261" s="314"/>
      <c r="Z261" s="314"/>
      <c r="AA261" s="319"/>
      <c r="AB261" s="320"/>
      <c r="AG261"/>
    </row>
    <row r="262" spans="1:33">
      <c r="A262" s="300"/>
      <c r="B262" s="310"/>
      <c r="C262" s="310"/>
      <c r="D262" s="310"/>
      <c r="E262" s="310"/>
      <c r="F262" s="310"/>
      <c r="G262" s="312"/>
      <c r="H262" s="300"/>
      <c r="I262" s="313"/>
      <c r="J262" s="306"/>
      <c r="K262" s="306"/>
      <c r="L262" s="306"/>
      <c r="M262" s="306"/>
      <c r="N262" s="306"/>
      <c r="O262" s="306"/>
      <c r="P262" s="306"/>
      <c r="Q262" s="315"/>
      <c r="R262" s="314"/>
      <c r="S262" s="314"/>
      <c r="T262" s="314"/>
      <c r="U262" s="314"/>
      <c r="V262" s="314"/>
      <c r="W262" s="314"/>
      <c r="X262" s="314"/>
      <c r="Y262" s="314"/>
      <c r="Z262" s="314"/>
      <c r="AA262" s="319"/>
      <c r="AB262" s="320"/>
      <c r="AG262"/>
    </row>
    <row r="263" spans="1:33">
      <c r="A263" s="300"/>
      <c r="B263" s="310"/>
      <c r="C263" s="310"/>
      <c r="D263" s="310"/>
      <c r="E263" s="310"/>
      <c r="F263" s="310"/>
      <c r="G263" s="312"/>
      <c r="H263" s="300"/>
      <c r="I263" s="313"/>
      <c r="J263" s="306"/>
      <c r="K263" s="306"/>
      <c r="L263" s="306"/>
      <c r="M263" s="306"/>
      <c r="N263" s="306"/>
      <c r="O263" s="306"/>
      <c r="P263" s="306"/>
      <c r="Q263" s="315"/>
      <c r="R263" s="314"/>
      <c r="S263" s="314"/>
      <c r="T263" s="314"/>
      <c r="U263" s="314"/>
      <c r="V263" s="314"/>
      <c r="W263" s="314"/>
      <c r="X263" s="314"/>
      <c r="Y263" s="314"/>
      <c r="Z263" s="314"/>
      <c r="AA263" s="319"/>
      <c r="AB263" s="320"/>
      <c r="AG263"/>
    </row>
    <row r="264" spans="1:33">
      <c r="A264" s="300"/>
      <c r="B264" s="310"/>
      <c r="C264" s="310"/>
      <c r="D264" s="310"/>
      <c r="E264" s="310"/>
      <c r="F264" s="310"/>
      <c r="G264" s="312"/>
      <c r="H264" s="300"/>
      <c r="I264" s="313"/>
      <c r="J264" s="306"/>
      <c r="K264" s="306"/>
      <c r="L264" s="306"/>
      <c r="M264" s="306"/>
      <c r="N264" s="306"/>
      <c r="O264" s="306"/>
      <c r="P264" s="306"/>
      <c r="Q264" s="315"/>
      <c r="R264" s="314"/>
      <c r="S264" s="314"/>
      <c r="T264" s="314"/>
      <c r="U264" s="314"/>
      <c r="V264" s="314"/>
      <c r="W264" s="314"/>
      <c r="X264" s="314"/>
      <c r="Y264" s="314"/>
      <c r="Z264" s="314"/>
      <c r="AA264" s="319"/>
      <c r="AB264" s="320"/>
      <c r="AG264"/>
    </row>
    <row r="265" spans="1:33">
      <c r="A265" s="300"/>
      <c r="B265" s="310"/>
      <c r="C265" s="310"/>
      <c r="D265" s="310"/>
      <c r="E265" s="310"/>
      <c r="F265" s="310"/>
      <c r="G265" s="312"/>
      <c r="H265" s="300"/>
      <c r="I265" s="313"/>
      <c r="J265" s="306"/>
      <c r="K265" s="306"/>
      <c r="L265" s="306"/>
      <c r="M265" s="306"/>
      <c r="N265" s="306"/>
      <c r="O265" s="306"/>
      <c r="P265" s="306"/>
      <c r="Q265" s="315"/>
      <c r="R265" s="314"/>
      <c r="S265" s="314"/>
      <c r="T265" s="314"/>
      <c r="U265" s="314"/>
      <c r="V265" s="314"/>
      <c r="W265" s="314"/>
      <c r="X265" s="314"/>
      <c r="Y265" s="314"/>
      <c r="Z265" s="314"/>
      <c r="AA265" s="319"/>
      <c r="AB265" s="320"/>
      <c r="AG265"/>
    </row>
    <row r="266" spans="1:33">
      <c r="A266" s="300"/>
      <c r="B266" s="310"/>
      <c r="C266" s="310"/>
      <c r="D266" s="310"/>
      <c r="E266" s="310"/>
      <c r="F266" s="310"/>
      <c r="G266" s="312"/>
      <c r="H266" s="300"/>
      <c r="I266" s="313"/>
      <c r="J266" s="306"/>
      <c r="K266" s="306"/>
      <c r="L266" s="306"/>
      <c r="M266" s="306"/>
      <c r="N266" s="306"/>
      <c r="O266" s="306"/>
      <c r="P266" s="306"/>
      <c r="Q266" s="315"/>
      <c r="R266" s="314"/>
      <c r="S266" s="314"/>
      <c r="T266" s="314"/>
      <c r="U266" s="314"/>
      <c r="V266" s="314"/>
      <c r="W266" s="314"/>
      <c r="X266" s="314"/>
      <c r="Y266" s="314"/>
      <c r="Z266" s="314"/>
      <c r="AA266" s="319"/>
      <c r="AB266" s="320"/>
      <c r="AG266"/>
    </row>
    <row r="267" spans="1:33">
      <c r="A267" s="300"/>
      <c r="B267" s="310"/>
      <c r="C267" s="310"/>
      <c r="D267" s="310"/>
      <c r="E267" s="310"/>
      <c r="F267" s="310"/>
      <c r="G267" s="312"/>
      <c r="H267" s="300"/>
      <c r="I267" s="313"/>
      <c r="J267" s="306"/>
      <c r="K267" s="306"/>
      <c r="L267" s="306"/>
      <c r="M267" s="306"/>
      <c r="N267" s="306"/>
      <c r="O267" s="306"/>
      <c r="P267" s="306"/>
      <c r="Q267" s="315"/>
      <c r="R267" s="314"/>
      <c r="S267" s="314"/>
      <c r="T267" s="314"/>
      <c r="U267" s="314"/>
      <c r="V267" s="314"/>
      <c r="W267" s="314"/>
      <c r="X267" s="314"/>
      <c r="Y267" s="314"/>
      <c r="Z267" s="314"/>
      <c r="AA267" s="319"/>
      <c r="AB267" s="320"/>
      <c r="AG267"/>
    </row>
    <row r="268" spans="1:33">
      <c r="A268" s="300"/>
      <c r="B268" s="310"/>
      <c r="C268" s="310"/>
      <c r="D268" s="310"/>
      <c r="E268" s="310"/>
      <c r="F268" s="310"/>
      <c r="G268" s="312"/>
      <c r="H268" s="300"/>
      <c r="I268" s="313"/>
      <c r="J268" s="306"/>
      <c r="K268" s="306"/>
      <c r="L268" s="306"/>
      <c r="M268" s="306"/>
      <c r="N268" s="306"/>
      <c r="O268" s="306"/>
      <c r="P268" s="306"/>
      <c r="Q268" s="315"/>
      <c r="R268" s="314"/>
      <c r="S268" s="314"/>
      <c r="T268" s="314"/>
      <c r="U268" s="314"/>
      <c r="V268" s="314"/>
      <c r="W268" s="314"/>
      <c r="X268" s="314"/>
      <c r="Y268" s="314"/>
      <c r="Z268" s="314"/>
      <c r="AA268" s="319"/>
      <c r="AB268" s="320"/>
      <c r="AG268"/>
    </row>
    <row r="269" spans="1:33">
      <c r="A269" s="300"/>
      <c r="B269" s="310"/>
      <c r="C269" s="310"/>
      <c r="D269" s="310"/>
      <c r="E269" s="310"/>
      <c r="F269" s="310"/>
      <c r="G269" s="312"/>
      <c r="H269" s="300"/>
      <c r="I269" s="313"/>
      <c r="J269" s="306"/>
      <c r="K269" s="306"/>
      <c r="L269" s="306"/>
      <c r="M269" s="306"/>
      <c r="N269" s="306"/>
      <c r="O269" s="306"/>
      <c r="P269" s="306"/>
      <c r="Q269" s="315"/>
      <c r="R269" s="314"/>
      <c r="S269" s="314"/>
      <c r="T269" s="314"/>
      <c r="U269" s="314"/>
      <c r="V269" s="314"/>
      <c r="W269" s="314"/>
      <c r="X269" s="314"/>
      <c r="Y269" s="314"/>
      <c r="Z269" s="314"/>
      <c r="AA269" s="319"/>
      <c r="AB269" s="320"/>
      <c r="AG269"/>
    </row>
    <row r="270" spans="1:33">
      <c r="A270" s="300"/>
      <c r="B270" s="310"/>
      <c r="C270" s="310"/>
      <c r="D270" s="310"/>
      <c r="E270" s="310"/>
      <c r="F270" s="310"/>
      <c r="G270" s="312"/>
      <c r="H270" s="300"/>
      <c r="I270" s="313"/>
      <c r="J270" s="306"/>
      <c r="K270" s="306"/>
      <c r="L270" s="306"/>
      <c r="M270" s="306"/>
      <c r="N270" s="306"/>
      <c r="O270" s="306"/>
      <c r="P270" s="306"/>
      <c r="Q270" s="315"/>
      <c r="R270" s="314"/>
      <c r="S270" s="314"/>
      <c r="T270" s="314"/>
      <c r="U270" s="314"/>
      <c r="V270" s="314"/>
      <c r="W270" s="314"/>
      <c r="X270" s="314"/>
      <c r="Y270" s="314"/>
      <c r="Z270" s="314"/>
      <c r="AA270" s="319"/>
      <c r="AB270" s="320"/>
      <c r="AG270"/>
    </row>
    <row r="271" spans="1:33">
      <c r="A271" s="300"/>
      <c r="B271" s="310"/>
      <c r="C271" s="310"/>
      <c r="D271" s="310"/>
      <c r="E271" s="310"/>
      <c r="F271" s="310"/>
      <c r="G271" s="312"/>
      <c r="H271" s="300"/>
      <c r="I271" s="313"/>
      <c r="J271" s="306"/>
      <c r="K271" s="306"/>
      <c r="L271" s="306"/>
      <c r="M271" s="306"/>
      <c r="N271" s="306"/>
      <c r="O271" s="306"/>
      <c r="P271" s="306"/>
      <c r="Q271" s="315"/>
      <c r="R271" s="314"/>
      <c r="S271" s="314"/>
      <c r="T271" s="314"/>
      <c r="U271" s="314"/>
      <c r="V271" s="314"/>
      <c r="W271" s="314"/>
      <c r="X271" s="314"/>
      <c r="Y271" s="314"/>
      <c r="Z271" s="314"/>
      <c r="AA271" s="319"/>
      <c r="AB271" s="320"/>
      <c r="AG271"/>
    </row>
    <row r="272" spans="1:33">
      <c r="A272" s="300"/>
      <c r="B272" s="310"/>
      <c r="C272" s="310"/>
      <c r="D272" s="310"/>
      <c r="E272" s="310"/>
      <c r="F272" s="310"/>
      <c r="G272" s="312"/>
      <c r="H272" s="300"/>
      <c r="I272" s="313"/>
      <c r="J272" s="306"/>
      <c r="K272" s="306"/>
      <c r="L272" s="306"/>
      <c r="M272" s="306"/>
      <c r="N272" s="306"/>
      <c r="O272" s="306"/>
      <c r="P272" s="306"/>
      <c r="Q272" s="315"/>
      <c r="R272" s="314"/>
      <c r="S272" s="314"/>
      <c r="T272" s="314"/>
      <c r="U272" s="314"/>
      <c r="V272" s="314"/>
      <c r="W272" s="314"/>
      <c r="X272" s="314"/>
      <c r="Y272" s="314"/>
      <c r="Z272" s="314"/>
      <c r="AA272" s="319"/>
      <c r="AB272" s="320"/>
      <c r="AG272"/>
    </row>
    <row r="273" spans="1:33">
      <c r="A273" s="300"/>
      <c r="B273" s="313"/>
      <c r="C273" s="329"/>
      <c r="D273" s="313"/>
      <c r="E273" s="313"/>
      <c r="F273" s="313"/>
      <c r="G273" s="312"/>
      <c r="H273" s="300"/>
      <c r="I273" s="313"/>
      <c r="J273" s="314"/>
      <c r="K273" s="314"/>
      <c r="L273" s="314"/>
      <c r="M273" s="314"/>
      <c r="N273" s="314"/>
      <c r="O273" s="314"/>
      <c r="P273" s="314"/>
      <c r="Q273" s="330"/>
      <c r="R273" s="314"/>
      <c r="S273" s="314"/>
      <c r="T273" s="331"/>
      <c r="U273" s="331"/>
      <c r="V273" s="331"/>
      <c r="W273" s="331"/>
      <c r="X273" s="331"/>
      <c r="Y273" s="331"/>
      <c r="Z273" s="331"/>
      <c r="AA273" s="332"/>
      <c r="AB273" s="333"/>
      <c r="AG273"/>
    </row>
    <row r="274" spans="1:33">
      <c r="A274" s="300"/>
      <c r="B274" s="313"/>
      <c r="C274" s="329"/>
      <c r="D274" s="313"/>
      <c r="E274" s="313"/>
      <c r="F274" s="313"/>
      <c r="G274" s="312"/>
      <c r="H274" s="300"/>
      <c r="I274" s="313"/>
      <c r="J274" s="314"/>
      <c r="K274" s="314"/>
      <c r="L274" s="314"/>
      <c r="M274" s="314"/>
      <c r="N274" s="314"/>
      <c r="O274" s="314"/>
      <c r="P274" s="314"/>
      <c r="Q274" s="330"/>
      <c r="R274" s="314"/>
      <c r="S274" s="314"/>
      <c r="T274" s="331"/>
      <c r="U274" s="331"/>
      <c r="V274" s="331"/>
      <c r="W274" s="331"/>
      <c r="X274" s="331"/>
      <c r="Y274" s="331"/>
      <c r="Z274" s="331"/>
      <c r="AA274" s="332"/>
      <c r="AB274" s="333"/>
      <c r="AG274"/>
    </row>
    <row r="275" spans="1:33">
      <c r="A275" s="300"/>
      <c r="B275" s="313"/>
      <c r="C275" s="329"/>
      <c r="D275" s="313"/>
      <c r="E275" s="313"/>
      <c r="F275" s="313"/>
      <c r="G275" s="312"/>
      <c r="H275" s="300"/>
      <c r="I275" s="313"/>
      <c r="J275" s="314"/>
      <c r="K275" s="314"/>
      <c r="L275" s="314"/>
      <c r="M275" s="314"/>
      <c r="N275" s="314"/>
      <c r="O275" s="314"/>
      <c r="P275" s="314"/>
      <c r="Q275" s="330"/>
      <c r="R275" s="314"/>
      <c r="S275" s="314"/>
      <c r="T275" s="331"/>
      <c r="U275" s="331"/>
      <c r="V275" s="331"/>
      <c r="W275" s="331"/>
      <c r="X275" s="331"/>
      <c r="Y275" s="331"/>
      <c r="Z275" s="331"/>
      <c r="AA275" s="332"/>
      <c r="AB275" s="333"/>
      <c r="AG275"/>
    </row>
    <row r="276" spans="1:33">
      <c r="A276" s="300"/>
      <c r="B276" s="313"/>
      <c r="C276" s="329"/>
      <c r="D276" s="313"/>
      <c r="E276" s="313"/>
      <c r="F276" s="313"/>
      <c r="G276" s="312"/>
      <c r="H276" s="300"/>
      <c r="I276" s="313"/>
      <c r="J276" s="314"/>
      <c r="K276" s="314"/>
      <c r="L276" s="314"/>
      <c r="M276" s="314"/>
      <c r="N276" s="314"/>
      <c r="O276" s="314"/>
      <c r="P276" s="314"/>
      <c r="Q276" s="330"/>
      <c r="R276" s="314"/>
      <c r="S276" s="314"/>
      <c r="T276" s="331"/>
      <c r="U276" s="331"/>
      <c r="V276" s="331"/>
      <c r="W276" s="331"/>
      <c r="X276" s="331"/>
      <c r="Y276" s="331"/>
      <c r="Z276" s="331"/>
      <c r="AA276" s="332"/>
      <c r="AB276" s="333"/>
      <c r="AG276"/>
    </row>
    <row r="277" spans="1:33">
      <c r="A277" s="300"/>
      <c r="B277" s="313"/>
      <c r="C277" s="329"/>
      <c r="D277" s="313"/>
      <c r="E277" s="313"/>
      <c r="F277" s="313"/>
      <c r="G277" s="312"/>
      <c r="H277" s="300"/>
      <c r="I277" s="313"/>
      <c r="J277" s="314"/>
      <c r="K277" s="314"/>
      <c r="L277" s="314"/>
      <c r="M277" s="314"/>
      <c r="N277" s="314"/>
      <c r="O277" s="314"/>
      <c r="P277" s="314"/>
      <c r="Q277" s="330"/>
      <c r="R277" s="314"/>
      <c r="S277" s="314"/>
      <c r="T277" s="331"/>
      <c r="U277" s="331"/>
      <c r="V277" s="331"/>
      <c r="W277" s="331"/>
      <c r="X277" s="331"/>
      <c r="Y277" s="331"/>
      <c r="Z277" s="331"/>
      <c r="AA277" s="332"/>
      <c r="AB277" s="333"/>
      <c r="AG277"/>
    </row>
    <row r="278" spans="1:33">
      <c r="A278" s="300"/>
      <c r="B278" s="313"/>
      <c r="C278" s="329"/>
      <c r="D278" s="313"/>
      <c r="E278" s="313"/>
      <c r="F278" s="313"/>
      <c r="G278" s="312"/>
      <c r="H278" s="300"/>
      <c r="I278" s="313"/>
      <c r="J278" s="314"/>
      <c r="K278" s="314"/>
      <c r="L278" s="314"/>
      <c r="M278" s="314"/>
      <c r="N278" s="314"/>
      <c r="O278" s="314"/>
      <c r="P278" s="314"/>
      <c r="Q278" s="330"/>
      <c r="R278" s="314"/>
      <c r="S278" s="314"/>
      <c r="T278" s="331"/>
      <c r="U278" s="331"/>
      <c r="V278" s="331"/>
      <c r="W278" s="331"/>
      <c r="X278" s="331"/>
      <c r="Y278" s="331"/>
      <c r="Z278" s="331"/>
      <c r="AA278" s="332"/>
      <c r="AB278" s="333"/>
      <c r="AG278"/>
    </row>
    <row r="279" spans="1:33">
      <c r="A279" s="300"/>
      <c r="B279" s="313"/>
      <c r="C279" s="329"/>
      <c r="D279" s="313"/>
      <c r="E279" s="313"/>
      <c r="F279" s="313"/>
      <c r="G279" s="312"/>
      <c r="H279" s="300"/>
      <c r="I279" s="313"/>
      <c r="J279" s="314"/>
      <c r="K279" s="314"/>
      <c r="L279" s="314"/>
      <c r="M279" s="314"/>
      <c r="N279" s="314"/>
      <c r="O279" s="314"/>
      <c r="P279" s="314"/>
      <c r="Q279" s="330"/>
      <c r="R279" s="314"/>
      <c r="S279" s="314"/>
      <c r="T279" s="331"/>
      <c r="U279" s="331"/>
      <c r="V279" s="331"/>
      <c r="W279" s="331"/>
      <c r="X279" s="331"/>
      <c r="Y279" s="331"/>
      <c r="Z279" s="331"/>
      <c r="AA279" s="332"/>
      <c r="AB279" s="333"/>
      <c r="AG279"/>
    </row>
    <row r="280" spans="1:33">
      <c r="A280" s="300"/>
      <c r="B280" s="313"/>
      <c r="C280" s="329"/>
      <c r="D280" s="313"/>
      <c r="E280" s="313"/>
      <c r="F280" s="313"/>
      <c r="G280" s="312"/>
      <c r="H280" s="300"/>
      <c r="I280" s="313"/>
      <c r="J280" s="314"/>
      <c r="K280" s="314"/>
      <c r="L280" s="314"/>
      <c r="M280" s="314"/>
      <c r="N280" s="314"/>
      <c r="O280" s="314"/>
      <c r="P280" s="314"/>
      <c r="Q280" s="330"/>
      <c r="R280" s="314"/>
      <c r="S280" s="314"/>
      <c r="T280" s="331"/>
      <c r="U280" s="331"/>
      <c r="V280" s="331"/>
      <c r="W280" s="331"/>
      <c r="X280" s="331"/>
      <c r="Y280" s="331"/>
      <c r="Z280" s="331"/>
      <c r="AA280" s="332"/>
      <c r="AB280" s="333"/>
      <c r="AG280"/>
    </row>
    <row r="281" spans="1:33">
      <c r="A281" s="300"/>
      <c r="B281" s="313"/>
      <c r="C281" s="329"/>
      <c r="D281" s="313"/>
      <c r="E281" s="313"/>
      <c r="F281" s="313"/>
      <c r="G281" s="312"/>
      <c r="H281" s="300"/>
      <c r="I281" s="313"/>
      <c r="J281" s="314"/>
      <c r="K281" s="314"/>
      <c r="L281" s="314"/>
      <c r="M281" s="314"/>
      <c r="N281" s="314"/>
      <c r="O281" s="314"/>
      <c r="P281" s="314"/>
      <c r="Q281" s="330"/>
      <c r="R281" s="314"/>
      <c r="S281" s="314"/>
      <c r="T281" s="331"/>
      <c r="U281" s="331"/>
      <c r="V281" s="331"/>
      <c r="W281" s="331"/>
      <c r="X281" s="331"/>
      <c r="Y281" s="331"/>
      <c r="Z281" s="331"/>
      <c r="AA281" s="332"/>
      <c r="AB281" s="333"/>
      <c r="AG281"/>
    </row>
    <row r="282" spans="1:33">
      <c r="A282" s="300"/>
      <c r="B282" s="313"/>
      <c r="C282" s="329"/>
      <c r="D282" s="313"/>
      <c r="E282" s="313"/>
      <c r="F282" s="313"/>
      <c r="G282" s="312"/>
      <c r="H282" s="300"/>
      <c r="I282" s="313"/>
      <c r="J282" s="314"/>
      <c r="K282" s="314"/>
      <c r="L282" s="314"/>
      <c r="M282" s="314"/>
      <c r="N282" s="314"/>
      <c r="O282" s="314"/>
      <c r="P282" s="314"/>
      <c r="Q282" s="330"/>
      <c r="R282" s="314"/>
      <c r="S282" s="314"/>
      <c r="T282" s="331"/>
      <c r="U282" s="331"/>
      <c r="V282" s="331"/>
      <c r="W282" s="331"/>
      <c r="X282" s="331"/>
      <c r="Y282" s="331"/>
      <c r="Z282" s="331"/>
      <c r="AA282" s="332"/>
      <c r="AB282" s="333"/>
      <c r="AG282"/>
    </row>
    <row r="283" spans="1:33">
      <c r="A283" s="300"/>
      <c r="B283" s="313"/>
      <c r="C283" s="329"/>
      <c r="D283" s="313"/>
      <c r="E283" s="313"/>
      <c r="F283" s="313"/>
      <c r="G283" s="312"/>
      <c r="H283" s="300"/>
      <c r="I283" s="313"/>
      <c r="J283" s="314"/>
      <c r="K283" s="314"/>
      <c r="L283" s="314"/>
      <c r="M283" s="314"/>
      <c r="N283" s="314"/>
      <c r="O283" s="314"/>
      <c r="P283" s="314"/>
      <c r="Q283" s="330"/>
      <c r="R283" s="314"/>
      <c r="S283" s="314"/>
      <c r="T283" s="331"/>
      <c r="U283" s="331"/>
      <c r="V283" s="331"/>
      <c r="W283" s="331"/>
      <c r="X283" s="331"/>
      <c r="Y283" s="331"/>
      <c r="Z283" s="331"/>
      <c r="AA283" s="332"/>
      <c r="AB283" s="333"/>
      <c r="AG283"/>
    </row>
    <row r="284" spans="1:33">
      <c r="A284" s="300"/>
      <c r="B284" s="313"/>
      <c r="C284" s="329"/>
      <c r="D284" s="313"/>
      <c r="E284" s="313"/>
      <c r="F284" s="313"/>
      <c r="G284" s="312"/>
      <c r="H284" s="300"/>
      <c r="I284" s="313"/>
      <c r="J284" s="314"/>
      <c r="K284" s="314"/>
      <c r="L284" s="314"/>
      <c r="M284" s="314"/>
      <c r="N284" s="314"/>
      <c r="O284" s="314"/>
      <c r="P284" s="314"/>
      <c r="Q284" s="330"/>
      <c r="R284" s="314"/>
      <c r="S284" s="314"/>
      <c r="T284" s="331"/>
      <c r="U284" s="331"/>
      <c r="V284" s="331"/>
      <c r="W284" s="331"/>
      <c r="X284" s="331"/>
      <c r="Y284" s="331"/>
      <c r="Z284" s="331"/>
      <c r="AA284" s="332"/>
      <c r="AB284" s="333"/>
      <c r="AG284"/>
    </row>
    <row r="285" spans="1:33">
      <c r="A285" s="300"/>
      <c r="B285" s="313"/>
      <c r="C285" s="329"/>
      <c r="D285" s="313"/>
      <c r="E285" s="313"/>
      <c r="F285" s="313"/>
      <c r="G285" s="312"/>
      <c r="H285" s="300"/>
      <c r="I285" s="313"/>
      <c r="J285" s="314"/>
      <c r="K285" s="314"/>
      <c r="L285" s="314"/>
      <c r="M285" s="314"/>
      <c r="N285" s="314"/>
      <c r="O285" s="314"/>
      <c r="P285" s="314"/>
      <c r="Q285" s="330"/>
      <c r="R285" s="314"/>
      <c r="S285" s="314"/>
      <c r="T285" s="331"/>
      <c r="U285" s="331"/>
      <c r="V285" s="331"/>
      <c r="W285" s="331"/>
      <c r="X285" s="331"/>
      <c r="Y285" s="331"/>
      <c r="Z285" s="331"/>
      <c r="AA285" s="332"/>
      <c r="AB285" s="333"/>
      <c r="AG285"/>
    </row>
    <row r="286" spans="1:33">
      <c r="A286" s="300"/>
      <c r="B286" s="313"/>
      <c r="C286" s="329"/>
      <c r="D286" s="313"/>
      <c r="E286" s="313"/>
      <c r="F286" s="313"/>
      <c r="G286" s="312"/>
      <c r="H286" s="300"/>
      <c r="I286" s="313"/>
      <c r="J286" s="314"/>
      <c r="K286" s="314"/>
      <c r="L286" s="314"/>
      <c r="M286" s="314"/>
      <c r="N286" s="314"/>
      <c r="O286" s="314"/>
      <c r="P286" s="314"/>
      <c r="Q286" s="330"/>
      <c r="R286" s="314"/>
      <c r="S286" s="314"/>
      <c r="T286" s="331"/>
      <c r="U286" s="331"/>
      <c r="V286" s="331"/>
      <c r="W286" s="331"/>
      <c r="X286" s="331"/>
      <c r="Y286" s="331"/>
      <c r="Z286" s="331"/>
      <c r="AA286" s="332"/>
      <c r="AB286" s="333"/>
      <c r="AG286"/>
    </row>
    <row r="287" spans="1:33">
      <c r="A287" s="300"/>
      <c r="B287" s="313"/>
      <c r="C287" s="329"/>
      <c r="D287" s="313"/>
      <c r="E287" s="313"/>
      <c r="F287" s="313"/>
      <c r="G287" s="312"/>
      <c r="H287" s="300"/>
      <c r="I287" s="313"/>
      <c r="J287" s="314"/>
      <c r="K287" s="314"/>
      <c r="L287" s="314"/>
      <c r="M287" s="314"/>
      <c r="N287" s="314"/>
      <c r="O287" s="314"/>
      <c r="P287" s="314"/>
      <c r="Q287" s="330"/>
      <c r="R287" s="314"/>
      <c r="S287" s="314"/>
      <c r="T287" s="331"/>
      <c r="U287" s="331"/>
      <c r="V287" s="331"/>
      <c r="W287" s="331"/>
      <c r="X287" s="331"/>
      <c r="Y287" s="331"/>
      <c r="Z287" s="331"/>
      <c r="AA287" s="332"/>
      <c r="AB287" s="333"/>
      <c r="AG287"/>
    </row>
    <row r="288" spans="1:33">
      <c r="A288" s="300"/>
      <c r="B288" s="334"/>
      <c r="C288" s="334"/>
      <c r="D288" s="334"/>
      <c r="E288" s="334"/>
      <c r="F288" s="334"/>
      <c r="G288" s="312"/>
      <c r="H288" s="300"/>
      <c r="I288" s="313"/>
      <c r="J288" s="314"/>
      <c r="K288" s="314"/>
      <c r="L288" s="314"/>
      <c r="M288" s="314"/>
      <c r="N288" s="314"/>
      <c r="O288" s="314"/>
      <c r="P288" s="314"/>
      <c r="Q288" s="315"/>
      <c r="R288" s="314"/>
      <c r="S288" s="314"/>
      <c r="T288" s="314"/>
      <c r="U288" s="314"/>
      <c r="V288" s="314"/>
      <c r="W288" s="314"/>
      <c r="X288" s="314"/>
      <c r="Y288" s="314"/>
      <c r="Z288" s="314"/>
      <c r="AA288" s="319"/>
      <c r="AB288" s="320"/>
      <c r="AG288"/>
    </row>
    <row r="289" spans="1:33">
      <c r="A289" s="317"/>
      <c r="B289" s="334"/>
      <c r="C289" s="334"/>
      <c r="D289" s="334"/>
      <c r="E289" s="334"/>
      <c r="F289" s="334"/>
      <c r="G289" s="312"/>
      <c r="H289" s="300"/>
      <c r="I289" s="313"/>
      <c r="J289" s="314"/>
      <c r="K289" s="314"/>
      <c r="L289" s="314"/>
      <c r="M289" s="314"/>
      <c r="N289" s="314"/>
      <c r="O289" s="314"/>
      <c r="P289" s="314"/>
      <c r="Q289" s="315"/>
      <c r="R289" s="314"/>
      <c r="S289" s="314"/>
      <c r="T289" s="314"/>
      <c r="U289" s="314"/>
      <c r="V289" s="314"/>
      <c r="W289" s="314"/>
      <c r="X289" s="314"/>
      <c r="Y289" s="314"/>
      <c r="Z289" s="314"/>
      <c r="AA289" s="319"/>
      <c r="AB289" s="320"/>
      <c r="AG289"/>
    </row>
    <row r="290" spans="1:33">
      <c r="A290" s="317"/>
      <c r="B290" s="334"/>
      <c r="C290" s="334"/>
      <c r="D290" s="334"/>
      <c r="E290" s="334"/>
      <c r="F290" s="334"/>
      <c r="G290" s="312"/>
      <c r="H290" s="300"/>
      <c r="I290" s="313"/>
      <c r="J290" s="314"/>
      <c r="K290" s="314"/>
      <c r="L290" s="314"/>
      <c r="M290" s="314"/>
      <c r="N290" s="314"/>
      <c r="O290" s="314"/>
      <c r="P290" s="314"/>
      <c r="Q290" s="315"/>
      <c r="R290" s="314"/>
      <c r="S290" s="314"/>
      <c r="T290" s="314"/>
      <c r="U290" s="314"/>
      <c r="V290" s="314"/>
      <c r="W290" s="314"/>
      <c r="X290" s="314"/>
      <c r="Y290" s="314"/>
      <c r="Z290" s="314"/>
      <c r="AA290" s="319"/>
      <c r="AB290" s="320"/>
      <c r="AG290"/>
    </row>
    <row r="291" spans="1:33">
      <c r="A291" s="317"/>
      <c r="B291" s="334"/>
      <c r="C291" s="334"/>
      <c r="D291" s="334"/>
      <c r="E291" s="334"/>
      <c r="F291" s="334"/>
      <c r="G291" s="312"/>
      <c r="H291" s="300"/>
      <c r="I291" s="313"/>
      <c r="J291" s="314"/>
      <c r="K291" s="314"/>
      <c r="L291" s="314"/>
      <c r="M291" s="314"/>
      <c r="N291" s="314"/>
      <c r="O291" s="314"/>
      <c r="P291" s="314"/>
      <c r="Q291" s="315"/>
      <c r="R291" s="314"/>
      <c r="S291" s="314"/>
      <c r="T291" s="314"/>
      <c r="U291" s="314"/>
      <c r="V291" s="314"/>
      <c r="W291" s="314"/>
      <c r="X291" s="314"/>
      <c r="Y291" s="314"/>
      <c r="Z291" s="314"/>
      <c r="AA291" s="319"/>
      <c r="AB291" s="320"/>
      <c r="AG291"/>
    </row>
    <row r="292" spans="1:33">
      <c r="A292" s="317"/>
      <c r="B292" s="334"/>
      <c r="C292" s="334"/>
      <c r="D292" s="334"/>
      <c r="E292" s="334"/>
      <c r="F292" s="334"/>
      <c r="G292" s="312"/>
      <c r="H292" s="300"/>
      <c r="I292" s="313"/>
      <c r="J292" s="314"/>
      <c r="K292" s="314"/>
      <c r="L292" s="314"/>
      <c r="M292" s="314"/>
      <c r="N292" s="314"/>
      <c r="O292" s="314"/>
      <c r="P292" s="314"/>
      <c r="Q292" s="315"/>
      <c r="R292" s="314"/>
      <c r="S292" s="314"/>
      <c r="T292" s="314"/>
      <c r="U292" s="314"/>
      <c r="V292" s="314"/>
      <c r="W292" s="314"/>
      <c r="X292" s="314"/>
      <c r="Y292" s="314"/>
      <c r="Z292" s="314"/>
      <c r="AA292" s="316"/>
      <c r="AB292" s="325"/>
      <c r="AG292"/>
    </row>
    <row r="293" spans="1:33">
      <c r="A293" s="317"/>
      <c r="B293" s="334"/>
      <c r="C293" s="334"/>
      <c r="D293" s="334"/>
      <c r="E293" s="334"/>
      <c r="F293" s="334"/>
      <c r="G293" s="312"/>
      <c r="H293" s="300"/>
      <c r="I293" s="313"/>
      <c r="J293" s="314"/>
      <c r="K293" s="314"/>
      <c r="L293" s="314"/>
      <c r="M293" s="314"/>
      <c r="N293" s="314"/>
      <c r="O293" s="314"/>
      <c r="P293" s="314"/>
      <c r="Q293" s="315"/>
      <c r="R293" s="314"/>
      <c r="S293" s="314"/>
      <c r="T293" s="314"/>
      <c r="U293" s="314"/>
      <c r="V293" s="314"/>
      <c r="W293" s="314"/>
      <c r="X293" s="314"/>
      <c r="Y293" s="314"/>
      <c r="Z293" s="314"/>
      <c r="AA293" s="316"/>
      <c r="AB293" s="325"/>
      <c r="AG293"/>
    </row>
    <row r="294" spans="1:33">
      <c r="A294" s="317"/>
      <c r="B294" s="334"/>
      <c r="C294" s="334"/>
      <c r="D294" s="334"/>
      <c r="E294" s="334"/>
      <c r="F294" s="334"/>
      <c r="G294" s="312"/>
      <c r="H294" s="300"/>
      <c r="I294" s="313"/>
      <c r="J294" s="314"/>
      <c r="K294" s="314"/>
      <c r="L294" s="314"/>
      <c r="M294" s="314"/>
      <c r="N294" s="314"/>
      <c r="O294" s="314"/>
      <c r="P294" s="314"/>
      <c r="Q294" s="315"/>
      <c r="R294" s="314"/>
      <c r="S294" s="314"/>
      <c r="T294" s="314"/>
      <c r="U294" s="314"/>
      <c r="V294" s="314"/>
      <c r="W294" s="314"/>
      <c r="X294" s="314"/>
      <c r="Y294" s="314"/>
      <c r="Z294" s="314"/>
      <c r="AA294" s="316"/>
      <c r="AB294" s="325"/>
      <c r="AG294"/>
    </row>
    <row r="295" spans="1:33" ht="15.75" thickBot="1">
      <c r="A295" s="335"/>
      <c r="B295" s="336"/>
      <c r="C295" s="336"/>
      <c r="D295" s="336"/>
      <c r="E295" s="336"/>
      <c r="F295" s="336"/>
      <c r="G295" s="337"/>
      <c r="H295" s="338"/>
      <c r="I295" s="339"/>
      <c r="J295" s="340"/>
      <c r="K295" s="340"/>
      <c r="L295" s="340"/>
      <c r="M295" s="340"/>
      <c r="N295" s="340"/>
      <c r="O295" s="340"/>
      <c r="P295" s="340"/>
      <c r="Q295" s="341"/>
      <c r="R295" s="340"/>
      <c r="S295" s="340"/>
      <c r="T295" s="340"/>
      <c r="U295" s="340"/>
      <c r="V295" s="340"/>
      <c r="W295" s="340"/>
      <c r="X295" s="340"/>
      <c r="Y295" s="340"/>
      <c r="Z295" s="340"/>
      <c r="AA295" s="342"/>
      <c r="AB295" s="343"/>
      <c r="AG295"/>
    </row>
    <row r="296" spans="1:33">
      <c r="AG296"/>
    </row>
    <row r="297" spans="1:33">
      <c r="AG297"/>
    </row>
    <row r="298" spans="1:33">
      <c r="AG298"/>
    </row>
    <row r="299" spans="1:33">
      <c r="AG299"/>
    </row>
    <row r="300" spans="1:33">
      <c r="AG300"/>
    </row>
    <row r="301" spans="1:33">
      <c r="AG301"/>
    </row>
    <row r="302" spans="1:33">
      <c r="AG302"/>
    </row>
    <row r="303" spans="1:33">
      <c r="AG303"/>
    </row>
    <row r="304" spans="1:33">
      <c r="AG304"/>
    </row>
    <row r="305" spans="33:33" s="293" customFormat="1">
      <c r="AG305"/>
    </row>
    <row r="306" spans="33:33" s="293" customFormat="1">
      <c r="AG306"/>
    </row>
    <row r="307" spans="33:33" s="293" customFormat="1">
      <c r="AG307"/>
    </row>
    <row r="308" spans="33:33" s="293" customFormat="1">
      <c r="AG308"/>
    </row>
    <row r="309" spans="33:33" s="293" customFormat="1">
      <c r="AG309"/>
    </row>
    <row r="310" spans="33:33" s="293" customFormat="1">
      <c r="AG310"/>
    </row>
    <row r="311" spans="33:33" s="293" customFormat="1">
      <c r="AG311"/>
    </row>
    <row r="312" spans="33:33" s="293" customFormat="1">
      <c r="AG312"/>
    </row>
    <row r="313" spans="33:33" s="293" customFormat="1">
      <c r="AG313"/>
    </row>
    <row r="314" spans="33:33" s="293" customFormat="1">
      <c r="AG314"/>
    </row>
    <row r="315" spans="33:33" s="293" customFormat="1">
      <c r="AG315"/>
    </row>
    <row r="316" spans="33:33" s="293" customFormat="1">
      <c r="AG316"/>
    </row>
    <row r="317" spans="33:33" s="293" customFormat="1">
      <c r="AG317"/>
    </row>
    <row r="318" spans="33:33" s="293" customFormat="1">
      <c r="AG318"/>
    </row>
    <row r="319" spans="33:33" s="293" customFormat="1">
      <c r="AG319"/>
    </row>
    <row r="320" spans="33:33" s="293" customFormat="1">
      <c r="AG320"/>
    </row>
    <row r="321" spans="33:33" s="293" customFormat="1">
      <c r="AG321"/>
    </row>
    <row r="322" spans="33:33" s="293" customFormat="1">
      <c r="AG322"/>
    </row>
    <row r="323" spans="33:33" s="293" customFormat="1">
      <c r="AG323"/>
    </row>
    <row r="324" spans="33:33" s="293" customFormat="1">
      <c r="AG324"/>
    </row>
    <row r="325" spans="33:33" s="293" customFormat="1">
      <c r="AG325"/>
    </row>
    <row r="326" spans="33:33" s="293" customFormat="1">
      <c r="AG326"/>
    </row>
    <row r="327" spans="33:33" s="293" customFormat="1">
      <c r="AG327"/>
    </row>
    <row r="328" spans="33:33" s="293" customFormat="1">
      <c r="AG328"/>
    </row>
    <row r="329" spans="33:33" s="293" customFormat="1">
      <c r="AG329"/>
    </row>
    <row r="330" spans="33:33" s="293" customFormat="1">
      <c r="AG330"/>
    </row>
    <row r="331" spans="33:33" s="293" customFormat="1">
      <c r="AG331"/>
    </row>
    <row r="332" spans="33:33" s="293" customFormat="1">
      <c r="AG332"/>
    </row>
    <row r="333" spans="33:33" s="293" customFormat="1">
      <c r="AG333"/>
    </row>
    <row r="334" spans="33:33" s="293" customFormat="1">
      <c r="AG334"/>
    </row>
    <row r="335" spans="33:33" s="293" customFormat="1">
      <c r="AG335"/>
    </row>
    <row r="336" spans="33:33" s="293" customFormat="1">
      <c r="AG336"/>
    </row>
    <row r="337" spans="33:33" s="293" customFormat="1">
      <c r="AG337"/>
    </row>
    <row r="338" spans="33:33" s="293" customFormat="1">
      <c r="AG338"/>
    </row>
    <row r="339" spans="33:33" s="293" customFormat="1">
      <c r="AG339"/>
    </row>
    <row r="340" spans="33:33" s="293" customFormat="1">
      <c r="AG340"/>
    </row>
    <row r="341" spans="33:33" s="293" customFormat="1">
      <c r="AG341"/>
    </row>
    <row r="342" spans="33:33" s="293" customFormat="1">
      <c r="AG342"/>
    </row>
    <row r="343" spans="33:33" s="293" customFormat="1">
      <c r="AG343"/>
    </row>
    <row r="344" spans="33:33" s="293" customFormat="1">
      <c r="AG344"/>
    </row>
    <row r="345" spans="33:33" s="293" customFormat="1">
      <c r="AG345"/>
    </row>
    <row r="346" spans="33:33" s="293" customFormat="1">
      <c r="AG346"/>
    </row>
    <row r="347" spans="33:33" s="293" customFormat="1">
      <c r="AG347"/>
    </row>
    <row r="348" spans="33:33" s="293" customFormat="1">
      <c r="AG348"/>
    </row>
    <row r="349" spans="33:33" s="293" customFormat="1">
      <c r="AG349"/>
    </row>
    <row r="350" spans="33:33" s="293" customFormat="1">
      <c r="AG350"/>
    </row>
    <row r="351" spans="33:33" s="293" customFormat="1">
      <c r="AG351"/>
    </row>
    <row r="352" spans="33:33" s="293" customFormat="1">
      <c r="AG352"/>
    </row>
    <row r="353" spans="33:33" s="293" customFormat="1">
      <c r="AG353"/>
    </row>
    <row r="354" spans="33:33" s="293" customFormat="1">
      <c r="AG354"/>
    </row>
    <row r="355" spans="33:33" s="293" customFormat="1">
      <c r="AG355"/>
    </row>
    <row r="356" spans="33:33" s="293" customFormat="1">
      <c r="AG356"/>
    </row>
    <row r="357" spans="33:33" s="293" customFormat="1">
      <c r="AG357"/>
    </row>
    <row r="358" spans="33:33" s="293" customFormat="1">
      <c r="AG358"/>
    </row>
    <row r="359" spans="33:33" s="293" customFormat="1">
      <c r="AG359"/>
    </row>
    <row r="360" spans="33:33" s="293" customFormat="1">
      <c r="AG360"/>
    </row>
    <row r="361" spans="33:33" s="293" customFormat="1">
      <c r="AG361"/>
    </row>
    <row r="362" spans="33:33" s="293" customFormat="1">
      <c r="AG362"/>
    </row>
    <row r="363" spans="33:33" s="293" customFormat="1">
      <c r="AG363"/>
    </row>
    <row r="364" spans="33:33" s="293" customFormat="1">
      <c r="AG364"/>
    </row>
    <row r="365" spans="33:33" s="293" customFormat="1">
      <c r="AG365"/>
    </row>
    <row r="366" spans="33:33" s="293" customFormat="1">
      <c r="AG366"/>
    </row>
    <row r="367" spans="33:33" s="293" customFormat="1">
      <c r="AG367"/>
    </row>
    <row r="368" spans="33:33" s="293" customFormat="1">
      <c r="AG368"/>
    </row>
    <row r="369" spans="33:33" s="293" customFormat="1">
      <c r="AG369"/>
    </row>
    <row r="370" spans="33:33" s="293" customFormat="1">
      <c r="AG370"/>
    </row>
    <row r="371" spans="33:33" s="293" customFormat="1">
      <c r="AG371"/>
    </row>
    <row r="372" spans="33:33" s="293" customFormat="1">
      <c r="AG372"/>
    </row>
    <row r="373" spans="33:33" s="293" customFormat="1">
      <c r="AG373"/>
    </row>
    <row r="374" spans="33:33" s="293" customFormat="1">
      <c r="AG374"/>
    </row>
    <row r="375" spans="33:33" s="293" customFormat="1">
      <c r="AG375"/>
    </row>
    <row r="376" spans="33:33" s="293" customFormat="1">
      <c r="AG376"/>
    </row>
    <row r="377" spans="33:33" s="293" customFormat="1">
      <c r="AG377"/>
    </row>
    <row r="378" spans="33:33" s="293" customFormat="1">
      <c r="AG378"/>
    </row>
    <row r="379" spans="33:33" s="293" customFormat="1">
      <c r="AG379"/>
    </row>
    <row r="380" spans="33:33" s="293" customFormat="1">
      <c r="AG380"/>
    </row>
    <row r="381" spans="33:33" s="293" customFormat="1">
      <c r="AG381"/>
    </row>
    <row r="382" spans="33:33" s="293" customFormat="1">
      <c r="AG382"/>
    </row>
    <row r="383" spans="33:33" s="293" customFormat="1">
      <c r="AG383"/>
    </row>
    <row r="384" spans="33:33" s="293" customFormat="1">
      <c r="AG384"/>
    </row>
    <row r="385" spans="33:33" s="293" customFormat="1">
      <c r="AG385"/>
    </row>
    <row r="386" spans="33:33" s="293" customFormat="1">
      <c r="AG386"/>
    </row>
    <row r="387" spans="33:33" s="293" customFormat="1">
      <c r="AG387"/>
    </row>
    <row r="388" spans="33:33" s="293" customFormat="1">
      <c r="AG388"/>
    </row>
    <row r="389" spans="33:33" s="293" customFormat="1">
      <c r="AG389"/>
    </row>
    <row r="390" spans="33:33" s="293" customFormat="1">
      <c r="AG390"/>
    </row>
    <row r="391" spans="33:33" s="293" customFormat="1">
      <c r="AG391"/>
    </row>
    <row r="392" spans="33:33" s="293" customFormat="1">
      <c r="AG392"/>
    </row>
    <row r="393" spans="33:33" s="293" customFormat="1">
      <c r="AG393"/>
    </row>
    <row r="394" spans="33:33" s="293" customFormat="1">
      <c r="AG394"/>
    </row>
    <row r="395" spans="33:33" s="293" customFormat="1">
      <c r="AG395"/>
    </row>
    <row r="396" spans="33:33" s="293" customFormat="1">
      <c r="AG396"/>
    </row>
    <row r="397" spans="33:33" s="293" customFormat="1">
      <c r="AG397"/>
    </row>
    <row r="398" spans="33:33" s="293" customFormat="1">
      <c r="AG398"/>
    </row>
    <row r="399" spans="33:33" s="293" customFormat="1">
      <c r="AG399"/>
    </row>
    <row r="400" spans="33:33" s="293" customFormat="1">
      <c r="AG400"/>
    </row>
    <row r="401" spans="33:33" s="293" customFormat="1">
      <c r="AG401"/>
    </row>
    <row r="402" spans="33:33" s="293" customFormat="1">
      <c r="AG402"/>
    </row>
    <row r="403" spans="33:33" s="293" customFormat="1">
      <c r="AG403"/>
    </row>
    <row r="404" spans="33:33" s="293" customFormat="1">
      <c r="AG404"/>
    </row>
    <row r="405" spans="33:33" s="293" customFormat="1">
      <c r="AG405"/>
    </row>
    <row r="406" spans="33:33" s="293" customFormat="1">
      <c r="AG406"/>
    </row>
    <row r="407" spans="33:33" s="293" customFormat="1">
      <c r="AG407"/>
    </row>
    <row r="408" spans="33:33" s="293" customFormat="1">
      <c r="AG408"/>
    </row>
    <row r="409" spans="33:33" s="293" customFormat="1">
      <c r="AG409"/>
    </row>
    <row r="410" spans="33:33" s="293" customFormat="1">
      <c r="AG410"/>
    </row>
    <row r="411" spans="33:33" s="293" customFormat="1">
      <c r="AG411"/>
    </row>
    <row r="412" spans="33:33" s="293" customFormat="1">
      <c r="AG412"/>
    </row>
    <row r="413" spans="33:33" s="293" customFormat="1">
      <c r="AG413"/>
    </row>
    <row r="414" spans="33:33" s="293" customFormat="1">
      <c r="AG414"/>
    </row>
    <row r="415" spans="33:33" s="293" customFormat="1">
      <c r="AG415"/>
    </row>
    <row r="416" spans="33:33" s="293" customFormat="1">
      <c r="AG416"/>
    </row>
    <row r="417" spans="33:33" s="293" customFormat="1">
      <c r="AG417"/>
    </row>
    <row r="418" spans="33:33" s="293" customFormat="1">
      <c r="AG418"/>
    </row>
    <row r="419" spans="33:33" s="293" customFormat="1">
      <c r="AG419"/>
    </row>
    <row r="420" spans="33:33" s="293" customFormat="1">
      <c r="AG420"/>
    </row>
    <row r="421" spans="33:33" s="293" customFormat="1">
      <c r="AG421"/>
    </row>
    <row r="422" spans="33:33" s="293" customFormat="1">
      <c r="AG422"/>
    </row>
    <row r="423" spans="33:33" s="293" customFormat="1">
      <c r="AG423"/>
    </row>
    <row r="424" spans="33:33" s="293" customFormat="1">
      <c r="AG424"/>
    </row>
    <row r="425" spans="33:33" s="293" customFormat="1">
      <c r="AG425"/>
    </row>
    <row r="426" spans="33:33" s="293" customFormat="1">
      <c r="AG426"/>
    </row>
    <row r="427" spans="33:33" s="293" customFormat="1">
      <c r="AG427"/>
    </row>
    <row r="428" spans="33:33" s="293" customFormat="1">
      <c r="AG428"/>
    </row>
    <row r="429" spans="33:33" s="293" customFormat="1">
      <c r="AG429"/>
    </row>
    <row r="430" spans="33:33" s="293" customFormat="1">
      <c r="AG430"/>
    </row>
    <row r="431" spans="33:33" s="293" customFormat="1">
      <c r="AG431"/>
    </row>
    <row r="432" spans="33:33" s="293" customFormat="1">
      <c r="AG432"/>
    </row>
    <row r="433" spans="33:33" s="293" customFormat="1">
      <c r="AG433"/>
    </row>
    <row r="434" spans="33:33" s="293" customFormat="1">
      <c r="AG434"/>
    </row>
    <row r="435" spans="33:33" s="293" customFormat="1">
      <c r="AG435"/>
    </row>
    <row r="436" spans="33:33" s="293" customFormat="1">
      <c r="AG436"/>
    </row>
    <row r="437" spans="33:33" s="293" customFormat="1">
      <c r="AG437"/>
    </row>
    <row r="438" spans="33:33" s="293" customFormat="1">
      <c r="AG438"/>
    </row>
    <row r="439" spans="33:33" s="293" customFormat="1">
      <c r="AG439"/>
    </row>
    <row r="440" spans="33:33" s="293" customFormat="1">
      <c r="AG440"/>
    </row>
    <row r="441" spans="33:33" s="293" customFormat="1">
      <c r="AG441"/>
    </row>
    <row r="442" spans="33:33" s="293" customFormat="1">
      <c r="AG442"/>
    </row>
    <row r="443" spans="33:33" s="293" customFormat="1">
      <c r="AG443"/>
    </row>
    <row r="444" spans="33:33" s="293" customFormat="1">
      <c r="AG444"/>
    </row>
    <row r="445" spans="33:33" s="293" customFormat="1">
      <c r="AG445"/>
    </row>
    <row r="446" spans="33:33" s="293" customFormat="1">
      <c r="AG446"/>
    </row>
    <row r="447" spans="33:33" s="293" customFormat="1">
      <c r="AG447"/>
    </row>
    <row r="448" spans="33:33" s="293" customFormat="1">
      <c r="AG448"/>
    </row>
    <row r="449" spans="33:33" s="293" customFormat="1">
      <c r="AG449"/>
    </row>
    <row r="450" spans="33:33" s="293" customFormat="1">
      <c r="AG450"/>
    </row>
    <row r="451" spans="33:33" s="293" customFormat="1">
      <c r="AG451"/>
    </row>
    <row r="452" spans="33:33" s="293" customFormat="1">
      <c r="AG452"/>
    </row>
    <row r="453" spans="33:33" s="293" customFormat="1">
      <c r="AG453"/>
    </row>
    <row r="454" spans="33:33" s="293" customFormat="1">
      <c r="AG454"/>
    </row>
    <row r="455" spans="33:33" s="293" customFormat="1">
      <c r="AG455"/>
    </row>
    <row r="456" spans="33:33" s="293" customFormat="1">
      <c r="AG456"/>
    </row>
    <row r="457" spans="33:33" s="293" customFormat="1">
      <c r="AG457"/>
    </row>
    <row r="458" spans="33:33" s="293" customFormat="1">
      <c r="AG458"/>
    </row>
    <row r="459" spans="33:33" s="293" customFormat="1">
      <c r="AG459"/>
    </row>
    <row r="460" spans="33:33" s="293" customFormat="1">
      <c r="AG460"/>
    </row>
    <row r="461" spans="33:33" s="293" customFormat="1">
      <c r="AG461"/>
    </row>
    <row r="462" spans="33:33" s="293" customFormat="1">
      <c r="AG462"/>
    </row>
    <row r="463" spans="33:33" s="293" customFormat="1">
      <c r="AG463"/>
    </row>
    <row r="464" spans="33:33" s="293" customFormat="1">
      <c r="AG464"/>
    </row>
    <row r="465" spans="33:33" s="293" customFormat="1">
      <c r="AG465"/>
    </row>
    <row r="466" spans="33:33" s="293" customFormat="1">
      <c r="AG466"/>
    </row>
    <row r="467" spans="33:33" s="293" customFormat="1">
      <c r="AG467"/>
    </row>
    <row r="468" spans="33:33" s="293" customFormat="1">
      <c r="AG468"/>
    </row>
    <row r="469" spans="33:33" s="293" customFormat="1">
      <c r="AG469"/>
    </row>
    <row r="470" spans="33:33" s="293" customFormat="1">
      <c r="AG470"/>
    </row>
    <row r="471" spans="33:33" s="293" customFormat="1">
      <c r="AG471"/>
    </row>
    <row r="472" spans="33:33" s="293" customFormat="1">
      <c r="AG472"/>
    </row>
    <row r="473" spans="33:33" s="293" customFormat="1">
      <c r="AG473"/>
    </row>
    <row r="474" spans="33:33" s="293" customFormat="1">
      <c r="AG474"/>
    </row>
    <row r="475" spans="33:33" s="293" customFormat="1">
      <c r="AG475"/>
    </row>
    <row r="476" spans="33:33" s="293" customFormat="1">
      <c r="AG476"/>
    </row>
    <row r="477" spans="33:33" s="293" customFormat="1">
      <c r="AG477"/>
    </row>
    <row r="478" spans="33:33" s="293" customFormat="1">
      <c r="AG478"/>
    </row>
    <row r="479" spans="33:33" s="293" customFormat="1">
      <c r="AG479"/>
    </row>
    <row r="480" spans="33:33" s="293" customFormat="1">
      <c r="AG480"/>
    </row>
    <row r="481" spans="33:33" s="293" customFormat="1">
      <c r="AG481"/>
    </row>
    <row r="482" spans="33:33" s="293" customFormat="1">
      <c r="AG482"/>
    </row>
    <row r="483" spans="33:33" s="293" customFormat="1">
      <c r="AG483"/>
    </row>
    <row r="484" spans="33:33" s="293" customFormat="1">
      <c r="AG484"/>
    </row>
    <row r="485" spans="33:33" s="293" customFormat="1">
      <c r="AG485"/>
    </row>
    <row r="486" spans="33:33" s="293" customFormat="1">
      <c r="AG486"/>
    </row>
    <row r="487" spans="33:33" s="293" customFormat="1">
      <c r="AG487"/>
    </row>
    <row r="488" spans="33:33" s="293" customFormat="1">
      <c r="AG488"/>
    </row>
    <row r="489" spans="33:33" s="293" customFormat="1">
      <c r="AG489"/>
    </row>
    <row r="490" spans="33:33" s="293" customFormat="1">
      <c r="AG490"/>
    </row>
    <row r="491" spans="33:33" s="293" customFormat="1">
      <c r="AG491"/>
    </row>
    <row r="492" spans="33:33" s="293" customFormat="1">
      <c r="AG492"/>
    </row>
    <row r="493" spans="33:33" s="293" customFormat="1">
      <c r="AG493"/>
    </row>
    <row r="494" spans="33:33" s="293" customFormat="1">
      <c r="AG494"/>
    </row>
    <row r="495" spans="33:33" s="293" customFormat="1">
      <c r="AG495"/>
    </row>
    <row r="496" spans="33:33" s="293" customFormat="1">
      <c r="AG496"/>
    </row>
    <row r="497" spans="33:33" s="293" customFormat="1">
      <c r="AG49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2"/>
  <sheetViews>
    <sheetView workbookViewId="0"/>
  </sheetViews>
  <sheetFormatPr defaultColWidth="10.28515625" defaultRowHeight="15"/>
  <cols>
    <col min="1" max="1" width="68.140625" style="344" customWidth="1"/>
    <col min="2" max="2" width="22.85546875" style="344" customWidth="1"/>
    <col min="3" max="4" width="21.28515625" style="344" customWidth="1"/>
    <col min="5" max="5" width="26.28515625" style="344" customWidth="1"/>
    <col min="6" max="6" width="20.7109375" style="344" customWidth="1"/>
    <col min="7" max="9" width="41.28515625" style="344" customWidth="1"/>
    <col min="10" max="10" width="59.28515625" style="344" customWidth="1"/>
    <col min="11" max="11" width="34.28515625" style="400" customWidth="1"/>
    <col min="12" max="12" width="35.140625" style="400" customWidth="1"/>
    <col min="13" max="14" width="29.42578125" style="400" customWidth="1"/>
    <col min="15" max="18" width="10.28515625" style="400"/>
    <col min="19" max="19" width="23.28515625" style="400" customWidth="1"/>
    <col min="20" max="20" width="24.28515625" style="400" customWidth="1"/>
    <col min="21" max="21" width="30.5703125" style="400" customWidth="1"/>
    <col min="22" max="26" width="10.28515625" style="400"/>
    <col min="27" max="27" width="18.140625" style="400" customWidth="1"/>
    <col min="28" max="28" width="10.28515625" style="400"/>
    <col min="29" max="29" width="30.5703125" style="400" customWidth="1"/>
    <col min="30" max="16384" width="10.28515625" style="400"/>
  </cols>
  <sheetData>
    <row r="1" spans="1:14" s="344" customFormat="1">
      <c r="A1" t="s">
        <v>722</v>
      </c>
    </row>
    <row r="2" spans="1:14" s="344" customFormat="1" ht="15.75" thickBot="1">
      <c r="B2" s="344" t="s">
        <v>417</v>
      </c>
      <c r="C2" s="344" t="s">
        <v>417</v>
      </c>
      <c r="D2" s="344" t="s">
        <v>544</v>
      </c>
      <c r="E2" s="345" t="s">
        <v>723</v>
      </c>
      <c r="G2" s="345"/>
      <c r="H2" s="345"/>
      <c r="I2" s="345"/>
    </row>
    <row r="3" spans="1:14" s="344" customFormat="1" ht="45">
      <c r="A3" s="346" t="s">
        <v>418</v>
      </c>
      <c r="B3" s="347" t="s">
        <v>419</v>
      </c>
      <c r="C3" s="347" t="s">
        <v>420</v>
      </c>
      <c r="D3" s="347" t="s">
        <v>421</v>
      </c>
      <c r="E3" s="348" t="s">
        <v>724</v>
      </c>
      <c r="F3" s="349" t="s">
        <v>725</v>
      </c>
      <c r="G3" s="350" t="s">
        <v>726</v>
      </c>
      <c r="H3" s="350" t="s">
        <v>727</v>
      </c>
      <c r="I3" s="350" t="s">
        <v>728</v>
      </c>
      <c r="J3" s="348" t="s">
        <v>549</v>
      </c>
      <c r="K3" s="351" t="s">
        <v>550</v>
      </c>
      <c r="L3" s="350" t="s">
        <v>551</v>
      </c>
      <c r="M3" s="352"/>
      <c r="N3" s="352"/>
    </row>
    <row r="4" spans="1:14" s="360" customFormat="1">
      <c r="A4" s="353" t="s">
        <v>159</v>
      </c>
      <c r="B4" s="354">
        <v>250</v>
      </c>
      <c r="C4" s="355"/>
      <c r="D4" s="356"/>
      <c r="E4" s="356"/>
      <c r="F4" s="357"/>
      <c r="G4" s="355"/>
      <c r="H4" s="355"/>
      <c r="I4" s="355"/>
      <c r="J4" s="358"/>
      <c r="K4" s="359"/>
    </row>
    <row r="5" spans="1:14" s="360" customFormat="1">
      <c r="A5" s="361" t="s">
        <v>729</v>
      </c>
      <c r="B5" s="356">
        <v>150</v>
      </c>
      <c r="C5" s="355" t="e">
        <v>#VALUE!</v>
      </c>
      <c r="D5" s="356">
        <v>5.05</v>
      </c>
      <c r="E5" s="356" t="e">
        <v>#N/A</v>
      </c>
      <c r="F5" s="357" t="e">
        <v>#N/A</v>
      </c>
      <c r="G5" s="355">
        <v>0</v>
      </c>
      <c r="H5" s="355">
        <v>5.4237493259877363</v>
      </c>
      <c r="I5" s="355">
        <v>5.4237493259877363</v>
      </c>
      <c r="J5" s="358" t="s">
        <v>573</v>
      </c>
      <c r="K5" s="359"/>
    </row>
    <row r="6" spans="1:14" s="360" customFormat="1">
      <c r="A6" s="361" t="s">
        <v>730</v>
      </c>
      <c r="B6" s="356">
        <v>150</v>
      </c>
      <c r="C6" s="355" t="e">
        <v>#VALUE!</v>
      </c>
      <c r="D6" s="356">
        <v>5.05</v>
      </c>
      <c r="E6" s="356" t="e">
        <v>#N/A</v>
      </c>
      <c r="F6" s="357" t="e">
        <v>#N/A</v>
      </c>
      <c r="G6" s="355">
        <v>0</v>
      </c>
      <c r="H6" s="355">
        <v>5.4237493259877363</v>
      </c>
      <c r="I6" s="355">
        <v>5.4237493259877363</v>
      </c>
      <c r="J6" s="358" t="s">
        <v>573</v>
      </c>
      <c r="K6" s="359"/>
    </row>
    <row r="7" spans="1:14" s="360" customFormat="1">
      <c r="A7" s="361" t="s">
        <v>731</v>
      </c>
      <c r="B7" s="356">
        <v>150</v>
      </c>
      <c r="C7" s="355" t="e">
        <v>#VALUE!</v>
      </c>
      <c r="D7" s="356">
        <v>5.05</v>
      </c>
      <c r="E7" s="356" t="e">
        <v>#N/A</v>
      </c>
      <c r="F7" s="357" t="e">
        <v>#N/A</v>
      </c>
      <c r="G7" s="355">
        <v>0</v>
      </c>
      <c r="H7" s="355">
        <v>5.4237493259877363</v>
      </c>
      <c r="I7" s="355">
        <v>5.4237493259877363</v>
      </c>
      <c r="J7" s="358" t="s">
        <v>573</v>
      </c>
      <c r="K7" s="359"/>
    </row>
    <row r="8" spans="1:14" s="360" customFormat="1">
      <c r="A8" s="361" t="s">
        <v>732</v>
      </c>
      <c r="B8" s="356">
        <v>150</v>
      </c>
      <c r="C8" s="355" t="e">
        <v>#VALUE!</v>
      </c>
      <c r="D8" s="356">
        <v>5.05</v>
      </c>
      <c r="E8" s="356" t="e">
        <v>#N/A</v>
      </c>
      <c r="F8" s="357" t="e">
        <v>#N/A</v>
      </c>
      <c r="G8" s="355">
        <v>0</v>
      </c>
      <c r="H8" s="355">
        <v>5.4237493259877363</v>
      </c>
      <c r="I8" s="355">
        <v>5.4237493259877363</v>
      </c>
      <c r="J8" s="358" t="s">
        <v>573</v>
      </c>
      <c r="K8" s="359"/>
    </row>
    <row r="9" spans="1:14" s="360" customFormat="1">
      <c r="A9" s="361" t="s">
        <v>733</v>
      </c>
      <c r="B9" s="356">
        <v>150</v>
      </c>
      <c r="C9" s="355" t="e">
        <v>#VALUE!</v>
      </c>
      <c r="D9" s="356">
        <v>5.05</v>
      </c>
      <c r="E9" s="356" t="e">
        <v>#N/A</v>
      </c>
      <c r="F9" s="357" t="e">
        <v>#N/A</v>
      </c>
      <c r="G9" s="355">
        <v>0</v>
      </c>
      <c r="H9" s="355">
        <v>5.4237493259877363</v>
      </c>
      <c r="I9" s="355">
        <v>5.4237493259877363</v>
      </c>
      <c r="J9" s="358" t="s">
        <v>573</v>
      </c>
      <c r="K9" s="359"/>
    </row>
    <row r="10" spans="1:14" s="360" customFormat="1">
      <c r="A10" s="361" t="s">
        <v>734</v>
      </c>
      <c r="B10" s="356">
        <v>150</v>
      </c>
      <c r="C10" s="355" t="e">
        <v>#VALUE!</v>
      </c>
      <c r="D10" s="356">
        <v>5.05</v>
      </c>
      <c r="E10" s="356" t="e">
        <v>#N/A</v>
      </c>
      <c r="F10" s="357" t="e">
        <v>#N/A</v>
      </c>
      <c r="G10" s="355">
        <v>0</v>
      </c>
      <c r="H10" s="355">
        <v>5.4237493259877363</v>
      </c>
      <c r="I10" s="355">
        <v>5.4237493259877363</v>
      </c>
      <c r="J10" s="358" t="s">
        <v>573</v>
      </c>
      <c r="K10" s="359"/>
    </row>
    <row r="11" spans="1:14" s="360" customFormat="1">
      <c r="A11" s="361" t="s">
        <v>735</v>
      </c>
      <c r="B11" s="356">
        <v>150</v>
      </c>
      <c r="C11" s="355">
        <v>52</v>
      </c>
      <c r="D11" s="356">
        <v>5.05</v>
      </c>
      <c r="E11" s="356">
        <v>8.1507493259877357</v>
      </c>
      <c r="F11" s="357">
        <v>2.7270000000000003</v>
      </c>
      <c r="G11" s="355">
        <v>0</v>
      </c>
      <c r="H11" s="355">
        <v>5.4237493259877363</v>
      </c>
      <c r="I11" s="355">
        <v>5.4237493259877363</v>
      </c>
      <c r="J11" s="358" t="s">
        <v>573</v>
      </c>
      <c r="K11" s="359"/>
    </row>
    <row r="12" spans="1:14" s="360" customFormat="1">
      <c r="A12" s="361" t="s">
        <v>736</v>
      </c>
      <c r="B12" s="356">
        <v>150</v>
      </c>
      <c r="C12" s="355">
        <v>58</v>
      </c>
      <c r="D12" s="356">
        <v>5.05</v>
      </c>
      <c r="E12" s="356">
        <v>8.1507493259877357</v>
      </c>
      <c r="F12" s="357">
        <v>2.7270000000000003</v>
      </c>
      <c r="G12" s="355">
        <v>0</v>
      </c>
      <c r="H12" s="355">
        <v>5.4237493259877363</v>
      </c>
      <c r="I12" s="355">
        <v>5.4237493259877363</v>
      </c>
      <c r="J12" s="358" t="s">
        <v>573</v>
      </c>
      <c r="K12" s="359"/>
    </row>
    <row r="13" spans="1:14" s="360" customFormat="1">
      <c r="A13" s="361" t="s">
        <v>737</v>
      </c>
      <c r="B13" s="356">
        <v>150</v>
      </c>
      <c r="C13" s="355">
        <v>65</v>
      </c>
      <c r="D13" s="356">
        <v>5.05</v>
      </c>
      <c r="E13" s="356">
        <v>8.1507493259877357</v>
      </c>
      <c r="F13" s="357">
        <v>2.7270000000000003</v>
      </c>
      <c r="G13" s="355">
        <v>0</v>
      </c>
      <c r="H13" s="355">
        <v>5.4237493259877363</v>
      </c>
      <c r="I13" s="355">
        <v>5.4237493259877363</v>
      </c>
      <c r="J13" s="358" t="s">
        <v>573</v>
      </c>
      <c r="K13" s="359"/>
    </row>
    <row r="14" spans="1:14" s="360" customFormat="1">
      <c r="A14" s="361" t="s">
        <v>738</v>
      </c>
      <c r="B14" s="356">
        <v>150</v>
      </c>
      <c r="C14" s="355">
        <v>69</v>
      </c>
      <c r="D14" s="356">
        <v>5.05</v>
      </c>
      <c r="E14" s="356">
        <v>8.1507493259877357</v>
      </c>
      <c r="F14" s="357">
        <v>2.7270000000000003</v>
      </c>
      <c r="G14" s="355">
        <v>0</v>
      </c>
      <c r="H14" s="355">
        <v>5.4237493259877363</v>
      </c>
      <c r="I14" s="355">
        <v>5.4237493259877363</v>
      </c>
      <c r="J14" s="358" t="s">
        <v>573</v>
      </c>
      <c r="K14" s="359"/>
    </row>
    <row r="15" spans="1:14" s="360" customFormat="1">
      <c r="A15" s="361" t="s">
        <v>739</v>
      </c>
      <c r="B15" s="356">
        <v>150</v>
      </c>
      <c r="C15" s="355" t="e">
        <v>#VALUE!</v>
      </c>
      <c r="D15" s="356">
        <v>5.05</v>
      </c>
      <c r="E15" s="356" t="e">
        <v>#N/A</v>
      </c>
      <c r="F15" s="357" t="e">
        <v>#N/A</v>
      </c>
      <c r="G15" s="355">
        <v>0</v>
      </c>
      <c r="H15" s="355">
        <v>5.4237493259877363</v>
      </c>
      <c r="I15" s="355">
        <v>5.4237493259877363</v>
      </c>
      <c r="J15" s="358" t="s">
        <v>573</v>
      </c>
      <c r="K15" s="359"/>
    </row>
    <row r="16" spans="1:14" s="360" customFormat="1">
      <c r="A16" s="361" t="s">
        <v>740</v>
      </c>
      <c r="B16" s="356">
        <v>150</v>
      </c>
      <c r="C16" s="355" t="e">
        <v>#VALUE!</v>
      </c>
      <c r="D16" s="356">
        <v>5.05</v>
      </c>
      <c r="E16" s="356" t="e">
        <v>#N/A</v>
      </c>
      <c r="F16" s="357" t="e">
        <v>#N/A</v>
      </c>
      <c r="G16" s="355">
        <v>0</v>
      </c>
      <c r="H16" s="355">
        <v>5.4237493259877363</v>
      </c>
      <c r="I16" s="355">
        <v>5.4237493259877363</v>
      </c>
      <c r="J16" s="358" t="s">
        <v>573</v>
      </c>
      <c r="K16" s="359"/>
    </row>
    <row r="17" spans="1:12" s="360" customFormat="1">
      <c r="A17" s="361" t="s">
        <v>741</v>
      </c>
      <c r="B17" s="356">
        <v>150</v>
      </c>
      <c r="C17" s="355" t="e">
        <v>#VALUE!</v>
      </c>
      <c r="D17" s="356">
        <v>5.05</v>
      </c>
      <c r="E17" s="356" t="e">
        <v>#N/A</v>
      </c>
      <c r="F17" s="357" t="e">
        <v>#N/A</v>
      </c>
      <c r="G17" s="355">
        <v>0</v>
      </c>
      <c r="H17" s="355">
        <v>5.4237493259877363</v>
      </c>
      <c r="I17" s="355">
        <v>5.4237493259877363</v>
      </c>
      <c r="J17" s="358" t="s">
        <v>573</v>
      </c>
      <c r="K17" s="359"/>
    </row>
    <row r="18" spans="1:12" s="360" customFormat="1">
      <c r="A18" s="361" t="s">
        <v>742</v>
      </c>
      <c r="B18" s="356">
        <v>150</v>
      </c>
      <c r="C18" s="355" t="e">
        <v>#VALUE!</v>
      </c>
      <c r="D18" s="356">
        <v>5.05</v>
      </c>
      <c r="E18" s="356" t="e">
        <v>#N/A</v>
      </c>
      <c r="F18" s="357" t="e">
        <v>#N/A</v>
      </c>
      <c r="G18" s="355">
        <v>0</v>
      </c>
      <c r="H18" s="355">
        <v>5.4237493259877363</v>
      </c>
      <c r="I18" s="355">
        <v>5.4237493259877363</v>
      </c>
      <c r="J18" s="358" t="s">
        <v>573</v>
      </c>
      <c r="K18" s="359"/>
    </row>
    <row r="19" spans="1:12" s="360" customFormat="1">
      <c r="A19" s="361" t="s">
        <v>743</v>
      </c>
      <c r="B19" s="356">
        <v>150</v>
      </c>
      <c r="C19" s="355">
        <v>94</v>
      </c>
      <c r="D19" s="356">
        <v>5.05</v>
      </c>
      <c r="E19" s="356">
        <v>8.1507493259877357</v>
      </c>
      <c r="F19" s="357">
        <v>2.7270000000000003</v>
      </c>
      <c r="G19" s="355">
        <v>0</v>
      </c>
      <c r="H19" s="355">
        <v>5.4237493259877363</v>
      </c>
      <c r="I19" s="355">
        <v>5.4237493259877363</v>
      </c>
      <c r="J19" s="358" t="s">
        <v>573</v>
      </c>
      <c r="K19" s="359"/>
    </row>
    <row r="20" spans="1:12" s="360" customFormat="1">
      <c r="A20" s="361" t="s">
        <v>744</v>
      </c>
      <c r="B20" s="356">
        <v>150</v>
      </c>
      <c r="C20" s="355">
        <v>100</v>
      </c>
      <c r="D20" s="356">
        <v>5.05</v>
      </c>
      <c r="E20" s="356">
        <v>8.1507493259877357</v>
      </c>
      <c r="F20" s="357">
        <v>2.7270000000000003</v>
      </c>
      <c r="G20" s="355">
        <v>0</v>
      </c>
      <c r="H20" s="355">
        <v>5.4237493259877363</v>
      </c>
      <c r="I20" s="355">
        <v>5.4237493259877363</v>
      </c>
      <c r="J20" s="358" t="s">
        <v>573</v>
      </c>
      <c r="K20" s="359"/>
    </row>
    <row r="21" spans="1:12" s="360" customFormat="1">
      <c r="A21" s="361" t="s">
        <v>745</v>
      </c>
      <c r="B21" s="356">
        <v>150</v>
      </c>
      <c r="C21" s="355">
        <v>105</v>
      </c>
      <c r="D21" s="356">
        <v>5.05</v>
      </c>
      <c r="E21" s="356">
        <v>8.1507493259877357</v>
      </c>
      <c r="F21" s="357">
        <v>2.7270000000000003</v>
      </c>
      <c r="G21" s="355">
        <v>0</v>
      </c>
      <c r="H21" s="355">
        <v>5.4237493259877363</v>
      </c>
      <c r="I21" s="355">
        <v>5.4237493259877363</v>
      </c>
      <c r="J21" s="358" t="s">
        <v>573</v>
      </c>
      <c r="K21" s="359"/>
    </row>
    <row r="22" spans="1:12" s="360" customFormat="1">
      <c r="A22" s="361" t="s">
        <v>746</v>
      </c>
      <c r="B22" s="356">
        <v>150</v>
      </c>
      <c r="C22" s="355">
        <v>115</v>
      </c>
      <c r="D22" s="356">
        <v>5.05</v>
      </c>
      <c r="E22" s="356">
        <v>8.1507493259877357</v>
      </c>
      <c r="F22" s="357">
        <v>2.7270000000000003</v>
      </c>
      <c r="G22" s="355">
        <v>0</v>
      </c>
      <c r="H22" s="355">
        <v>5.4237493259877363</v>
      </c>
      <c r="I22" s="355">
        <v>5.4237493259877363</v>
      </c>
      <c r="J22" s="358" t="s">
        <v>573</v>
      </c>
      <c r="K22" s="359"/>
    </row>
    <row r="23" spans="1:12" s="360" customFormat="1">
      <c r="A23" s="362" t="s">
        <v>747</v>
      </c>
      <c r="B23" s="363">
        <v>150</v>
      </c>
      <c r="C23" s="364">
        <v>120</v>
      </c>
      <c r="D23" s="363">
        <v>5.05</v>
      </c>
      <c r="E23" s="363">
        <v>8.1507493259877357</v>
      </c>
      <c r="F23" s="365">
        <v>2.7270000000000003</v>
      </c>
      <c r="G23" s="364">
        <v>0</v>
      </c>
      <c r="H23" s="364">
        <v>5.4237493259877363</v>
      </c>
      <c r="I23" s="364">
        <v>5.4237493259877363</v>
      </c>
      <c r="J23" s="366" t="s">
        <v>573</v>
      </c>
      <c r="K23" s="367"/>
      <c r="L23" s="368"/>
    </row>
    <row r="24" spans="1:12" s="360" customFormat="1">
      <c r="A24" s="361" t="s">
        <v>748</v>
      </c>
      <c r="B24" s="356">
        <v>150</v>
      </c>
      <c r="C24" s="355">
        <v>265</v>
      </c>
      <c r="D24" s="356">
        <v>5.05</v>
      </c>
      <c r="E24" s="356">
        <v>8.6052493259877352</v>
      </c>
      <c r="F24" s="357">
        <v>3.1814999999999998</v>
      </c>
      <c r="G24" s="355">
        <v>0</v>
      </c>
      <c r="H24" s="355">
        <v>5.4237493259877363</v>
      </c>
      <c r="I24" s="355">
        <v>5.4237493259877363</v>
      </c>
      <c r="J24" s="358" t="s">
        <v>573</v>
      </c>
      <c r="K24" s="359"/>
    </row>
    <row r="25" spans="1:12" s="360" customFormat="1">
      <c r="A25" s="353" t="s">
        <v>749</v>
      </c>
      <c r="B25" s="354">
        <v>150</v>
      </c>
      <c r="C25" s="369">
        <v>135</v>
      </c>
      <c r="D25" s="354">
        <v>5.05</v>
      </c>
      <c r="E25" s="354">
        <v>8.6052493259877352</v>
      </c>
      <c r="F25" s="370">
        <v>3.1814999999999998</v>
      </c>
      <c r="G25" s="369">
        <v>0</v>
      </c>
      <c r="H25" s="369">
        <v>5.4237493259877363</v>
      </c>
      <c r="I25" s="369">
        <v>5.4237493259877363</v>
      </c>
      <c r="J25" s="371" t="s">
        <v>573</v>
      </c>
      <c r="K25" s="359"/>
    </row>
    <row r="26" spans="1:12" s="360" customFormat="1">
      <c r="A26" s="353" t="s">
        <v>750</v>
      </c>
      <c r="B26" s="354">
        <v>150</v>
      </c>
      <c r="C26" s="369">
        <v>150</v>
      </c>
      <c r="D26" s="354">
        <v>5.05</v>
      </c>
      <c r="E26" s="354">
        <v>9.0597493259877364</v>
      </c>
      <c r="F26" s="370">
        <v>3.6360000000000001</v>
      </c>
      <c r="G26" s="369">
        <v>0</v>
      </c>
      <c r="H26" s="369">
        <v>5.4237493259877363</v>
      </c>
      <c r="I26" s="369">
        <v>5.4237493259877363</v>
      </c>
      <c r="J26" s="371" t="s">
        <v>573</v>
      </c>
      <c r="K26" s="359"/>
    </row>
    <row r="27" spans="1:12" s="360" customFormat="1">
      <c r="A27" s="361" t="s">
        <v>751</v>
      </c>
      <c r="B27" s="356">
        <v>150</v>
      </c>
      <c r="C27" s="355">
        <v>107</v>
      </c>
      <c r="D27" s="356">
        <v>5.05</v>
      </c>
      <c r="E27" s="356">
        <v>13.590830233092852</v>
      </c>
      <c r="F27" s="357">
        <v>7.7366000000000001</v>
      </c>
      <c r="G27" s="355">
        <v>0.43048090710511555</v>
      </c>
      <c r="H27" s="355">
        <v>5.4237493259877363</v>
      </c>
      <c r="I27" s="355">
        <v>5.854230233092852</v>
      </c>
      <c r="J27" s="358" t="s">
        <v>573</v>
      </c>
      <c r="K27" s="359"/>
    </row>
    <row r="28" spans="1:12" s="360" customFormat="1">
      <c r="A28" s="361" t="s">
        <v>752</v>
      </c>
      <c r="B28" s="356">
        <v>150</v>
      </c>
      <c r="C28" s="355">
        <v>139</v>
      </c>
      <c r="D28" s="356">
        <v>5.05</v>
      </c>
      <c r="E28" s="356">
        <v>13.590830233092852</v>
      </c>
      <c r="F28" s="357">
        <v>7.7366000000000001</v>
      </c>
      <c r="G28" s="355">
        <v>0.43048090710511555</v>
      </c>
      <c r="H28" s="355">
        <v>5.4237493259877363</v>
      </c>
      <c r="I28" s="355">
        <v>5.854230233092852</v>
      </c>
      <c r="J28" s="358" t="s">
        <v>573</v>
      </c>
      <c r="K28" s="359"/>
    </row>
    <row r="29" spans="1:12" s="360" customFormat="1">
      <c r="A29" s="361" t="s">
        <v>753</v>
      </c>
      <c r="B29" s="356">
        <v>150</v>
      </c>
      <c r="C29" s="355">
        <v>163</v>
      </c>
      <c r="D29" s="356">
        <v>5.05</v>
      </c>
      <c r="E29" s="356">
        <v>14.621030233092853</v>
      </c>
      <c r="F29" s="357">
        <v>8.7667999999999999</v>
      </c>
      <c r="G29" s="355">
        <v>0.43048090710511555</v>
      </c>
      <c r="H29" s="355">
        <v>5.4237493259877363</v>
      </c>
      <c r="I29" s="355">
        <v>5.854230233092852</v>
      </c>
      <c r="J29" s="358" t="s">
        <v>573</v>
      </c>
      <c r="K29" s="359"/>
    </row>
    <row r="30" spans="1:12" s="360" customFormat="1">
      <c r="A30" s="361" t="s">
        <v>754</v>
      </c>
      <c r="B30" s="356">
        <v>150</v>
      </c>
      <c r="C30" s="355">
        <v>188</v>
      </c>
      <c r="D30" s="356">
        <v>5.05</v>
      </c>
      <c r="E30" s="356">
        <v>14.621030233092853</v>
      </c>
      <c r="F30" s="357">
        <v>8.7667999999999999</v>
      </c>
      <c r="G30" s="355">
        <v>0.43048090710511555</v>
      </c>
      <c r="H30" s="355">
        <v>5.4237493259877363</v>
      </c>
      <c r="I30" s="355">
        <v>5.854230233092852</v>
      </c>
      <c r="J30" s="358" t="s">
        <v>573</v>
      </c>
      <c r="K30" s="359"/>
    </row>
    <row r="31" spans="1:12" s="360" customFormat="1">
      <c r="A31" s="361" t="s">
        <v>755</v>
      </c>
      <c r="B31" s="356">
        <v>150</v>
      </c>
      <c r="C31" s="355">
        <v>206</v>
      </c>
      <c r="D31" s="356">
        <v>5.05</v>
      </c>
      <c r="E31" s="356">
        <v>16.166330233092854</v>
      </c>
      <c r="F31" s="357">
        <v>10.312100000000001</v>
      </c>
      <c r="G31" s="355">
        <v>0.43048090710511555</v>
      </c>
      <c r="H31" s="355">
        <v>5.4237493259877363</v>
      </c>
      <c r="I31" s="355">
        <v>5.854230233092852</v>
      </c>
      <c r="J31" s="358" t="s">
        <v>573</v>
      </c>
      <c r="K31" s="359"/>
    </row>
    <row r="32" spans="1:12" s="360" customFormat="1">
      <c r="A32" s="361" t="s">
        <v>756</v>
      </c>
      <c r="B32" s="356">
        <v>150</v>
      </c>
      <c r="C32" s="355">
        <v>219</v>
      </c>
      <c r="D32" s="356">
        <v>5.05</v>
      </c>
      <c r="E32" s="356">
        <v>16.166330233092854</v>
      </c>
      <c r="F32" s="357">
        <v>10.312100000000001</v>
      </c>
      <c r="G32" s="355">
        <v>0.43048090710511555</v>
      </c>
      <c r="H32" s="355">
        <v>5.4237493259877363</v>
      </c>
      <c r="I32" s="355">
        <v>5.854230233092852</v>
      </c>
      <c r="J32" s="358" t="s">
        <v>573</v>
      </c>
      <c r="K32" s="359"/>
    </row>
    <row r="33" spans="1:11" s="360" customFormat="1">
      <c r="A33" s="361" t="s">
        <v>757</v>
      </c>
      <c r="B33" s="356">
        <v>150</v>
      </c>
      <c r="C33" s="355" t="e">
        <v>#VALUE!</v>
      </c>
      <c r="D33" s="356">
        <v>5.05</v>
      </c>
      <c r="E33" s="356" t="e">
        <v>#N/A</v>
      </c>
      <c r="F33" s="357" t="e">
        <v>#N/A</v>
      </c>
      <c r="G33" s="355">
        <v>0.43048090710511555</v>
      </c>
      <c r="H33" s="355">
        <v>5.4237493259877363</v>
      </c>
      <c r="I33" s="355">
        <v>5.854230233092852</v>
      </c>
      <c r="J33" s="358" t="s">
        <v>573</v>
      </c>
      <c r="K33" s="359"/>
    </row>
    <row r="34" spans="1:11" s="360" customFormat="1">
      <c r="A34" s="361" t="s">
        <v>758</v>
      </c>
      <c r="B34" s="356">
        <v>150</v>
      </c>
      <c r="C34" s="355" t="e">
        <v>#VALUE!</v>
      </c>
      <c r="D34" s="356">
        <v>5.05</v>
      </c>
      <c r="E34" s="356" t="e">
        <v>#N/A</v>
      </c>
      <c r="F34" s="357" t="e">
        <v>#N/A</v>
      </c>
      <c r="G34" s="355">
        <v>0.43048090710511555</v>
      </c>
      <c r="H34" s="355">
        <v>5.4237493259877363</v>
      </c>
      <c r="I34" s="355">
        <v>5.854230233092852</v>
      </c>
      <c r="J34" s="358" t="s">
        <v>573</v>
      </c>
      <c r="K34" s="359"/>
    </row>
    <row r="35" spans="1:11" s="360" customFormat="1">
      <c r="A35" s="361" t="s">
        <v>759</v>
      </c>
      <c r="B35" s="356">
        <v>150</v>
      </c>
      <c r="C35" s="355" t="e">
        <v>#VALUE!</v>
      </c>
      <c r="D35" s="356">
        <v>5.05</v>
      </c>
      <c r="E35" s="356" t="e">
        <v>#N/A</v>
      </c>
      <c r="F35" s="357" t="e">
        <v>#N/A</v>
      </c>
      <c r="G35" s="355">
        <v>0.43048090710511555</v>
      </c>
      <c r="H35" s="355">
        <v>5.4237493259877363</v>
      </c>
      <c r="I35" s="355">
        <v>5.854230233092852</v>
      </c>
      <c r="J35" s="358" t="s">
        <v>573</v>
      </c>
      <c r="K35" s="359"/>
    </row>
    <row r="36" spans="1:11" s="360" customFormat="1">
      <c r="A36" s="361" t="s">
        <v>760</v>
      </c>
      <c r="B36" s="356">
        <v>150</v>
      </c>
      <c r="C36" s="355" t="e">
        <v>#VALUE!</v>
      </c>
      <c r="D36" s="356">
        <v>5.05</v>
      </c>
      <c r="E36" s="356" t="e">
        <v>#N/A</v>
      </c>
      <c r="F36" s="357" t="e">
        <v>#N/A</v>
      </c>
      <c r="G36" s="355">
        <v>0.43048090710511555</v>
      </c>
      <c r="H36" s="355">
        <v>5.4237493259877363</v>
      </c>
      <c r="I36" s="355">
        <v>5.854230233092852</v>
      </c>
      <c r="J36" s="358" t="s">
        <v>573</v>
      </c>
      <c r="K36" s="359"/>
    </row>
    <row r="37" spans="1:11" s="360" customFormat="1">
      <c r="A37" s="361" t="s">
        <v>761</v>
      </c>
      <c r="B37" s="356">
        <v>150</v>
      </c>
      <c r="C37" s="355">
        <v>241</v>
      </c>
      <c r="D37" s="356">
        <v>5.05</v>
      </c>
      <c r="E37" s="356">
        <v>18.741830233092852</v>
      </c>
      <c r="F37" s="357">
        <v>12.887599999999999</v>
      </c>
      <c r="G37" s="355">
        <v>0.43048090710511555</v>
      </c>
      <c r="H37" s="355">
        <v>5.4237493259877363</v>
      </c>
      <c r="I37" s="355">
        <v>5.854230233092852</v>
      </c>
      <c r="J37" s="358" t="s">
        <v>573</v>
      </c>
      <c r="K37" s="359"/>
    </row>
    <row r="38" spans="1:11" s="360" customFormat="1">
      <c r="A38" s="361" t="s">
        <v>762</v>
      </c>
      <c r="B38" s="356">
        <v>150</v>
      </c>
      <c r="C38" s="355">
        <v>250</v>
      </c>
      <c r="D38" s="356">
        <v>5.05</v>
      </c>
      <c r="E38" s="356">
        <v>23.902930233092853</v>
      </c>
      <c r="F38" s="357">
        <v>18.0487</v>
      </c>
      <c r="G38" s="355">
        <v>0.43048090710511555</v>
      </c>
      <c r="H38" s="355">
        <v>5.4237493259877363</v>
      </c>
      <c r="I38" s="355">
        <v>5.854230233092852</v>
      </c>
      <c r="J38" s="358" t="s">
        <v>573</v>
      </c>
      <c r="K38" s="359"/>
    </row>
    <row r="39" spans="1:11" s="360" customFormat="1">
      <c r="A39" s="361" t="s">
        <v>763</v>
      </c>
      <c r="B39" s="356">
        <v>150</v>
      </c>
      <c r="C39" s="355">
        <v>363</v>
      </c>
      <c r="D39" s="356">
        <v>5.05</v>
      </c>
      <c r="E39" s="356">
        <v>29.053930233092853</v>
      </c>
      <c r="F39" s="357">
        <v>23.1997</v>
      </c>
      <c r="G39" s="355">
        <v>0.43048090710511555</v>
      </c>
      <c r="H39" s="355">
        <v>5.4237493259877363</v>
      </c>
      <c r="I39" s="355">
        <v>5.854230233092852</v>
      </c>
      <c r="J39" s="358" t="s">
        <v>573</v>
      </c>
      <c r="K39" s="359"/>
    </row>
    <row r="40" spans="1:11" s="360" customFormat="1">
      <c r="A40" s="361" t="s">
        <v>764</v>
      </c>
      <c r="B40" s="356">
        <v>150</v>
      </c>
      <c r="C40" s="355">
        <v>269</v>
      </c>
      <c r="D40" s="356">
        <v>5.05</v>
      </c>
      <c r="E40" s="356">
        <v>23.902930233092853</v>
      </c>
      <c r="F40" s="357">
        <v>18.0487</v>
      </c>
      <c r="G40" s="355">
        <v>0.43048090710511555</v>
      </c>
      <c r="H40" s="355">
        <v>5.4237493259877363</v>
      </c>
      <c r="I40" s="355">
        <v>5.854230233092852</v>
      </c>
      <c r="J40" s="358" t="s">
        <v>573</v>
      </c>
      <c r="K40" s="359"/>
    </row>
    <row r="41" spans="1:11" s="360" customFormat="1">
      <c r="A41" s="353" t="s">
        <v>765</v>
      </c>
      <c r="B41" s="354">
        <v>150</v>
      </c>
      <c r="C41" s="369">
        <v>427</v>
      </c>
      <c r="D41" s="354">
        <v>5.05</v>
      </c>
      <c r="E41" s="354">
        <v>34.215030233092847</v>
      </c>
      <c r="F41" s="370">
        <v>28.360799999999998</v>
      </c>
      <c r="G41" s="369">
        <v>0.43048090710511555</v>
      </c>
      <c r="H41" s="369">
        <v>5.4237493259877363</v>
      </c>
      <c r="I41" s="369">
        <v>5.854230233092852</v>
      </c>
      <c r="J41" s="371" t="s">
        <v>573</v>
      </c>
      <c r="K41" s="359"/>
    </row>
    <row r="42" spans="1:11" s="360" customFormat="1">
      <c r="A42" s="361" t="s">
        <v>766</v>
      </c>
      <c r="B42" s="356">
        <v>150</v>
      </c>
      <c r="C42" s="355">
        <v>474</v>
      </c>
      <c r="D42" s="356">
        <v>5.05</v>
      </c>
      <c r="E42" s="356">
        <v>29.053930233092853</v>
      </c>
      <c r="F42" s="357">
        <v>23.1997</v>
      </c>
      <c r="G42" s="355">
        <v>0.43048090710511555</v>
      </c>
      <c r="H42" s="355">
        <v>5.4237493259877363</v>
      </c>
      <c r="I42" s="355">
        <v>5.854230233092852</v>
      </c>
      <c r="J42" s="358" t="s">
        <v>573</v>
      </c>
      <c r="K42" s="359"/>
    </row>
    <row r="43" spans="1:11" s="360" customFormat="1">
      <c r="A43" s="361" t="s">
        <v>767</v>
      </c>
      <c r="B43" s="356">
        <v>150</v>
      </c>
      <c r="C43" s="355" t="e">
        <v>#VALUE!</v>
      </c>
      <c r="D43" s="356">
        <v>5.05</v>
      </c>
      <c r="E43" s="356" t="e">
        <v>#N/A</v>
      </c>
      <c r="F43" s="357" t="e">
        <v>#N/A</v>
      </c>
      <c r="G43" s="355">
        <v>0.43048090710511555</v>
      </c>
      <c r="H43" s="355">
        <v>5.4237493259877363</v>
      </c>
      <c r="I43" s="355">
        <v>5.854230233092852</v>
      </c>
      <c r="J43" s="358" t="s">
        <v>573</v>
      </c>
      <c r="K43" s="359"/>
    </row>
    <row r="44" spans="1:11" s="360" customFormat="1">
      <c r="A44" s="361" t="s">
        <v>768</v>
      </c>
      <c r="B44" s="356">
        <v>150</v>
      </c>
      <c r="C44" s="355" t="e">
        <v>#VALUE!</v>
      </c>
      <c r="D44" s="356">
        <v>5.05</v>
      </c>
      <c r="E44" s="356">
        <v>34.215030233092847</v>
      </c>
      <c r="F44" s="357">
        <v>28.360799999999998</v>
      </c>
      <c r="G44" s="355">
        <v>0.43048090710511555</v>
      </c>
      <c r="H44" s="355">
        <v>5.4237493259877363</v>
      </c>
      <c r="I44" s="355">
        <v>5.854230233092852</v>
      </c>
      <c r="J44" s="358" t="s">
        <v>573</v>
      </c>
      <c r="K44" s="359"/>
    </row>
    <row r="45" spans="1:11" s="360" customFormat="1">
      <c r="A45" s="361" t="s">
        <v>769</v>
      </c>
      <c r="B45" s="356">
        <v>150</v>
      </c>
      <c r="C45" s="355" t="e">
        <v>#VALUE!</v>
      </c>
      <c r="D45" s="356">
        <v>5.05</v>
      </c>
      <c r="E45" s="356" t="e">
        <v>#N/A</v>
      </c>
      <c r="F45" s="357" t="e">
        <v>#N/A</v>
      </c>
      <c r="G45" s="355">
        <v>0.43048090710511555</v>
      </c>
      <c r="H45" s="355">
        <v>5.4237493259877363</v>
      </c>
      <c r="I45" s="355">
        <v>5.854230233092852</v>
      </c>
      <c r="J45" s="358" t="s">
        <v>573</v>
      </c>
      <c r="K45" s="359"/>
    </row>
    <row r="46" spans="1:11" s="360" customFormat="1">
      <c r="A46" s="361" t="s">
        <v>770</v>
      </c>
      <c r="B46" s="356">
        <v>150</v>
      </c>
      <c r="C46" s="355" t="e">
        <v>#VALUE!</v>
      </c>
      <c r="D46" s="356">
        <v>5.05</v>
      </c>
      <c r="E46" s="356" t="e">
        <v>#N/A</v>
      </c>
      <c r="F46" s="357" t="e">
        <v>#N/A</v>
      </c>
      <c r="G46" s="355">
        <v>0.43048090710511555</v>
      </c>
      <c r="H46" s="355">
        <v>5.4237493259877363</v>
      </c>
      <c r="I46" s="355">
        <v>5.854230233092852</v>
      </c>
      <c r="J46" s="358" t="s">
        <v>573</v>
      </c>
      <c r="K46" s="359"/>
    </row>
    <row r="47" spans="1:11" s="360" customFormat="1">
      <c r="A47" s="361" t="s">
        <v>771</v>
      </c>
      <c r="B47" s="356">
        <v>150</v>
      </c>
      <c r="C47" s="355" t="e">
        <v>#VALUE!</v>
      </c>
      <c r="D47" s="356">
        <v>5.05</v>
      </c>
      <c r="E47" s="356" t="e">
        <v>#N/A</v>
      </c>
      <c r="F47" s="357" t="e">
        <v>#N/A</v>
      </c>
      <c r="G47" s="355">
        <v>0.43048090710511555</v>
      </c>
      <c r="H47" s="355">
        <v>5.4237493259877363</v>
      </c>
      <c r="I47" s="355">
        <v>5.854230233092852</v>
      </c>
      <c r="J47" s="358" t="s">
        <v>573</v>
      </c>
      <c r="K47" s="359"/>
    </row>
    <row r="48" spans="1:11" s="360" customFormat="1">
      <c r="A48" s="361" t="s">
        <v>772</v>
      </c>
      <c r="B48" s="356">
        <v>150</v>
      </c>
      <c r="C48" s="355" t="e">
        <v>#VALUE!</v>
      </c>
      <c r="D48" s="356">
        <v>5.05</v>
      </c>
      <c r="E48" s="356" t="e">
        <v>#N/A</v>
      </c>
      <c r="F48" s="357" t="e">
        <v>#N/A</v>
      </c>
      <c r="G48" s="355">
        <v>0</v>
      </c>
      <c r="H48" s="355">
        <v>5.4237493259877363</v>
      </c>
      <c r="I48" s="355">
        <v>5.4237493259877363</v>
      </c>
      <c r="J48" s="358" t="s">
        <v>573</v>
      </c>
      <c r="K48" s="359"/>
    </row>
    <row r="49" spans="1:11" s="360" customFormat="1">
      <c r="A49" s="361" t="s">
        <v>773</v>
      </c>
      <c r="B49" s="356">
        <v>150</v>
      </c>
      <c r="C49" s="355" t="e">
        <v>#VALUE!</v>
      </c>
      <c r="D49" s="356">
        <v>5.05</v>
      </c>
      <c r="E49" s="356" t="e">
        <v>#N/A</v>
      </c>
      <c r="F49" s="357" t="e">
        <v>#N/A</v>
      </c>
      <c r="G49" s="355">
        <v>0</v>
      </c>
      <c r="H49" s="355">
        <v>5.4237493259877363</v>
      </c>
      <c r="I49" s="355">
        <v>5.4237493259877363</v>
      </c>
      <c r="J49" s="358" t="s">
        <v>573</v>
      </c>
      <c r="K49" s="359"/>
    </row>
    <row r="50" spans="1:11" s="360" customFormat="1">
      <c r="A50" s="361" t="s">
        <v>774</v>
      </c>
      <c r="B50" s="356">
        <v>150</v>
      </c>
      <c r="C50" s="355" t="e">
        <v>#VALUE!</v>
      </c>
      <c r="D50" s="356">
        <v>5.05</v>
      </c>
      <c r="E50" s="356" t="e">
        <v>#N/A</v>
      </c>
      <c r="F50" s="357" t="e">
        <v>#N/A</v>
      </c>
      <c r="G50" s="355">
        <v>0</v>
      </c>
      <c r="H50" s="355">
        <v>5.4237493259877363</v>
      </c>
      <c r="I50" s="355">
        <v>5.4237493259877363</v>
      </c>
      <c r="J50" s="358" t="s">
        <v>573</v>
      </c>
      <c r="K50" s="359"/>
    </row>
    <row r="51" spans="1:11" s="360" customFormat="1">
      <c r="A51" s="361" t="s">
        <v>775</v>
      </c>
      <c r="B51" s="356">
        <v>150</v>
      </c>
      <c r="C51" s="355" t="e">
        <v>#VALUE!</v>
      </c>
      <c r="D51" s="356">
        <v>5.05</v>
      </c>
      <c r="E51" s="356" t="e">
        <v>#N/A</v>
      </c>
      <c r="F51" s="357" t="e">
        <v>#N/A</v>
      </c>
      <c r="G51" s="355">
        <v>0</v>
      </c>
      <c r="H51" s="355">
        <v>5.4237493259877363</v>
      </c>
      <c r="I51" s="355">
        <v>5.4237493259877363</v>
      </c>
      <c r="J51" s="358" t="s">
        <v>573</v>
      </c>
      <c r="K51" s="359"/>
    </row>
    <row r="52" spans="1:11" s="360" customFormat="1">
      <c r="A52" s="361" t="s">
        <v>776</v>
      </c>
      <c r="B52" s="356">
        <v>150</v>
      </c>
      <c r="C52" s="355" t="e">
        <v>#VALUE!</v>
      </c>
      <c r="D52" s="356">
        <v>5.05</v>
      </c>
      <c r="E52" s="356" t="e">
        <v>#N/A</v>
      </c>
      <c r="F52" s="357" t="e">
        <v>#N/A</v>
      </c>
      <c r="G52" s="355">
        <v>0</v>
      </c>
      <c r="H52" s="355">
        <v>5.4237493259877363</v>
      </c>
      <c r="I52" s="355">
        <v>5.4237493259877363</v>
      </c>
      <c r="J52" s="358" t="s">
        <v>573</v>
      </c>
      <c r="K52" s="359"/>
    </row>
    <row r="53" spans="1:11" s="360" customFormat="1">
      <c r="A53" s="361" t="s">
        <v>777</v>
      </c>
      <c r="B53" s="356">
        <v>150</v>
      </c>
      <c r="C53" s="355" t="e">
        <v>#VALUE!</v>
      </c>
      <c r="D53" s="356">
        <v>5.05</v>
      </c>
      <c r="E53" s="356" t="e">
        <v>#N/A</v>
      </c>
      <c r="F53" s="357" t="e">
        <v>#N/A</v>
      </c>
      <c r="G53" s="355">
        <v>0</v>
      </c>
      <c r="H53" s="355">
        <v>5.4237493259877363</v>
      </c>
      <c r="I53" s="355">
        <v>5.4237493259877363</v>
      </c>
      <c r="J53" s="358" t="s">
        <v>573</v>
      </c>
      <c r="K53" s="359"/>
    </row>
    <row r="54" spans="1:11" s="360" customFormat="1">
      <c r="A54" s="361" t="s">
        <v>778</v>
      </c>
      <c r="B54" s="356">
        <v>150</v>
      </c>
      <c r="C54" s="355">
        <v>52</v>
      </c>
      <c r="D54" s="356">
        <v>5.05</v>
      </c>
      <c r="E54" s="356">
        <v>8.1507493259877357</v>
      </c>
      <c r="F54" s="357">
        <v>2.7270000000000003</v>
      </c>
      <c r="G54" s="355">
        <v>0</v>
      </c>
      <c r="H54" s="355">
        <v>5.4237493259877363</v>
      </c>
      <c r="I54" s="355">
        <v>5.4237493259877363</v>
      </c>
      <c r="J54" s="358" t="s">
        <v>573</v>
      </c>
      <c r="K54" s="359"/>
    </row>
    <row r="55" spans="1:11" s="360" customFormat="1">
      <c r="A55" s="361" t="s">
        <v>779</v>
      </c>
      <c r="B55" s="356">
        <v>150</v>
      </c>
      <c r="C55" s="355">
        <v>58</v>
      </c>
      <c r="D55" s="356">
        <v>5.05</v>
      </c>
      <c r="E55" s="356">
        <v>8.1507493259877357</v>
      </c>
      <c r="F55" s="357">
        <v>2.7270000000000003</v>
      </c>
      <c r="G55" s="355">
        <v>0</v>
      </c>
      <c r="H55" s="355">
        <v>5.4237493259877363</v>
      </c>
      <c r="I55" s="355">
        <v>5.4237493259877363</v>
      </c>
      <c r="J55" s="358" t="s">
        <v>573</v>
      </c>
      <c r="K55" s="359"/>
    </row>
    <row r="56" spans="1:11" s="360" customFormat="1">
      <c r="A56" s="361" t="s">
        <v>780</v>
      </c>
      <c r="B56" s="356">
        <v>150</v>
      </c>
      <c r="C56" s="355">
        <v>65</v>
      </c>
      <c r="D56" s="356">
        <v>5.05</v>
      </c>
      <c r="E56" s="356">
        <v>8.1507493259877357</v>
      </c>
      <c r="F56" s="357">
        <v>2.7270000000000003</v>
      </c>
      <c r="G56" s="355">
        <v>0</v>
      </c>
      <c r="H56" s="355">
        <v>5.4237493259877363</v>
      </c>
      <c r="I56" s="355">
        <v>5.4237493259877363</v>
      </c>
      <c r="J56" s="358" t="s">
        <v>573</v>
      </c>
      <c r="K56" s="359"/>
    </row>
    <row r="57" spans="1:11" s="360" customFormat="1">
      <c r="A57" s="361" t="s">
        <v>781</v>
      </c>
      <c r="B57" s="356">
        <v>150</v>
      </c>
      <c r="C57" s="355">
        <v>69</v>
      </c>
      <c r="D57" s="356">
        <v>5.05</v>
      </c>
      <c r="E57" s="356">
        <v>8.1507493259877357</v>
      </c>
      <c r="F57" s="357">
        <v>2.7270000000000003</v>
      </c>
      <c r="G57" s="355">
        <v>0</v>
      </c>
      <c r="H57" s="355">
        <v>5.4237493259877363</v>
      </c>
      <c r="I57" s="355">
        <v>5.4237493259877363</v>
      </c>
      <c r="J57" s="358" t="s">
        <v>573</v>
      </c>
      <c r="K57" s="359"/>
    </row>
    <row r="58" spans="1:11" s="360" customFormat="1">
      <c r="A58" s="361" t="s">
        <v>782</v>
      </c>
      <c r="B58" s="356">
        <v>150</v>
      </c>
      <c r="C58" s="355" t="e">
        <v>#VALUE!</v>
      </c>
      <c r="D58" s="356">
        <v>5.05</v>
      </c>
      <c r="E58" s="356" t="e">
        <v>#N/A</v>
      </c>
      <c r="F58" s="357" t="e">
        <v>#N/A</v>
      </c>
      <c r="G58" s="355">
        <v>0</v>
      </c>
      <c r="H58" s="355">
        <v>5.4237493259877363</v>
      </c>
      <c r="I58" s="355">
        <v>5.4237493259877363</v>
      </c>
      <c r="J58" s="358" t="s">
        <v>573</v>
      </c>
      <c r="K58" s="359"/>
    </row>
    <row r="59" spans="1:11" s="360" customFormat="1">
      <c r="A59" s="361" t="s">
        <v>783</v>
      </c>
      <c r="B59" s="356">
        <v>150</v>
      </c>
      <c r="C59" s="355" t="e">
        <v>#VALUE!</v>
      </c>
      <c r="D59" s="356">
        <v>5.05</v>
      </c>
      <c r="E59" s="356" t="e">
        <v>#N/A</v>
      </c>
      <c r="F59" s="357" t="e">
        <v>#N/A</v>
      </c>
      <c r="G59" s="355">
        <v>0</v>
      </c>
      <c r="H59" s="355">
        <v>5.4237493259877363</v>
      </c>
      <c r="I59" s="355">
        <v>5.4237493259877363</v>
      </c>
      <c r="J59" s="358" t="s">
        <v>573</v>
      </c>
      <c r="K59" s="359"/>
    </row>
    <row r="60" spans="1:11" s="360" customFormat="1">
      <c r="A60" s="361" t="s">
        <v>784</v>
      </c>
      <c r="B60" s="356">
        <v>150</v>
      </c>
      <c r="C60" s="355" t="e">
        <v>#VALUE!</v>
      </c>
      <c r="D60" s="356">
        <v>5.05</v>
      </c>
      <c r="E60" s="356" t="e">
        <v>#N/A</v>
      </c>
      <c r="F60" s="357" t="e">
        <v>#N/A</v>
      </c>
      <c r="G60" s="355">
        <v>0</v>
      </c>
      <c r="H60" s="355">
        <v>5.4237493259877363</v>
      </c>
      <c r="I60" s="355">
        <v>5.4237493259877363</v>
      </c>
      <c r="J60" s="358" t="s">
        <v>573</v>
      </c>
      <c r="K60" s="359"/>
    </row>
    <row r="61" spans="1:11" s="360" customFormat="1">
      <c r="A61" s="361" t="s">
        <v>785</v>
      </c>
      <c r="B61" s="356">
        <v>150</v>
      </c>
      <c r="C61" s="355" t="e">
        <v>#VALUE!</v>
      </c>
      <c r="D61" s="356">
        <v>5.05</v>
      </c>
      <c r="E61" s="356" t="e">
        <v>#N/A</v>
      </c>
      <c r="F61" s="357" t="e">
        <v>#N/A</v>
      </c>
      <c r="G61" s="355">
        <v>0</v>
      </c>
      <c r="H61" s="355">
        <v>5.4237493259877363</v>
      </c>
      <c r="I61" s="355">
        <v>5.4237493259877363</v>
      </c>
      <c r="J61" s="358" t="s">
        <v>573</v>
      </c>
      <c r="K61" s="359"/>
    </row>
    <row r="62" spans="1:11" s="360" customFormat="1">
      <c r="A62" s="361" t="s">
        <v>786</v>
      </c>
      <c r="B62" s="356">
        <v>150</v>
      </c>
      <c r="C62" s="355">
        <v>94</v>
      </c>
      <c r="D62" s="356">
        <v>5.05</v>
      </c>
      <c r="E62" s="356">
        <v>8.1507493259877357</v>
      </c>
      <c r="F62" s="357">
        <v>2.7270000000000003</v>
      </c>
      <c r="G62" s="355">
        <v>0</v>
      </c>
      <c r="H62" s="355">
        <v>5.4237493259877363</v>
      </c>
      <c r="I62" s="355">
        <v>5.4237493259877363</v>
      </c>
      <c r="J62" s="358" t="s">
        <v>573</v>
      </c>
      <c r="K62" s="359"/>
    </row>
    <row r="63" spans="1:11" s="360" customFormat="1">
      <c r="A63" s="361" t="s">
        <v>787</v>
      </c>
      <c r="B63" s="356">
        <v>150</v>
      </c>
      <c r="C63" s="355">
        <v>100</v>
      </c>
      <c r="D63" s="356">
        <v>5.05</v>
      </c>
      <c r="E63" s="356">
        <v>8.1507493259877357</v>
      </c>
      <c r="F63" s="357">
        <v>2.7270000000000003</v>
      </c>
      <c r="G63" s="355">
        <v>0</v>
      </c>
      <c r="H63" s="355">
        <v>5.4237493259877363</v>
      </c>
      <c r="I63" s="355">
        <v>5.4237493259877363</v>
      </c>
      <c r="J63" s="358" t="s">
        <v>573</v>
      </c>
      <c r="K63" s="359"/>
    </row>
    <row r="64" spans="1:11" s="360" customFormat="1">
      <c r="A64" s="361" t="s">
        <v>788</v>
      </c>
      <c r="B64" s="356">
        <v>150</v>
      </c>
      <c r="C64" s="355">
        <v>105</v>
      </c>
      <c r="D64" s="356">
        <v>5.05</v>
      </c>
      <c r="E64" s="356">
        <v>8.1507493259877357</v>
      </c>
      <c r="F64" s="357">
        <v>2.7270000000000003</v>
      </c>
      <c r="G64" s="355">
        <v>0</v>
      </c>
      <c r="H64" s="355">
        <v>5.4237493259877363</v>
      </c>
      <c r="I64" s="355">
        <v>5.4237493259877363</v>
      </c>
      <c r="J64" s="358" t="s">
        <v>573</v>
      </c>
      <c r="K64" s="359"/>
    </row>
    <row r="65" spans="1:12" s="360" customFormat="1">
      <c r="A65" s="361" t="s">
        <v>789</v>
      </c>
      <c r="B65" s="356">
        <v>150</v>
      </c>
      <c r="C65" s="355">
        <v>115</v>
      </c>
      <c r="D65" s="356">
        <v>5.05</v>
      </c>
      <c r="E65" s="356">
        <v>8.1507493259877357</v>
      </c>
      <c r="F65" s="357">
        <v>2.7270000000000003</v>
      </c>
      <c r="G65" s="355">
        <v>0</v>
      </c>
      <c r="H65" s="355">
        <v>5.4237493259877363</v>
      </c>
      <c r="I65" s="355">
        <v>5.4237493259877363</v>
      </c>
      <c r="J65" s="358" t="s">
        <v>573</v>
      </c>
      <c r="K65" s="359"/>
    </row>
    <row r="66" spans="1:12" s="360" customFormat="1">
      <c r="A66" s="362" t="s">
        <v>790</v>
      </c>
      <c r="B66" s="363">
        <v>150</v>
      </c>
      <c r="C66" s="364">
        <v>120</v>
      </c>
      <c r="D66" s="363">
        <v>5.05</v>
      </c>
      <c r="E66" s="363">
        <v>8.1507493259877357</v>
      </c>
      <c r="F66" s="365">
        <v>2.7270000000000003</v>
      </c>
      <c r="G66" s="364">
        <v>0</v>
      </c>
      <c r="H66" s="364">
        <v>5.4237493259877363</v>
      </c>
      <c r="I66" s="364">
        <v>5.4237493259877363</v>
      </c>
      <c r="J66" s="366" t="s">
        <v>573</v>
      </c>
      <c r="K66" s="367"/>
      <c r="L66" s="368"/>
    </row>
    <row r="67" spans="1:12" s="360" customFormat="1">
      <c r="A67" s="361" t="s">
        <v>791</v>
      </c>
      <c r="B67" s="356">
        <v>150</v>
      </c>
      <c r="C67" s="355">
        <v>265</v>
      </c>
      <c r="D67" s="356">
        <v>5.05</v>
      </c>
      <c r="E67" s="356">
        <v>8.6052493259877352</v>
      </c>
      <c r="F67" s="357">
        <v>3.1814999999999998</v>
      </c>
      <c r="G67" s="355">
        <v>0</v>
      </c>
      <c r="H67" s="355">
        <v>5.4237493259877363</v>
      </c>
      <c r="I67" s="355">
        <v>5.4237493259877363</v>
      </c>
      <c r="J67" s="358" t="s">
        <v>573</v>
      </c>
      <c r="K67" s="359"/>
    </row>
    <row r="68" spans="1:12" s="360" customFormat="1">
      <c r="A68" s="353" t="s">
        <v>792</v>
      </c>
      <c r="B68" s="354">
        <v>150</v>
      </c>
      <c r="C68" s="369">
        <v>135</v>
      </c>
      <c r="D68" s="354">
        <v>5.05</v>
      </c>
      <c r="E68" s="354">
        <v>8.6052493259877352</v>
      </c>
      <c r="F68" s="370">
        <v>3.1814999999999998</v>
      </c>
      <c r="G68" s="369">
        <v>0</v>
      </c>
      <c r="H68" s="369">
        <v>5.4237493259877363</v>
      </c>
      <c r="I68" s="369">
        <v>5.4237493259877363</v>
      </c>
      <c r="J68" s="371" t="s">
        <v>573</v>
      </c>
      <c r="K68" s="359"/>
    </row>
    <row r="69" spans="1:12" s="360" customFormat="1">
      <c r="A69" s="353" t="s">
        <v>793</v>
      </c>
      <c r="B69" s="354">
        <v>150</v>
      </c>
      <c r="C69" s="369">
        <v>150</v>
      </c>
      <c r="D69" s="354">
        <v>5.05</v>
      </c>
      <c r="E69" s="354">
        <v>9.0597493259877364</v>
      </c>
      <c r="F69" s="370">
        <v>3.6360000000000001</v>
      </c>
      <c r="G69" s="369">
        <v>0</v>
      </c>
      <c r="H69" s="369">
        <v>5.4237493259877363</v>
      </c>
      <c r="I69" s="369">
        <v>5.4237493259877363</v>
      </c>
      <c r="J69" s="371" t="s">
        <v>573</v>
      </c>
      <c r="K69" s="359"/>
    </row>
    <row r="70" spans="1:12" s="360" customFormat="1">
      <c r="A70" s="361" t="s">
        <v>794</v>
      </c>
      <c r="B70" s="356">
        <v>150</v>
      </c>
      <c r="C70" s="355">
        <v>107</v>
      </c>
      <c r="D70" s="356">
        <v>5.05</v>
      </c>
      <c r="E70" s="356">
        <v>13.590830233092852</v>
      </c>
      <c r="F70" s="357">
        <v>7.7366000000000001</v>
      </c>
      <c r="G70" s="355">
        <v>0.43048090710511555</v>
      </c>
      <c r="H70" s="355">
        <v>5.4237493259877363</v>
      </c>
      <c r="I70" s="355">
        <v>5.854230233092852</v>
      </c>
      <c r="J70" s="358" t="s">
        <v>573</v>
      </c>
      <c r="K70" s="359"/>
    </row>
    <row r="71" spans="1:12" s="360" customFormat="1">
      <c r="A71" s="361" t="s">
        <v>795</v>
      </c>
      <c r="B71" s="356">
        <v>150</v>
      </c>
      <c r="C71" s="355">
        <v>139</v>
      </c>
      <c r="D71" s="356">
        <v>5.05</v>
      </c>
      <c r="E71" s="356">
        <v>13.590830233092852</v>
      </c>
      <c r="F71" s="357">
        <v>7.7366000000000001</v>
      </c>
      <c r="G71" s="355">
        <v>0.43048090710511555</v>
      </c>
      <c r="H71" s="355">
        <v>5.4237493259877363</v>
      </c>
      <c r="I71" s="355">
        <v>5.854230233092852</v>
      </c>
      <c r="J71" s="358" t="s">
        <v>573</v>
      </c>
      <c r="K71" s="359"/>
    </row>
    <row r="72" spans="1:12" s="360" customFormat="1">
      <c r="A72" s="361" t="s">
        <v>796</v>
      </c>
      <c r="B72" s="356">
        <v>150</v>
      </c>
      <c r="C72" s="355">
        <v>163</v>
      </c>
      <c r="D72" s="356">
        <v>5.05</v>
      </c>
      <c r="E72" s="356">
        <v>14.621030233092853</v>
      </c>
      <c r="F72" s="357">
        <v>8.7667999999999999</v>
      </c>
      <c r="G72" s="355">
        <v>0.43048090710511555</v>
      </c>
      <c r="H72" s="355">
        <v>5.4237493259877363</v>
      </c>
      <c r="I72" s="355">
        <v>5.854230233092852</v>
      </c>
      <c r="J72" s="358" t="s">
        <v>573</v>
      </c>
      <c r="K72" s="359"/>
    </row>
    <row r="73" spans="1:12" s="360" customFormat="1">
      <c r="A73" s="361" t="s">
        <v>797</v>
      </c>
      <c r="B73" s="356">
        <v>150</v>
      </c>
      <c r="C73" s="355">
        <v>188</v>
      </c>
      <c r="D73" s="356">
        <v>5.05</v>
      </c>
      <c r="E73" s="356">
        <v>14.621030233092853</v>
      </c>
      <c r="F73" s="357">
        <v>8.7667999999999999</v>
      </c>
      <c r="G73" s="355">
        <v>0.43048090710511555</v>
      </c>
      <c r="H73" s="355">
        <v>5.4237493259877363</v>
      </c>
      <c r="I73" s="355">
        <v>5.854230233092852</v>
      </c>
      <c r="J73" s="358" t="s">
        <v>573</v>
      </c>
      <c r="K73" s="359"/>
    </row>
    <row r="74" spans="1:12" s="360" customFormat="1">
      <c r="A74" s="361" t="s">
        <v>798</v>
      </c>
      <c r="B74" s="356">
        <v>150</v>
      </c>
      <c r="C74" s="355">
        <v>206</v>
      </c>
      <c r="D74" s="356">
        <v>5.05</v>
      </c>
      <c r="E74" s="356">
        <v>16.166330233092854</v>
      </c>
      <c r="F74" s="357">
        <v>10.312100000000001</v>
      </c>
      <c r="G74" s="355">
        <v>0.43048090710511555</v>
      </c>
      <c r="H74" s="355">
        <v>5.4237493259877363</v>
      </c>
      <c r="I74" s="355">
        <v>5.854230233092852</v>
      </c>
      <c r="J74" s="358" t="s">
        <v>573</v>
      </c>
      <c r="K74" s="359"/>
    </row>
    <row r="75" spans="1:12" s="360" customFormat="1">
      <c r="A75" s="361" t="s">
        <v>799</v>
      </c>
      <c r="B75" s="356">
        <v>150</v>
      </c>
      <c r="C75" s="355">
        <v>219</v>
      </c>
      <c r="D75" s="356">
        <v>5.05</v>
      </c>
      <c r="E75" s="356">
        <v>16.166330233092854</v>
      </c>
      <c r="F75" s="357">
        <v>10.312100000000001</v>
      </c>
      <c r="G75" s="355">
        <v>0.43048090710511555</v>
      </c>
      <c r="H75" s="355">
        <v>5.4237493259877363</v>
      </c>
      <c r="I75" s="355">
        <v>5.854230233092852</v>
      </c>
      <c r="J75" s="358" t="s">
        <v>573</v>
      </c>
      <c r="K75" s="359"/>
    </row>
    <row r="76" spans="1:12" s="360" customFormat="1">
      <c r="A76" s="361" t="s">
        <v>800</v>
      </c>
      <c r="B76" s="356">
        <v>150</v>
      </c>
      <c r="C76" s="355" t="e">
        <v>#VALUE!</v>
      </c>
      <c r="D76" s="356">
        <v>5.05</v>
      </c>
      <c r="E76" s="356" t="e">
        <v>#N/A</v>
      </c>
      <c r="F76" s="357" t="e">
        <v>#N/A</v>
      </c>
      <c r="G76" s="355">
        <v>0.43048090710511555</v>
      </c>
      <c r="H76" s="355">
        <v>5.4237493259877363</v>
      </c>
      <c r="I76" s="355">
        <v>5.854230233092852</v>
      </c>
      <c r="J76" s="358" t="s">
        <v>573</v>
      </c>
      <c r="K76" s="359"/>
    </row>
    <row r="77" spans="1:12" s="360" customFormat="1">
      <c r="A77" s="361" t="s">
        <v>801</v>
      </c>
      <c r="B77" s="356">
        <v>150</v>
      </c>
      <c r="C77" s="355" t="e">
        <v>#VALUE!</v>
      </c>
      <c r="D77" s="356">
        <v>5.05</v>
      </c>
      <c r="E77" s="356" t="e">
        <v>#N/A</v>
      </c>
      <c r="F77" s="357" t="e">
        <v>#N/A</v>
      </c>
      <c r="G77" s="355">
        <v>0.43048090710511555</v>
      </c>
      <c r="H77" s="355">
        <v>5.4237493259877363</v>
      </c>
      <c r="I77" s="355">
        <v>5.854230233092852</v>
      </c>
      <c r="J77" s="358" t="s">
        <v>573</v>
      </c>
      <c r="K77" s="359"/>
    </row>
    <row r="78" spans="1:12" s="360" customFormat="1">
      <c r="A78" s="361" t="s">
        <v>802</v>
      </c>
      <c r="B78" s="356">
        <v>150</v>
      </c>
      <c r="C78" s="355" t="e">
        <v>#VALUE!</v>
      </c>
      <c r="D78" s="356">
        <v>5.05</v>
      </c>
      <c r="E78" s="356" t="e">
        <v>#N/A</v>
      </c>
      <c r="F78" s="357" t="e">
        <v>#N/A</v>
      </c>
      <c r="G78" s="355">
        <v>0.43048090710511555</v>
      </c>
      <c r="H78" s="355">
        <v>5.4237493259877363</v>
      </c>
      <c r="I78" s="355">
        <v>5.854230233092852</v>
      </c>
      <c r="J78" s="358" t="s">
        <v>573</v>
      </c>
      <c r="K78" s="359"/>
    </row>
    <row r="79" spans="1:12" s="360" customFormat="1">
      <c r="A79" s="361" t="s">
        <v>803</v>
      </c>
      <c r="B79" s="356">
        <v>150</v>
      </c>
      <c r="C79" s="355" t="e">
        <v>#VALUE!</v>
      </c>
      <c r="D79" s="356">
        <v>5.05</v>
      </c>
      <c r="E79" s="356" t="e">
        <v>#N/A</v>
      </c>
      <c r="F79" s="357" t="e">
        <v>#N/A</v>
      </c>
      <c r="G79" s="355">
        <v>0.43048090710511555</v>
      </c>
      <c r="H79" s="355">
        <v>5.4237493259877363</v>
      </c>
      <c r="I79" s="355">
        <v>5.854230233092852</v>
      </c>
      <c r="J79" s="358" t="s">
        <v>573</v>
      </c>
      <c r="K79" s="359"/>
    </row>
    <row r="80" spans="1:12" s="360" customFormat="1">
      <c r="A80" s="361" t="s">
        <v>804</v>
      </c>
      <c r="B80" s="356">
        <v>150</v>
      </c>
      <c r="C80" s="355">
        <v>241</v>
      </c>
      <c r="D80" s="356">
        <v>5.05</v>
      </c>
      <c r="E80" s="356">
        <v>18.741830233092852</v>
      </c>
      <c r="F80" s="357">
        <v>12.887599999999999</v>
      </c>
      <c r="G80" s="355">
        <v>0.43048090710511555</v>
      </c>
      <c r="H80" s="355">
        <v>5.4237493259877363</v>
      </c>
      <c r="I80" s="355">
        <v>5.854230233092852</v>
      </c>
      <c r="J80" s="358" t="s">
        <v>573</v>
      </c>
      <c r="K80" s="359"/>
    </row>
    <row r="81" spans="1:12" s="360" customFormat="1">
      <c r="A81" s="361" t="s">
        <v>805</v>
      </c>
      <c r="B81" s="356">
        <v>150</v>
      </c>
      <c r="C81" s="355">
        <v>250</v>
      </c>
      <c r="D81" s="356">
        <v>5.05</v>
      </c>
      <c r="E81" s="356">
        <v>23.902930233092853</v>
      </c>
      <c r="F81" s="357">
        <v>18.0487</v>
      </c>
      <c r="G81" s="355">
        <v>0.43048090710511555</v>
      </c>
      <c r="H81" s="355">
        <v>5.4237493259877363</v>
      </c>
      <c r="I81" s="355">
        <v>5.854230233092852</v>
      </c>
      <c r="J81" s="358" t="s">
        <v>573</v>
      </c>
      <c r="K81" s="359"/>
    </row>
    <row r="82" spans="1:12" s="360" customFormat="1">
      <c r="A82" s="361" t="s">
        <v>806</v>
      </c>
      <c r="B82" s="356">
        <v>150</v>
      </c>
      <c r="C82" s="355">
        <v>363</v>
      </c>
      <c r="D82" s="356">
        <v>5.05</v>
      </c>
      <c r="E82" s="356">
        <v>29.053930233092853</v>
      </c>
      <c r="F82" s="357">
        <v>23.1997</v>
      </c>
      <c r="G82" s="355">
        <v>0.43048090710511555</v>
      </c>
      <c r="H82" s="355">
        <v>5.4237493259877363</v>
      </c>
      <c r="I82" s="355">
        <v>5.854230233092852</v>
      </c>
      <c r="J82" s="358" t="s">
        <v>573</v>
      </c>
      <c r="K82" s="359"/>
    </row>
    <row r="83" spans="1:12" s="360" customFormat="1">
      <c r="A83" s="361" t="s">
        <v>807</v>
      </c>
      <c r="B83" s="356">
        <v>150</v>
      </c>
      <c r="C83" s="355">
        <v>269</v>
      </c>
      <c r="D83" s="356">
        <v>5.05</v>
      </c>
      <c r="E83" s="356">
        <v>23.902930233092853</v>
      </c>
      <c r="F83" s="357">
        <v>18.0487</v>
      </c>
      <c r="G83" s="355">
        <v>0.43048090710511555</v>
      </c>
      <c r="H83" s="355">
        <v>5.4237493259877363</v>
      </c>
      <c r="I83" s="355">
        <v>5.854230233092852</v>
      </c>
      <c r="J83" s="358" t="s">
        <v>573</v>
      </c>
      <c r="K83" s="359"/>
    </row>
    <row r="84" spans="1:12" s="360" customFormat="1">
      <c r="A84" s="353" t="s">
        <v>808</v>
      </c>
      <c r="B84" s="354">
        <v>150</v>
      </c>
      <c r="C84" s="369">
        <v>427</v>
      </c>
      <c r="D84" s="354">
        <v>5.05</v>
      </c>
      <c r="E84" s="354">
        <v>34.215030233092847</v>
      </c>
      <c r="F84" s="370">
        <v>28.360799999999998</v>
      </c>
      <c r="G84" s="369">
        <v>0.43048090710511555</v>
      </c>
      <c r="H84" s="369">
        <v>5.4237493259877363</v>
      </c>
      <c r="I84" s="369">
        <v>5.854230233092852</v>
      </c>
      <c r="J84" s="371" t="s">
        <v>573</v>
      </c>
      <c r="K84" s="359"/>
    </row>
    <row r="85" spans="1:12" s="360" customFormat="1">
      <c r="A85" s="361" t="s">
        <v>809</v>
      </c>
      <c r="B85" s="356">
        <v>150</v>
      </c>
      <c r="C85" s="355">
        <v>474</v>
      </c>
      <c r="D85" s="356">
        <v>5.05</v>
      </c>
      <c r="E85" s="356">
        <v>29.053930233092853</v>
      </c>
      <c r="F85" s="357">
        <v>23.1997</v>
      </c>
      <c r="G85" s="355">
        <v>0.43048090710511555</v>
      </c>
      <c r="H85" s="355">
        <v>5.4237493259877363</v>
      </c>
      <c r="I85" s="355">
        <v>5.854230233092852</v>
      </c>
      <c r="J85" s="358" t="s">
        <v>573</v>
      </c>
      <c r="K85" s="359"/>
    </row>
    <row r="86" spans="1:12" s="360" customFormat="1">
      <c r="A86" s="361" t="s">
        <v>810</v>
      </c>
      <c r="B86" s="356">
        <v>150</v>
      </c>
      <c r="C86" s="355" t="e">
        <v>#VALUE!</v>
      </c>
      <c r="D86" s="356">
        <v>5.05</v>
      </c>
      <c r="E86" s="356" t="e">
        <v>#N/A</v>
      </c>
      <c r="F86" s="357" t="e">
        <v>#N/A</v>
      </c>
      <c r="G86" s="355">
        <v>0.43048090710511555</v>
      </c>
      <c r="H86" s="355">
        <v>5.4237493259877363</v>
      </c>
      <c r="I86" s="355">
        <v>5.854230233092852</v>
      </c>
      <c r="J86" s="358" t="s">
        <v>573</v>
      </c>
      <c r="K86" s="359"/>
    </row>
    <row r="87" spans="1:12" s="360" customFormat="1">
      <c r="A87" s="361" t="s">
        <v>811</v>
      </c>
      <c r="B87" s="356">
        <v>150</v>
      </c>
      <c r="C87" s="355" t="e">
        <v>#VALUE!</v>
      </c>
      <c r="D87" s="356">
        <v>5.05</v>
      </c>
      <c r="E87" s="356">
        <v>34.215030233092847</v>
      </c>
      <c r="F87" s="357">
        <v>28.360799999999998</v>
      </c>
      <c r="G87" s="355">
        <v>0.43048090710511555</v>
      </c>
      <c r="H87" s="355">
        <v>5.4237493259877363</v>
      </c>
      <c r="I87" s="355">
        <v>5.854230233092852</v>
      </c>
      <c r="J87" s="358" t="s">
        <v>573</v>
      </c>
      <c r="K87" s="359"/>
    </row>
    <row r="88" spans="1:12" s="360" customFormat="1">
      <c r="A88" s="361" t="s">
        <v>812</v>
      </c>
      <c r="B88" s="356">
        <v>150</v>
      </c>
      <c r="C88" s="355" t="e">
        <v>#VALUE!</v>
      </c>
      <c r="D88" s="356">
        <v>5.05</v>
      </c>
      <c r="E88" s="356" t="e">
        <v>#N/A</v>
      </c>
      <c r="F88" s="357" t="e">
        <v>#N/A</v>
      </c>
      <c r="G88" s="355">
        <v>0.43048090710511555</v>
      </c>
      <c r="H88" s="355">
        <v>5.4237493259877363</v>
      </c>
      <c r="I88" s="355">
        <v>5.854230233092852</v>
      </c>
      <c r="J88" s="358" t="s">
        <v>573</v>
      </c>
      <c r="K88" s="359"/>
    </row>
    <row r="89" spans="1:12" s="360" customFormat="1">
      <c r="A89" s="353" t="s">
        <v>813</v>
      </c>
      <c r="B89" s="354">
        <v>150</v>
      </c>
      <c r="C89" s="369" t="e">
        <v>#VALUE!</v>
      </c>
      <c r="D89" s="354">
        <v>5.05</v>
      </c>
      <c r="E89" s="354" t="e">
        <v>#N/A</v>
      </c>
      <c r="F89" s="370" t="e">
        <v>#N/A</v>
      </c>
      <c r="G89" s="369">
        <v>0.43048090710511555</v>
      </c>
      <c r="H89" s="369">
        <v>5.4237493259877363</v>
      </c>
      <c r="I89" s="369">
        <v>5.854230233092852</v>
      </c>
      <c r="J89" s="371" t="s">
        <v>573</v>
      </c>
      <c r="K89" s="372"/>
      <c r="L89" s="373"/>
    </row>
    <row r="90" spans="1:12" s="360" customFormat="1">
      <c r="A90" s="361" t="s">
        <v>814</v>
      </c>
      <c r="B90" s="356">
        <v>150</v>
      </c>
      <c r="C90" s="355" t="e">
        <v>#VALUE!</v>
      </c>
      <c r="D90" s="356">
        <v>5.05</v>
      </c>
      <c r="E90" s="356" t="e">
        <v>#N/A</v>
      </c>
      <c r="F90" s="357" t="e">
        <v>#N/A</v>
      </c>
      <c r="G90" s="355">
        <v>0.43048090710511555</v>
      </c>
      <c r="H90" s="355">
        <v>5.4237493259877363</v>
      </c>
      <c r="I90" s="355">
        <v>5.854230233092852</v>
      </c>
      <c r="J90" s="358" t="s">
        <v>573</v>
      </c>
      <c r="K90" s="359"/>
    </row>
    <row r="91" spans="1:12" s="360" customFormat="1">
      <c r="A91" s="361" t="s">
        <v>815</v>
      </c>
      <c r="B91" s="356">
        <v>150</v>
      </c>
      <c r="C91" s="355" t="e">
        <v>#VALUE!</v>
      </c>
      <c r="D91" s="356">
        <v>5.05</v>
      </c>
      <c r="E91" s="356" t="e">
        <v>#N/A</v>
      </c>
      <c r="F91" s="357" t="e">
        <v>#N/A</v>
      </c>
      <c r="G91" s="355">
        <v>0</v>
      </c>
      <c r="H91" s="355">
        <v>5.4237493259877363</v>
      </c>
      <c r="I91" s="355">
        <v>5.4237493259877363</v>
      </c>
      <c r="J91" s="358" t="s">
        <v>573</v>
      </c>
      <c r="K91" s="359"/>
    </row>
    <row r="92" spans="1:12" s="360" customFormat="1">
      <c r="A92" s="361" t="s">
        <v>816</v>
      </c>
      <c r="B92" s="356">
        <v>150</v>
      </c>
      <c r="C92" s="355" t="e">
        <v>#VALUE!</v>
      </c>
      <c r="D92" s="356">
        <v>5.05</v>
      </c>
      <c r="E92" s="356" t="e">
        <v>#N/A</v>
      </c>
      <c r="F92" s="357" t="e">
        <v>#N/A</v>
      </c>
      <c r="G92" s="355">
        <v>0</v>
      </c>
      <c r="H92" s="355">
        <v>5.4237493259877363</v>
      </c>
      <c r="I92" s="355">
        <v>5.4237493259877363</v>
      </c>
      <c r="J92" s="358" t="s">
        <v>573</v>
      </c>
      <c r="K92" s="359"/>
    </row>
    <row r="93" spans="1:12" s="360" customFormat="1">
      <c r="A93" s="361" t="s">
        <v>817</v>
      </c>
      <c r="B93" s="356">
        <v>150</v>
      </c>
      <c r="C93" s="355" t="e">
        <v>#VALUE!</v>
      </c>
      <c r="D93" s="356">
        <v>5.05</v>
      </c>
      <c r="E93" s="356" t="e">
        <v>#N/A</v>
      </c>
      <c r="F93" s="357" t="e">
        <v>#N/A</v>
      </c>
      <c r="G93" s="355">
        <v>0</v>
      </c>
      <c r="H93" s="355">
        <v>5.4237493259877363</v>
      </c>
      <c r="I93" s="355">
        <v>5.4237493259877363</v>
      </c>
      <c r="J93" s="358" t="s">
        <v>573</v>
      </c>
      <c r="K93" s="359"/>
    </row>
    <row r="94" spans="1:12" s="360" customFormat="1">
      <c r="A94" s="361" t="s">
        <v>818</v>
      </c>
      <c r="B94" s="356">
        <v>150</v>
      </c>
      <c r="C94" s="355" t="e">
        <v>#VALUE!</v>
      </c>
      <c r="D94" s="356">
        <v>5.05</v>
      </c>
      <c r="E94" s="356" t="e">
        <v>#N/A</v>
      </c>
      <c r="F94" s="357" t="e">
        <v>#N/A</v>
      </c>
      <c r="G94" s="355">
        <v>0</v>
      </c>
      <c r="H94" s="355">
        <v>5.4237493259877363</v>
      </c>
      <c r="I94" s="355">
        <v>5.4237493259877363</v>
      </c>
      <c r="J94" s="358" t="s">
        <v>573</v>
      </c>
      <c r="K94" s="359"/>
    </row>
    <row r="95" spans="1:12" s="360" customFormat="1">
      <c r="A95" s="361" t="s">
        <v>819</v>
      </c>
      <c r="B95" s="356">
        <v>150</v>
      </c>
      <c r="C95" s="355" t="e">
        <v>#VALUE!</v>
      </c>
      <c r="D95" s="356">
        <v>5.05</v>
      </c>
      <c r="E95" s="356" t="e">
        <v>#N/A</v>
      </c>
      <c r="F95" s="357" t="e">
        <v>#N/A</v>
      </c>
      <c r="G95" s="355">
        <v>0</v>
      </c>
      <c r="H95" s="355">
        <v>5.4237493259877363</v>
      </c>
      <c r="I95" s="355">
        <v>5.4237493259877363</v>
      </c>
      <c r="J95" s="358" t="s">
        <v>573</v>
      </c>
      <c r="K95" s="359"/>
    </row>
    <row r="96" spans="1:12" s="360" customFormat="1">
      <c r="A96" s="361" t="s">
        <v>820</v>
      </c>
      <c r="B96" s="356">
        <v>150</v>
      </c>
      <c r="C96" s="355" t="e">
        <v>#VALUE!</v>
      </c>
      <c r="D96" s="356">
        <v>5.05</v>
      </c>
      <c r="E96" s="356" t="e">
        <v>#N/A</v>
      </c>
      <c r="F96" s="357" t="e">
        <v>#N/A</v>
      </c>
      <c r="G96" s="355">
        <v>0</v>
      </c>
      <c r="H96" s="355">
        <v>5.4237493259877363</v>
      </c>
      <c r="I96" s="355">
        <v>5.4237493259877363</v>
      </c>
      <c r="J96" s="358" t="s">
        <v>573</v>
      </c>
      <c r="K96" s="359"/>
    </row>
    <row r="97" spans="1:13" s="360" customFormat="1">
      <c r="A97" s="361" t="s">
        <v>821</v>
      </c>
      <c r="B97" s="356">
        <v>150</v>
      </c>
      <c r="C97" s="355">
        <v>52</v>
      </c>
      <c r="D97" s="356">
        <v>5.05</v>
      </c>
      <c r="E97" s="356">
        <v>8.1507493259877357</v>
      </c>
      <c r="F97" s="357">
        <v>2.7270000000000003</v>
      </c>
      <c r="G97" s="355">
        <v>0</v>
      </c>
      <c r="H97" s="355">
        <v>5.4237493259877363</v>
      </c>
      <c r="I97" s="355">
        <v>5.4237493259877363</v>
      </c>
      <c r="J97" s="358" t="s">
        <v>573</v>
      </c>
      <c r="K97" s="359"/>
    </row>
    <row r="98" spans="1:13" s="360" customFormat="1">
      <c r="A98" s="361" t="s">
        <v>822</v>
      </c>
      <c r="B98" s="356">
        <v>150</v>
      </c>
      <c r="C98" s="355">
        <v>58</v>
      </c>
      <c r="D98" s="356">
        <v>5.05</v>
      </c>
      <c r="E98" s="356">
        <v>8.1507493259877357</v>
      </c>
      <c r="F98" s="357">
        <v>2.7270000000000003</v>
      </c>
      <c r="G98" s="355">
        <v>0</v>
      </c>
      <c r="H98" s="355">
        <v>5.4237493259877363</v>
      </c>
      <c r="I98" s="355">
        <v>5.4237493259877363</v>
      </c>
      <c r="J98" s="358" t="s">
        <v>573</v>
      </c>
      <c r="K98" s="359"/>
    </row>
    <row r="99" spans="1:13" s="360" customFormat="1">
      <c r="A99" s="361" t="s">
        <v>823</v>
      </c>
      <c r="B99" s="356">
        <v>150</v>
      </c>
      <c r="C99" s="355">
        <v>65</v>
      </c>
      <c r="D99" s="356">
        <v>5.05</v>
      </c>
      <c r="E99" s="356">
        <v>8.1507493259877357</v>
      </c>
      <c r="F99" s="357">
        <v>2.7270000000000003</v>
      </c>
      <c r="G99" s="355">
        <v>0</v>
      </c>
      <c r="H99" s="355">
        <v>5.4237493259877363</v>
      </c>
      <c r="I99" s="355">
        <v>5.4237493259877363</v>
      </c>
      <c r="J99" s="358" t="s">
        <v>573</v>
      </c>
      <c r="K99" s="359"/>
    </row>
    <row r="100" spans="1:13" s="360" customFormat="1">
      <c r="A100" s="361" t="s">
        <v>824</v>
      </c>
      <c r="B100" s="356">
        <v>150</v>
      </c>
      <c r="C100" s="355">
        <v>69</v>
      </c>
      <c r="D100" s="356">
        <v>5.05</v>
      </c>
      <c r="E100" s="356">
        <v>8.1507493259877357</v>
      </c>
      <c r="F100" s="357">
        <v>2.7270000000000003</v>
      </c>
      <c r="G100" s="355">
        <v>0</v>
      </c>
      <c r="H100" s="355">
        <v>5.4237493259877363</v>
      </c>
      <c r="I100" s="355">
        <v>5.4237493259877363</v>
      </c>
      <c r="J100" s="358" t="s">
        <v>573</v>
      </c>
      <c r="K100" s="359"/>
    </row>
    <row r="101" spans="1:13" s="360" customFormat="1">
      <c r="A101" s="361" t="s">
        <v>825</v>
      </c>
      <c r="B101" s="356">
        <v>150</v>
      </c>
      <c r="C101" s="355" t="e">
        <v>#VALUE!</v>
      </c>
      <c r="D101" s="356">
        <v>5.05</v>
      </c>
      <c r="E101" s="356" t="e">
        <v>#N/A</v>
      </c>
      <c r="F101" s="357" t="e">
        <v>#N/A</v>
      </c>
      <c r="G101" s="355">
        <v>0</v>
      </c>
      <c r="H101" s="355">
        <v>5.4237493259877363</v>
      </c>
      <c r="I101" s="355">
        <v>5.4237493259877363</v>
      </c>
      <c r="J101" s="358" t="s">
        <v>573</v>
      </c>
      <c r="K101" s="359"/>
    </row>
    <row r="102" spans="1:13" s="360" customFormat="1">
      <c r="A102" s="361" t="s">
        <v>826</v>
      </c>
      <c r="B102" s="356">
        <v>150</v>
      </c>
      <c r="C102" s="355" t="e">
        <v>#VALUE!</v>
      </c>
      <c r="D102" s="356">
        <v>5.05</v>
      </c>
      <c r="E102" s="356" t="e">
        <v>#N/A</v>
      </c>
      <c r="F102" s="357" t="e">
        <v>#N/A</v>
      </c>
      <c r="G102" s="355">
        <v>0</v>
      </c>
      <c r="H102" s="355">
        <v>5.4237493259877363</v>
      </c>
      <c r="I102" s="355">
        <v>5.4237493259877363</v>
      </c>
      <c r="J102" s="358" t="s">
        <v>573</v>
      </c>
      <c r="K102" s="359"/>
    </row>
    <row r="103" spans="1:13" s="360" customFormat="1">
      <c r="A103" s="361" t="s">
        <v>827</v>
      </c>
      <c r="B103" s="356">
        <v>150</v>
      </c>
      <c r="C103" s="355" t="e">
        <v>#VALUE!</v>
      </c>
      <c r="D103" s="356">
        <v>5.05</v>
      </c>
      <c r="E103" s="356" t="e">
        <v>#N/A</v>
      </c>
      <c r="F103" s="357" t="e">
        <v>#N/A</v>
      </c>
      <c r="G103" s="355">
        <v>0</v>
      </c>
      <c r="H103" s="355">
        <v>5.4237493259877363</v>
      </c>
      <c r="I103" s="355">
        <v>5.4237493259877363</v>
      </c>
      <c r="J103" s="358" t="s">
        <v>573</v>
      </c>
      <c r="K103" s="359"/>
    </row>
    <row r="104" spans="1:13" s="360" customFormat="1">
      <c r="A104" s="361" t="s">
        <v>828</v>
      </c>
      <c r="B104" s="356">
        <v>150</v>
      </c>
      <c r="C104" s="355" t="e">
        <v>#VALUE!</v>
      </c>
      <c r="D104" s="356">
        <v>5.05</v>
      </c>
      <c r="E104" s="356" t="e">
        <v>#N/A</v>
      </c>
      <c r="F104" s="357" t="e">
        <v>#N/A</v>
      </c>
      <c r="G104" s="355">
        <v>0</v>
      </c>
      <c r="H104" s="355">
        <v>5.4237493259877363</v>
      </c>
      <c r="I104" s="355">
        <v>5.4237493259877363</v>
      </c>
      <c r="J104" s="358" t="s">
        <v>573</v>
      </c>
      <c r="K104" s="359"/>
    </row>
    <row r="105" spans="1:13" s="360" customFormat="1">
      <c r="A105" s="361" t="s">
        <v>829</v>
      </c>
      <c r="B105" s="356">
        <v>150</v>
      </c>
      <c r="C105" s="355">
        <v>94</v>
      </c>
      <c r="D105" s="356">
        <v>5.05</v>
      </c>
      <c r="E105" s="356">
        <v>8.1507493259877357</v>
      </c>
      <c r="F105" s="357">
        <v>2.7270000000000003</v>
      </c>
      <c r="G105" s="355">
        <v>0</v>
      </c>
      <c r="H105" s="355">
        <v>5.4237493259877363</v>
      </c>
      <c r="I105" s="355">
        <v>5.4237493259877363</v>
      </c>
      <c r="J105" s="358" t="s">
        <v>573</v>
      </c>
      <c r="K105" s="359"/>
    </row>
    <row r="106" spans="1:13" s="360" customFormat="1">
      <c r="A106" s="361" t="s">
        <v>830</v>
      </c>
      <c r="B106" s="356">
        <v>150</v>
      </c>
      <c r="C106" s="355">
        <v>100</v>
      </c>
      <c r="D106" s="356">
        <v>5.05</v>
      </c>
      <c r="E106" s="356">
        <v>8.1507493259877357</v>
      </c>
      <c r="F106" s="357">
        <v>2.7270000000000003</v>
      </c>
      <c r="G106" s="355">
        <v>0</v>
      </c>
      <c r="H106" s="355">
        <v>5.4237493259877363</v>
      </c>
      <c r="I106" s="355">
        <v>5.4237493259877363</v>
      </c>
      <c r="J106" s="358" t="s">
        <v>573</v>
      </c>
      <c r="K106" s="359"/>
    </row>
    <row r="107" spans="1:13" s="360" customFormat="1">
      <c r="A107" s="361" t="s">
        <v>831</v>
      </c>
      <c r="B107" s="356">
        <v>150</v>
      </c>
      <c r="C107" s="355">
        <v>105</v>
      </c>
      <c r="D107" s="356">
        <v>5.05</v>
      </c>
      <c r="E107" s="356">
        <v>8.1507493259877357</v>
      </c>
      <c r="F107" s="357">
        <v>2.7270000000000003</v>
      </c>
      <c r="G107" s="355">
        <v>0</v>
      </c>
      <c r="H107" s="355">
        <v>5.4237493259877363</v>
      </c>
      <c r="I107" s="355">
        <v>5.4237493259877363</v>
      </c>
      <c r="J107" s="358" t="s">
        <v>573</v>
      </c>
      <c r="K107" s="359"/>
    </row>
    <row r="108" spans="1:13" s="360" customFormat="1">
      <c r="A108" s="361" t="s">
        <v>832</v>
      </c>
      <c r="B108" s="356">
        <v>150</v>
      </c>
      <c r="C108" s="355">
        <v>115</v>
      </c>
      <c r="D108" s="356">
        <v>5.05</v>
      </c>
      <c r="E108" s="356">
        <v>8.1507493259877357</v>
      </c>
      <c r="F108" s="357">
        <v>2.7270000000000003</v>
      </c>
      <c r="G108" s="355">
        <v>0</v>
      </c>
      <c r="H108" s="355">
        <v>5.4237493259877363</v>
      </c>
      <c r="I108" s="355">
        <v>5.4237493259877363</v>
      </c>
      <c r="J108" s="358" t="s">
        <v>573</v>
      </c>
      <c r="K108" s="359"/>
    </row>
    <row r="109" spans="1:13" s="360" customFormat="1">
      <c r="A109" s="362" t="s">
        <v>833</v>
      </c>
      <c r="B109" s="363">
        <v>150</v>
      </c>
      <c r="C109" s="364">
        <v>120</v>
      </c>
      <c r="D109" s="363">
        <v>5.05</v>
      </c>
      <c r="E109" s="363">
        <v>8.1507493259877357</v>
      </c>
      <c r="F109" s="365">
        <v>2.7270000000000003</v>
      </c>
      <c r="G109" s="364">
        <v>0</v>
      </c>
      <c r="H109" s="364">
        <v>5.4237493259877363</v>
      </c>
      <c r="I109" s="364">
        <v>5.4237493259877363</v>
      </c>
      <c r="J109" s="366" t="s">
        <v>573</v>
      </c>
      <c r="K109" s="367"/>
      <c r="L109" s="368"/>
      <c r="M109" s="373"/>
    </row>
    <row r="110" spans="1:13" s="360" customFormat="1">
      <c r="A110" s="361" t="s">
        <v>834</v>
      </c>
      <c r="B110" s="356">
        <v>150</v>
      </c>
      <c r="C110" s="355">
        <v>265</v>
      </c>
      <c r="D110" s="356">
        <v>5.05</v>
      </c>
      <c r="E110" s="356">
        <v>8.6052493259877352</v>
      </c>
      <c r="F110" s="357">
        <v>3.1814999999999998</v>
      </c>
      <c r="G110" s="355">
        <v>0</v>
      </c>
      <c r="H110" s="355">
        <v>5.4237493259877363</v>
      </c>
      <c r="I110" s="355">
        <v>5.4237493259877363</v>
      </c>
      <c r="J110" s="358" t="s">
        <v>573</v>
      </c>
      <c r="K110" s="359"/>
    </row>
    <row r="111" spans="1:13" s="360" customFormat="1">
      <c r="A111" s="353" t="s">
        <v>835</v>
      </c>
      <c r="B111" s="354">
        <v>150</v>
      </c>
      <c r="C111" s="369">
        <v>135</v>
      </c>
      <c r="D111" s="354">
        <v>5.05</v>
      </c>
      <c r="E111" s="354">
        <v>8.6052493259877352</v>
      </c>
      <c r="F111" s="370">
        <v>3.1814999999999998</v>
      </c>
      <c r="G111" s="369">
        <v>0</v>
      </c>
      <c r="H111" s="369">
        <v>5.4237493259877363</v>
      </c>
      <c r="I111" s="369">
        <v>5.4237493259877363</v>
      </c>
      <c r="J111" s="371" t="s">
        <v>573</v>
      </c>
      <c r="K111" s="359"/>
    </row>
    <row r="112" spans="1:13" s="360" customFormat="1">
      <c r="A112" s="353" t="s">
        <v>836</v>
      </c>
      <c r="B112" s="354">
        <v>150</v>
      </c>
      <c r="C112" s="369">
        <v>150</v>
      </c>
      <c r="D112" s="354">
        <v>5.05</v>
      </c>
      <c r="E112" s="354">
        <v>9.0597493259877364</v>
      </c>
      <c r="F112" s="370">
        <v>3.6360000000000001</v>
      </c>
      <c r="G112" s="369">
        <v>0</v>
      </c>
      <c r="H112" s="369">
        <v>5.4237493259877363</v>
      </c>
      <c r="I112" s="369">
        <v>5.4237493259877363</v>
      </c>
      <c r="J112" s="371" t="s">
        <v>573</v>
      </c>
      <c r="K112" s="359"/>
    </row>
    <row r="113" spans="1:11" s="360" customFormat="1">
      <c r="A113" s="361" t="s">
        <v>837</v>
      </c>
      <c r="B113" s="356">
        <v>150</v>
      </c>
      <c r="C113" s="355">
        <v>107</v>
      </c>
      <c r="D113" s="356">
        <v>5.05</v>
      </c>
      <c r="E113" s="356">
        <v>13.590830233092852</v>
      </c>
      <c r="F113" s="357">
        <v>7.7366000000000001</v>
      </c>
      <c r="G113" s="355">
        <v>0.43048090710511555</v>
      </c>
      <c r="H113" s="355">
        <v>5.4237493259877363</v>
      </c>
      <c r="I113" s="355">
        <v>5.854230233092852</v>
      </c>
      <c r="J113" s="358" t="s">
        <v>573</v>
      </c>
      <c r="K113" s="359"/>
    </row>
    <row r="114" spans="1:11" s="360" customFormat="1">
      <c r="A114" s="361" t="s">
        <v>838</v>
      </c>
      <c r="B114" s="356">
        <v>150</v>
      </c>
      <c r="C114" s="355">
        <v>139</v>
      </c>
      <c r="D114" s="356">
        <v>5.05</v>
      </c>
      <c r="E114" s="356">
        <v>13.590830233092852</v>
      </c>
      <c r="F114" s="357">
        <v>7.7366000000000001</v>
      </c>
      <c r="G114" s="355">
        <v>0.43048090710511555</v>
      </c>
      <c r="H114" s="355">
        <v>5.4237493259877363</v>
      </c>
      <c r="I114" s="355">
        <v>5.854230233092852</v>
      </c>
      <c r="J114" s="358" t="s">
        <v>573</v>
      </c>
      <c r="K114" s="359"/>
    </row>
    <row r="115" spans="1:11" s="360" customFormat="1">
      <c r="A115" s="361" t="s">
        <v>839</v>
      </c>
      <c r="B115" s="356">
        <v>150</v>
      </c>
      <c r="C115" s="355">
        <v>163</v>
      </c>
      <c r="D115" s="356">
        <v>5.05</v>
      </c>
      <c r="E115" s="356">
        <v>14.621030233092853</v>
      </c>
      <c r="F115" s="357">
        <v>8.7667999999999999</v>
      </c>
      <c r="G115" s="355">
        <v>0.43048090710511555</v>
      </c>
      <c r="H115" s="355">
        <v>5.4237493259877363</v>
      </c>
      <c r="I115" s="355">
        <v>5.854230233092852</v>
      </c>
      <c r="J115" s="358" t="s">
        <v>573</v>
      </c>
      <c r="K115" s="359"/>
    </row>
    <row r="116" spans="1:11" s="360" customFormat="1">
      <c r="A116" s="361" t="s">
        <v>840</v>
      </c>
      <c r="B116" s="356">
        <v>150</v>
      </c>
      <c r="C116" s="355">
        <v>188</v>
      </c>
      <c r="D116" s="356">
        <v>5.05</v>
      </c>
      <c r="E116" s="356">
        <v>14.621030233092853</v>
      </c>
      <c r="F116" s="357">
        <v>8.7667999999999999</v>
      </c>
      <c r="G116" s="355">
        <v>0.43048090710511555</v>
      </c>
      <c r="H116" s="355">
        <v>5.4237493259877363</v>
      </c>
      <c r="I116" s="355">
        <v>5.854230233092852</v>
      </c>
      <c r="J116" s="358" t="s">
        <v>573</v>
      </c>
      <c r="K116" s="359"/>
    </row>
    <row r="117" spans="1:11" s="360" customFormat="1">
      <c r="A117" s="361" t="s">
        <v>841</v>
      </c>
      <c r="B117" s="356">
        <v>150</v>
      </c>
      <c r="C117" s="355">
        <v>206</v>
      </c>
      <c r="D117" s="356">
        <v>5.05</v>
      </c>
      <c r="E117" s="356">
        <v>16.166330233092854</v>
      </c>
      <c r="F117" s="357">
        <v>10.312100000000001</v>
      </c>
      <c r="G117" s="355">
        <v>0.43048090710511555</v>
      </c>
      <c r="H117" s="355">
        <v>5.4237493259877363</v>
      </c>
      <c r="I117" s="355">
        <v>5.854230233092852</v>
      </c>
      <c r="J117" s="358" t="s">
        <v>573</v>
      </c>
      <c r="K117" s="359"/>
    </row>
    <row r="118" spans="1:11" s="360" customFormat="1">
      <c r="A118" s="361" t="s">
        <v>842</v>
      </c>
      <c r="B118" s="356">
        <v>150</v>
      </c>
      <c r="C118" s="355">
        <v>219</v>
      </c>
      <c r="D118" s="356">
        <v>5.05</v>
      </c>
      <c r="E118" s="356">
        <v>16.166330233092854</v>
      </c>
      <c r="F118" s="357">
        <v>10.312100000000001</v>
      </c>
      <c r="G118" s="355">
        <v>0.43048090710511555</v>
      </c>
      <c r="H118" s="355">
        <v>5.4237493259877363</v>
      </c>
      <c r="I118" s="355">
        <v>5.854230233092852</v>
      </c>
      <c r="J118" s="358" t="s">
        <v>573</v>
      </c>
      <c r="K118" s="359"/>
    </row>
    <row r="119" spans="1:11" s="360" customFormat="1">
      <c r="A119" s="361" t="s">
        <v>843</v>
      </c>
      <c r="B119" s="356">
        <v>150</v>
      </c>
      <c r="C119" s="355" t="e">
        <v>#VALUE!</v>
      </c>
      <c r="D119" s="356">
        <v>5.05</v>
      </c>
      <c r="E119" s="356" t="e">
        <v>#N/A</v>
      </c>
      <c r="F119" s="357" t="e">
        <v>#N/A</v>
      </c>
      <c r="G119" s="355">
        <v>0.43048090710511555</v>
      </c>
      <c r="H119" s="355">
        <v>5.4237493259877363</v>
      </c>
      <c r="I119" s="355">
        <v>5.854230233092852</v>
      </c>
      <c r="J119" s="358" t="s">
        <v>573</v>
      </c>
      <c r="K119" s="359"/>
    </row>
    <row r="120" spans="1:11" s="360" customFormat="1">
      <c r="A120" s="361" t="s">
        <v>844</v>
      </c>
      <c r="B120" s="356">
        <v>150</v>
      </c>
      <c r="C120" s="355" t="e">
        <v>#VALUE!</v>
      </c>
      <c r="D120" s="356">
        <v>5.05</v>
      </c>
      <c r="E120" s="356" t="e">
        <v>#N/A</v>
      </c>
      <c r="F120" s="357" t="e">
        <v>#N/A</v>
      </c>
      <c r="G120" s="355">
        <v>0.43048090710511555</v>
      </c>
      <c r="H120" s="355">
        <v>5.4237493259877363</v>
      </c>
      <c r="I120" s="355">
        <v>5.854230233092852</v>
      </c>
      <c r="J120" s="358" t="s">
        <v>573</v>
      </c>
      <c r="K120" s="359"/>
    </row>
    <row r="121" spans="1:11" s="360" customFormat="1">
      <c r="A121" s="361" t="s">
        <v>845</v>
      </c>
      <c r="B121" s="356">
        <v>150</v>
      </c>
      <c r="C121" s="355" t="e">
        <v>#VALUE!</v>
      </c>
      <c r="D121" s="356">
        <v>5.05</v>
      </c>
      <c r="E121" s="356" t="e">
        <v>#N/A</v>
      </c>
      <c r="F121" s="357" t="e">
        <v>#N/A</v>
      </c>
      <c r="G121" s="355">
        <v>0.43048090710511555</v>
      </c>
      <c r="H121" s="355">
        <v>5.4237493259877363</v>
      </c>
      <c r="I121" s="355">
        <v>5.854230233092852</v>
      </c>
      <c r="J121" s="358" t="s">
        <v>573</v>
      </c>
      <c r="K121" s="359"/>
    </row>
    <row r="122" spans="1:11" s="360" customFormat="1">
      <c r="A122" s="361" t="s">
        <v>846</v>
      </c>
      <c r="B122" s="356">
        <v>150</v>
      </c>
      <c r="C122" s="355" t="e">
        <v>#VALUE!</v>
      </c>
      <c r="D122" s="356">
        <v>5.05</v>
      </c>
      <c r="E122" s="356" t="e">
        <v>#N/A</v>
      </c>
      <c r="F122" s="357" t="e">
        <v>#N/A</v>
      </c>
      <c r="G122" s="355">
        <v>0.43048090710511555</v>
      </c>
      <c r="H122" s="355">
        <v>5.4237493259877363</v>
      </c>
      <c r="I122" s="355">
        <v>5.854230233092852</v>
      </c>
      <c r="J122" s="358" t="s">
        <v>573</v>
      </c>
      <c r="K122" s="359"/>
    </row>
    <row r="123" spans="1:11" s="360" customFormat="1">
      <c r="A123" s="361" t="s">
        <v>847</v>
      </c>
      <c r="B123" s="356">
        <v>150</v>
      </c>
      <c r="C123" s="355">
        <v>241</v>
      </c>
      <c r="D123" s="356">
        <v>5.05</v>
      </c>
      <c r="E123" s="356">
        <v>18.741830233092852</v>
      </c>
      <c r="F123" s="357">
        <v>12.887599999999999</v>
      </c>
      <c r="G123" s="355">
        <v>0.43048090710511555</v>
      </c>
      <c r="H123" s="355">
        <v>5.4237493259877363</v>
      </c>
      <c r="I123" s="355">
        <v>5.854230233092852</v>
      </c>
      <c r="J123" s="358" t="s">
        <v>573</v>
      </c>
      <c r="K123" s="359"/>
    </row>
    <row r="124" spans="1:11" s="360" customFormat="1">
      <c r="A124" s="361" t="s">
        <v>848</v>
      </c>
      <c r="B124" s="356">
        <v>150</v>
      </c>
      <c r="C124" s="355">
        <v>250</v>
      </c>
      <c r="D124" s="356">
        <v>5.05</v>
      </c>
      <c r="E124" s="356">
        <v>23.902930233092853</v>
      </c>
      <c r="F124" s="357">
        <v>18.0487</v>
      </c>
      <c r="G124" s="355">
        <v>0.43048090710511555</v>
      </c>
      <c r="H124" s="355">
        <v>5.4237493259877363</v>
      </c>
      <c r="I124" s="355">
        <v>5.854230233092852</v>
      </c>
      <c r="J124" s="358" t="s">
        <v>573</v>
      </c>
      <c r="K124" s="359"/>
    </row>
    <row r="125" spans="1:11" s="360" customFormat="1">
      <c r="A125" s="361" t="s">
        <v>849</v>
      </c>
      <c r="B125" s="356">
        <v>150</v>
      </c>
      <c r="C125" s="355">
        <v>363</v>
      </c>
      <c r="D125" s="356">
        <v>5.05</v>
      </c>
      <c r="E125" s="356">
        <v>29.053930233092853</v>
      </c>
      <c r="F125" s="357">
        <v>23.1997</v>
      </c>
      <c r="G125" s="355">
        <v>0.43048090710511555</v>
      </c>
      <c r="H125" s="355">
        <v>5.4237493259877363</v>
      </c>
      <c r="I125" s="355">
        <v>5.854230233092852</v>
      </c>
      <c r="J125" s="358" t="s">
        <v>573</v>
      </c>
      <c r="K125" s="359"/>
    </row>
    <row r="126" spans="1:11" s="360" customFormat="1">
      <c r="A126" s="361" t="s">
        <v>850</v>
      </c>
      <c r="B126" s="356">
        <v>150</v>
      </c>
      <c r="C126" s="355">
        <v>269</v>
      </c>
      <c r="D126" s="356">
        <v>5.05</v>
      </c>
      <c r="E126" s="356">
        <v>23.902930233092853</v>
      </c>
      <c r="F126" s="357">
        <v>18.0487</v>
      </c>
      <c r="G126" s="355">
        <v>0.43048090710511555</v>
      </c>
      <c r="H126" s="355">
        <v>5.4237493259877363</v>
      </c>
      <c r="I126" s="355">
        <v>5.854230233092852</v>
      </c>
      <c r="J126" s="358" t="s">
        <v>573</v>
      </c>
      <c r="K126" s="359"/>
    </row>
    <row r="127" spans="1:11" s="360" customFormat="1">
      <c r="A127" s="353" t="s">
        <v>851</v>
      </c>
      <c r="B127" s="354">
        <v>150</v>
      </c>
      <c r="C127" s="369">
        <v>427</v>
      </c>
      <c r="D127" s="354">
        <v>5.05</v>
      </c>
      <c r="E127" s="354">
        <v>34.215030233092847</v>
      </c>
      <c r="F127" s="370">
        <v>28.360799999999998</v>
      </c>
      <c r="G127" s="369">
        <v>0.43048090710511555</v>
      </c>
      <c r="H127" s="369">
        <v>5.4237493259877363</v>
      </c>
      <c r="I127" s="369">
        <v>5.854230233092852</v>
      </c>
      <c r="J127" s="371" t="s">
        <v>573</v>
      </c>
      <c r="K127" s="359"/>
    </row>
    <row r="128" spans="1:11" s="360" customFormat="1">
      <c r="A128" s="361" t="s">
        <v>852</v>
      </c>
      <c r="B128" s="356">
        <v>150</v>
      </c>
      <c r="C128" s="355">
        <v>474</v>
      </c>
      <c r="D128" s="356">
        <v>5.05</v>
      </c>
      <c r="E128" s="356">
        <v>29.053930233092853</v>
      </c>
      <c r="F128" s="357">
        <v>23.1997</v>
      </c>
      <c r="G128" s="355">
        <v>0.43048090710511555</v>
      </c>
      <c r="H128" s="355">
        <v>5.4237493259877363</v>
      </c>
      <c r="I128" s="355">
        <v>5.854230233092852</v>
      </c>
      <c r="J128" s="358" t="s">
        <v>573</v>
      </c>
      <c r="K128" s="359"/>
    </row>
    <row r="129" spans="1:12" s="360" customFormat="1">
      <c r="A129" s="361" t="s">
        <v>853</v>
      </c>
      <c r="B129" s="356">
        <v>150</v>
      </c>
      <c r="C129" s="355" t="e">
        <v>#VALUE!</v>
      </c>
      <c r="D129" s="356">
        <v>5.05</v>
      </c>
      <c r="E129" s="356" t="e">
        <v>#N/A</v>
      </c>
      <c r="F129" s="357" t="e">
        <v>#N/A</v>
      </c>
      <c r="G129" s="355">
        <v>0.43048090710511555</v>
      </c>
      <c r="H129" s="355">
        <v>5.4237493259877363</v>
      </c>
      <c r="I129" s="355">
        <v>5.854230233092852</v>
      </c>
      <c r="J129" s="358" t="s">
        <v>573</v>
      </c>
      <c r="K129" s="359"/>
    </row>
    <row r="130" spans="1:12" s="360" customFormat="1">
      <c r="A130" s="361" t="s">
        <v>854</v>
      </c>
      <c r="B130" s="356">
        <v>150</v>
      </c>
      <c r="C130" s="355" t="e">
        <v>#VALUE!</v>
      </c>
      <c r="D130" s="356">
        <v>5.05</v>
      </c>
      <c r="E130" s="356">
        <v>34.215030233092847</v>
      </c>
      <c r="F130" s="357">
        <v>28.360799999999998</v>
      </c>
      <c r="G130" s="355">
        <v>0.43048090710511555</v>
      </c>
      <c r="H130" s="355">
        <v>5.4237493259877363</v>
      </c>
      <c r="I130" s="355">
        <v>5.854230233092852</v>
      </c>
      <c r="J130" s="358" t="s">
        <v>573</v>
      </c>
      <c r="K130" s="359"/>
    </row>
    <row r="131" spans="1:12" s="360" customFormat="1">
      <c r="A131" s="361" t="s">
        <v>855</v>
      </c>
      <c r="B131" s="356">
        <v>150</v>
      </c>
      <c r="C131" s="355" t="e">
        <v>#VALUE!</v>
      </c>
      <c r="D131" s="356">
        <v>5.05</v>
      </c>
      <c r="E131" s="356" t="e">
        <v>#N/A</v>
      </c>
      <c r="F131" s="357" t="e">
        <v>#N/A</v>
      </c>
      <c r="G131" s="355">
        <v>0.43048090710511555</v>
      </c>
      <c r="H131" s="355">
        <v>5.4237493259877363</v>
      </c>
      <c r="I131" s="355">
        <v>5.854230233092852</v>
      </c>
      <c r="J131" s="358" t="s">
        <v>573</v>
      </c>
      <c r="K131" s="359"/>
    </row>
    <row r="132" spans="1:12" s="360" customFormat="1">
      <c r="A132" s="362" t="s">
        <v>856</v>
      </c>
      <c r="B132" s="363">
        <v>150</v>
      </c>
      <c r="C132" s="364" t="e">
        <v>#VALUE!</v>
      </c>
      <c r="D132" s="363">
        <v>5.05</v>
      </c>
      <c r="E132" s="363" t="e">
        <v>#N/A</v>
      </c>
      <c r="F132" s="365" t="e">
        <v>#N/A</v>
      </c>
      <c r="G132" s="364">
        <v>0.43048090710511555</v>
      </c>
      <c r="H132" s="364">
        <v>5.4237493259877363</v>
      </c>
      <c r="I132" s="364">
        <v>5.854230233092852</v>
      </c>
      <c r="J132" s="366" t="s">
        <v>573</v>
      </c>
      <c r="K132" s="367"/>
      <c r="L132" s="368"/>
    </row>
    <row r="133" spans="1:12" s="360" customFormat="1">
      <c r="A133" s="361" t="s">
        <v>857</v>
      </c>
      <c r="B133" s="356">
        <v>150</v>
      </c>
      <c r="C133" s="355" t="e">
        <v>#VALUE!</v>
      </c>
      <c r="D133" s="356">
        <v>5.05</v>
      </c>
      <c r="E133" s="356" t="e">
        <v>#N/A</v>
      </c>
      <c r="F133" s="357" t="e">
        <v>#N/A</v>
      </c>
      <c r="G133" s="355">
        <v>0.43048090710511555</v>
      </c>
      <c r="H133" s="355">
        <v>5.4237493259877363</v>
      </c>
      <c r="I133" s="355">
        <v>5.854230233092852</v>
      </c>
      <c r="J133" s="358" t="s">
        <v>573</v>
      </c>
      <c r="K133" s="359"/>
    </row>
    <row r="134" spans="1:12" s="373" customFormat="1">
      <c r="A134" s="292" t="s">
        <v>858</v>
      </c>
      <c r="B134" s="354">
        <v>175</v>
      </c>
      <c r="C134" s="354">
        <v>10</v>
      </c>
      <c r="D134" s="354">
        <v>50.5</v>
      </c>
      <c r="E134" s="354">
        <v>11.817</v>
      </c>
      <c r="F134" s="370">
        <v>11.817</v>
      </c>
      <c r="G134" s="354"/>
      <c r="H134" s="354"/>
      <c r="I134" s="354"/>
      <c r="J134" s="371" t="s">
        <v>859</v>
      </c>
      <c r="K134" s="374" t="s">
        <v>151</v>
      </c>
    </row>
    <row r="135" spans="1:12" s="373" customFormat="1">
      <c r="A135" s="292" t="s">
        <v>860</v>
      </c>
      <c r="B135" s="354">
        <v>0</v>
      </c>
      <c r="C135" s="354">
        <v>10</v>
      </c>
      <c r="D135" s="354">
        <v>25.25</v>
      </c>
      <c r="E135" s="354">
        <v>11.817</v>
      </c>
      <c r="F135" s="370">
        <v>11.817</v>
      </c>
      <c r="G135" s="354"/>
      <c r="H135" s="354"/>
      <c r="I135" s="354"/>
      <c r="J135" s="371" t="s">
        <v>859</v>
      </c>
      <c r="K135" s="374" t="s">
        <v>154</v>
      </c>
    </row>
    <row r="136" spans="1:12" s="373" customFormat="1">
      <c r="A136" s="292" t="s">
        <v>861</v>
      </c>
      <c r="B136" s="354">
        <v>0</v>
      </c>
      <c r="C136" s="354">
        <v>0</v>
      </c>
      <c r="D136" s="354">
        <v>25.25</v>
      </c>
      <c r="E136" s="354">
        <v>4.8358800000000004</v>
      </c>
      <c r="F136" s="370">
        <v>4.8358800000000004</v>
      </c>
      <c r="G136" s="354"/>
      <c r="H136" s="354"/>
      <c r="I136" s="354"/>
      <c r="J136" s="371" t="s">
        <v>859</v>
      </c>
      <c r="K136" s="374" t="s">
        <v>157</v>
      </c>
    </row>
    <row r="137" spans="1:12" s="373" customFormat="1">
      <c r="A137" s="292" t="s">
        <v>862</v>
      </c>
      <c r="B137" s="354">
        <v>175</v>
      </c>
      <c r="C137" s="354">
        <v>10</v>
      </c>
      <c r="D137" s="354">
        <v>49.49</v>
      </c>
      <c r="E137" s="354">
        <v>10.5747</v>
      </c>
      <c r="F137" s="370">
        <v>10.5747</v>
      </c>
      <c r="G137" s="354"/>
      <c r="H137" s="354"/>
      <c r="I137" s="354"/>
      <c r="J137" s="371" t="s">
        <v>859</v>
      </c>
      <c r="K137" s="374" t="s">
        <v>151</v>
      </c>
    </row>
    <row r="138" spans="1:12" s="373" customFormat="1">
      <c r="A138" s="292" t="s">
        <v>863</v>
      </c>
      <c r="B138" s="354">
        <v>0</v>
      </c>
      <c r="C138" s="354">
        <v>10</v>
      </c>
      <c r="D138" s="354">
        <v>25.25</v>
      </c>
      <c r="E138" s="354">
        <v>10.5747</v>
      </c>
      <c r="F138" s="370">
        <v>10.5747</v>
      </c>
      <c r="G138" s="354"/>
      <c r="H138" s="354"/>
      <c r="I138" s="354"/>
      <c r="J138" s="371" t="s">
        <v>859</v>
      </c>
      <c r="K138" s="374" t="s">
        <v>154</v>
      </c>
    </row>
    <row r="139" spans="1:12" s="373" customFormat="1">
      <c r="A139" s="292" t="s">
        <v>864</v>
      </c>
      <c r="B139" s="354">
        <v>0</v>
      </c>
      <c r="C139" s="354">
        <v>0</v>
      </c>
      <c r="D139" s="354">
        <v>25.25</v>
      </c>
      <c r="E139" s="354">
        <v>3.0097999999999998</v>
      </c>
      <c r="F139" s="370">
        <v>3.0097999999999998</v>
      </c>
      <c r="G139" s="354"/>
      <c r="H139" s="354"/>
      <c r="I139" s="354"/>
      <c r="J139" s="371" t="s">
        <v>859</v>
      </c>
      <c r="K139" s="374" t="s">
        <v>157</v>
      </c>
    </row>
    <row r="140" spans="1:12" s="373" customFormat="1">
      <c r="A140" s="375" t="s">
        <v>361</v>
      </c>
      <c r="B140" s="354">
        <v>0</v>
      </c>
      <c r="C140" s="354"/>
      <c r="D140" s="354">
        <v>0</v>
      </c>
      <c r="E140" s="354"/>
      <c r="F140" s="376"/>
      <c r="G140" s="354"/>
      <c r="H140" s="354"/>
      <c r="I140" s="354"/>
      <c r="J140" s="371" t="s">
        <v>865</v>
      </c>
      <c r="K140" s="372"/>
    </row>
    <row r="141" spans="1:12" s="373" customFormat="1">
      <c r="A141" s="375" t="s">
        <v>138</v>
      </c>
      <c r="B141" s="354">
        <v>650</v>
      </c>
      <c r="C141" s="354"/>
      <c r="D141" s="354">
        <v>417.76912800000002</v>
      </c>
      <c r="E141" s="354"/>
      <c r="F141" s="376"/>
      <c r="G141" s="354"/>
      <c r="H141" s="354"/>
      <c r="I141" s="354"/>
      <c r="J141" s="371" t="s">
        <v>865</v>
      </c>
      <c r="K141" s="372"/>
    </row>
    <row r="142" spans="1:12" s="373" customFormat="1">
      <c r="A142" s="377" t="s">
        <v>140</v>
      </c>
      <c r="B142" s="354">
        <v>1795</v>
      </c>
      <c r="C142" s="354"/>
      <c r="D142" s="354">
        <v>1596.7736400000001</v>
      </c>
      <c r="E142" s="354"/>
      <c r="F142" s="376"/>
      <c r="G142" s="354"/>
      <c r="H142" s="354"/>
      <c r="I142" s="354"/>
      <c r="J142" s="371" t="s">
        <v>865</v>
      </c>
    </row>
    <row r="143" spans="1:12" s="373" customFormat="1">
      <c r="A143" s="375" t="s">
        <v>866</v>
      </c>
      <c r="B143" s="354"/>
      <c r="C143" s="354">
        <v>5</v>
      </c>
      <c r="D143" s="354"/>
      <c r="E143" s="354">
        <v>4.1810842219512621</v>
      </c>
      <c r="F143" s="376">
        <v>4.1810842219512621</v>
      </c>
      <c r="G143" s="354"/>
      <c r="H143" s="354"/>
      <c r="I143" s="354"/>
      <c r="J143" s="371" t="s">
        <v>867</v>
      </c>
      <c r="K143" s="372" t="s">
        <v>32</v>
      </c>
    </row>
    <row r="144" spans="1:12" s="373" customFormat="1">
      <c r="A144" s="375" t="s">
        <v>868</v>
      </c>
      <c r="B144" s="354"/>
      <c r="C144" s="354">
        <v>10</v>
      </c>
      <c r="D144" s="354"/>
      <c r="E144" s="354" t="e">
        <v>#N/A</v>
      </c>
      <c r="F144" s="376" t="e">
        <v>#N/A</v>
      </c>
      <c r="G144" s="354"/>
      <c r="H144" s="354"/>
      <c r="I144" s="354"/>
      <c r="J144" s="371" t="s">
        <v>867</v>
      </c>
      <c r="K144" s="372" t="s">
        <v>142</v>
      </c>
    </row>
    <row r="145" spans="1:11" s="373" customFormat="1">
      <c r="A145" s="375" t="s">
        <v>869</v>
      </c>
      <c r="B145" s="354"/>
      <c r="C145" s="354">
        <v>20</v>
      </c>
      <c r="D145" s="354"/>
      <c r="E145" s="354">
        <v>5.2028269165511203</v>
      </c>
      <c r="F145" s="376">
        <v>5.2028269165511203</v>
      </c>
      <c r="G145" s="354"/>
      <c r="H145" s="354"/>
      <c r="I145" s="354"/>
      <c r="J145" s="371" t="s">
        <v>867</v>
      </c>
      <c r="K145" s="372" t="s">
        <v>34</v>
      </c>
    </row>
    <row r="146" spans="1:11" s="360" customFormat="1">
      <c r="A146" s="378" t="s">
        <v>870</v>
      </c>
      <c r="B146" s="354"/>
      <c r="C146" s="379">
        <v>0</v>
      </c>
      <c r="D146" s="354"/>
      <c r="E146" s="354"/>
      <c r="F146" s="376"/>
      <c r="G146" s="354"/>
      <c r="H146" s="354"/>
      <c r="I146" s="354"/>
      <c r="J146" s="358" t="s">
        <v>871</v>
      </c>
      <c r="K146" s="359"/>
    </row>
    <row r="147" spans="1:11" s="360" customFormat="1">
      <c r="A147" s="378" t="s">
        <v>872</v>
      </c>
      <c r="B147" s="354"/>
      <c r="C147" s="379">
        <v>0.03</v>
      </c>
      <c r="D147" s="354"/>
      <c r="E147" s="354"/>
      <c r="F147" s="376"/>
      <c r="G147" s="354"/>
      <c r="H147" s="354"/>
      <c r="I147" s="354"/>
      <c r="J147" s="358" t="s">
        <v>871</v>
      </c>
      <c r="K147" s="359"/>
    </row>
    <row r="148" spans="1:11" s="360" customFormat="1">
      <c r="A148" s="378" t="s">
        <v>873</v>
      </c>
      <c r="B148" s="354"/>
      <c r="C148" s="379">
        <v>0.06</v>
      </c>
      <c r="D148" s="354"/>
      <c r="E148" s="354"/>
      <c r="F148" s="376"/>
      <c r="G148" s="354"/>
      <c r="H148" s="354"/>
      <c r="I148" s="354"/>
      <c r="J148" s="358" t="s">
        <v>871</v>
      </c>
      <c r="K148" s="359"/>
    </row>
    <row r="149" spans="1:11" s="360" customFormat="1">
      <c r="A149" s="378" t="s">
        <v>874</v>
      </c>
      <c r="B149" s="354"/>
      <c r="C149" s="379">
        <v>0.1</v>
      </c>
      <c r="D149" s="354"/>
      <c r="E149" s="354"/>
      <c r="F149" s="376"/>
      <c r="G149" s="354"/>
      <c r="H149" s="354"/>
      <c r="I149" s="354"/>
      <c r="J149" s="358" t="s">
        <v>871</v>
      </c>
      <c r="K149" s="359"/>
    </row>
    <row r="150" spans="1:11" s="360" customFormat="1">
      <c r="A150" s="378" t="s">
        <v>875</v>
      </c>
      <c r="B150" s="354"/>
      <c r="C150" s="379">
        <v>0.14000000000000001</v>
      </c>
      <c r="D150" s="354"/>
      <c r="E150" s="354"/>
      <c r="F150" s="376"/>
      <c r="G150" s="354"/>
      <c r="H150" s="354"/>
      <c r="I150" s="354"/>
      <c r="J150" s="358" t="s">
        <v>871</v>
      </c>
      <c r="K150" s="359"/>
    </row>
    <row r="151" spans="1:11" s="360" customFormat="1">
      <c r="A151" s="378" t="s">
        <v>876</v>
      </c>
      <c r="B151" s="354"/>
      <c r="C151" s="379">
        <v>0.03</v>
      </c>
      <c r="D151" s="354"/>
      <c r="E151" s="354"/>
      <c r="F151" s="376"/>
      <c r="G151" s="354"/>
      <c r="H151" s="354"/>
      <c r="I151" s="354"/>
      <c r="J151" s="358" t="s">
        <v>871</v>
      </c>
      <c r="K151" s="359"/>
    </row>
    <row r="152" spans="1:11" s="360" customFormat="1">
      <c r="A152" s="378" t="s">
        <v>877</v>
      </c>
      <c r="B152" s="354"/>
      <c r="C152" s="379">
        <v>0.06</v>
      </c>
      <c r="D152" s="354"/>
      <c r="E152" s="354"/>
      <c r="F152" s="376"/>
      <c r="G152" s="354"/>
      <c r="H152" s="354"/>
      <c r="I152" s="354"/>
      <c r="J152" s="358" t="s">
        <v>871</v>
      </c>
      <c r="K152" s="359"/>
    </row>
    <row r="153" spans="1:11" s="360" customFormat="1">
      <c r="A153" s="378" t="s">
        <v>878</v>
      </c>
      <c r="B153" s="354"/>
      <c r="C153" s="379">
        <v>0.1</v>
      </c>
      <c r="D153" s="354"/>
      <c r="E153" s="354"/>
      <c r="F153" s="376"/>
      <c r="G153" s="354"/>
      <c r="H153" s="354"/>
      <c r="I153" s="354"/>
      <c r="J153" s="358" t="s">
        <v>871</v>
      </c>
      <c r="K153" s="359"/>
    </row>
    <row r="154" spans="1:11" s="360" customFormat="1">
      <c r="A154" s="378" t="s">
        <v>879</v>
      </c>
      <c r="B154" s="354"/>
      <c r="C154" s="379">
        <v>0.15</v>
      </c>
      <c r="D154" s="354"/>
      <c r="E154" s="354"/>
      <c r="F154" s="376"/>
      <c r="G154" s="354"/>
      <c r="H154" s="354"/>
      <c r="I154" s="354"/>
      <c r="J154" s="358" t="s">
        <v>871</v>
      </c>
      <c r="K154" s="359"/>
    </row>
    <row r="155" spans="1:11" s="360" customFormat="1">
      <c r="A155" s="378" t="s">
        <v>880</v>
      </c>
      <c r="B155" s="354"/>
      <c r="C155" s="379">
        <v>0.2</v>
      </c>
      <c r="D155" s="354"/>
      <c r="E155" s="354"/>
      <c r="F155" s="376"/>
      <c r="G155" s="354"/>
      <c r="H155" s="354"/>
      <c r="I155" s="354"/>
      <c r="J155" s="358" t="s">
        <v>871</v>
      </c>
      <c r="K155" s="359"/>
    </row>
    <row r="156" spans="1:11" s="360" customFormat="1">
      <c r="A156" s="378" t="s">
        <v>881</v>
      </c>
      <c r="B156" s="354"/>
      <c r="C156" s="379">
        <v>0.06</v>
      </c>
      <c r="D156" s="354"/>
      <c r="E156" s="354"/>
      <c r="F156" s="376"/>
      <c r="G156" s="354"/>
      <c r="H156" s="354"/>
      <c r="I156" s="354"/>
      <c r="J156" s="358" t="s">
        <v>871</v>
      </c>
      <c r="K156" s="359"/>
    </row>
    <row r="157" spans="1:11" s="360" customFormat="1">
      <c r="A157" s="378" t="s">
        <v>882</v>
      </c>
      <c r="B157" s="354"/>
      <c r="C157" s="379">
        <v>0.12</v>
      </c>
      <c r="D157" s="354"/>
      <c r="E157" s="354"/>
      <c r="F157" s="376"/>
      <c r="G157" s="354"/>
      <c r="H157" s="354"/>
      <c r="I157" s="354"/>
      <c r="J157" s="358" t="s">
        <v>871</v>
      </c>
      <c r="K157" s="359"/>
    </row>
    <row r="158" spans="1:11" s="360" customFormat="1">
      <c r="A158" s="378" t="s">
        <v>883</v>
      </c>
      <c r="B158" s="354"/>
      <c r="C158" s="379">
        <v>0.18</v>
      </c>
      <c r="D158" s="354"/>
      <c r="E158" s="354"/>
      <c r="F158" s="376"/>
      <c r="G158" s="354"/>
      <c r="H158" s="354"/>
      <c r="I158" s="354"/>
      <c r="J158" s="358" t="s">
        <v>871</v>
      </c>
      <c r="K158" s="359"/>
    </row>
    <row r="159" spans="1:11" s="360" customFormat="1">
      <c r="A159" s="378" t="s">
        <v>884</v>
      </c>
      <c r="B159" s="354"/>
      <c r="C159" s="379">
        <v>0.25</v>
      </c>
      <c r="D159" s="354"/>
      <c r="E159" s="354"/>
      <c r="F159" s="376"/>
      <c r="G159" s="354"/>
      <c r="H159" s="354"/>
      <c r="I159" s="354"/>
      <c r="J159" s="358" t="s">
        <v>871</v>
      </c>
      <c r="K159" s="359"/>
    </row>
    <row r="160" spans="1:11" s="360" customFormat="1">
      <c r="A160" s="378" t="s">
        <v>885</v>
      </c>
      <c r="B160" s="354"/>
      <c r="C160" s="379">
        <v>0.3</v>
      </c>
      <c r="D160" s="354"/>
      <c r="E160" s="354"/>
      <c r="F160" s="376"/>
      <c r="G160" s="354"/>
      <c r="H160" s="354"/>
      <c r="I160" s="354"/>
      <c r="J160" s="358" t="s">
        <v>871</v>
      </c>
      <c r="K160" s="359"/>
    </row>
    <row r="161" spans="1:22" s="360" customFormat="1">
      <c r="A161" s="380" t="s">
        <v>886</v>
      </c>
      <c r="B161" s="356"/>
      <c r="C161" s="381">
        <v>0</v>
      </c>
      <c r="D161" s="356"/>
      <c r="E161" s="356">
        <v>0</v>
      </c>
      <c r="F161" s="382">
        <v>0</v>
      </c>
      <c r="G161" s="383"/>
      <c r="H161" s="383"/>
      <c r="I161" s="383"/>
      <c r="J161" s="358" t="s">
        <v>887</v>
      </c>
      <c r="K161" s="378" t="s">
        <v>141</v>
      </c>
      <c r="L161" s="383" t="s">
        <v>888</v>
      </c>
      <c r="U161" s="384"/>
    </row>
    <row r="162" spans="1:22" s="360" customFormat="1">
      <c r="A162" s="380" t="s">
        <v>889</v>
      </c>
      <c r="B162" s="356"/>
      <c r="C162" s="381">
        <v>30</v>
      </c>
      <c r="D162" s="356"/>
      <c r="E162" s="356">
        <v>8.4536999999999995</v>
      </c>
      <c r="F162" s="382">
        <v>8.4536999999999995</v>
      </c>
      <c r="G162" s="383"/>
      <c r="H162" s="383"/>
      <c r="I162" s="383"/>
      <c r="J162" s="358" t="s">
        <v>887</v>
      </c>
      <c r="K162" s="378" t="s">
        <v>142</v>
      </c>
      <c r="L162" s="383" t="s">
        <v>651</v>
      </c>
      <c r="U162" s="384"/>
    </row>
    <row r="163" spans="1:22" s="360" customFormat="1">
      <c r="A163" s="380" t="s">
        <v>651</v>
      </c>
      <c r="B163" s="356"/>
      <c r="C163" s="381">
        <v>40</v>
      </c>
      <c r="D163" s="356"/>
      <c r="E163" s="356">
        <v>8.4536999999999995</v>
      </c>
      <c r="F163" s="382">
        <v>8.4536999999999995</v>
      </c>
      <c r="G163" s="383"/>
      <c r="H163" s="383"/>
      <c r="I163" s="383"/>
      <c r="J163" s="358" t="s">
        <v>887</v>
      </c>
      <c r="K163" s="378" t="s">
        <v>34</v>
      </c>
      <c r="L163" s="383" t="s">
        <v>651</v>
      </c>
      <c r="U163" s="384"/>
    </row>
    <row r="164" spans="1:22" s="360" customFormat="1">
      <c r="A164" s="380" t="s">
        <v>890</v>
      </c>
      <c r="B164" s="356"/>
      <c r="C164" s="381">
        <v>0</v>
      </c>
      <c r="D164" s="356"/>
      <c r="E164" s="356">
        <v>0</v>
      </c>
      <c r="F164" s="382">
        <v>0</v>
      </c>
      <c r="G164" s="383"/>
      <c r="H164" s="383"/>
      <c r="I164" s="383"/>
      <c r="J164" s="358" t="s">
        <v>887</v>
      </c>
      <c r="K164" s="378" t="s">
        <v>141</v>
      </c>
      <c r="L164" s="383" t="s">
        <v>891</v>
      </c>
      <c r="U164" s="384"/>
    </row>
    <row r="165" spans="1:22" s="360" customFormat="1">
      <c r="A165" s="380" t="s">
        <v>892</v>
      </c>
      <c r="B165" s="356"/>
      <c r="C165" s="381">
        <v>30</v>
      </c>
      <c r="D165" s="356"/>
      <c r="E165" s="356">
        <v>15.15</v>
      </c>
      <c r="F165" s="382">
        <v>15.15</v>
      </c>
      <c r="G165" s="383"/>
      <c r="H165" s="383"/>
      <c r="I165" s="383"/>
      <c r="J165" s="358" t="s">
        <v>887</v>
      </c>
      <c r="K165" s="378" t="s">
        <v>142</v>
      </c>
      <c r="L165" s="383" t="s">
        <v>655</v>
      </c>
      <c r="U165" s="384"/>
    </row>
    <row r="166" spans="1:22" s="360" customFormat="1">
      <c r="A166" s="380" t="s">
        <v>655</v>
      </c>
      <c r="B166" s="356"/>
      <c r="C166" s="381">
        <v>40</v>
      </c>
      <c r="D166" s="356"/>
      <c r="E166" s="356">
        <v>15.15</v>
      </c>
      <c r="F166" s="382">
        <v>15.15</v>
      </c>
      <c r="G166" s="383"/>
      <c r="H166" s="383"/>
      <c r="I166" s="383"/>
      <c r="J166" s="358" t="s">
        <v>887</v>
      </c>
      <c r="K166" s="378" t="s">
        <v>34</v>
      </c>
      <c r="L166" s="383" t="s">
        <v>655</v>
      </c>
      <c r="O166"/>
      <c r="P166"/>
      <c r="Q166"/>
      <c r="R166"/>
      <c r="S166"/>
      <c r="T166"/>
      <c r="U166"/>
      <c r="V166"/>
    </row>
    <row r="167" spans="1:22" s="360" customFormat="1">
      <c r="A167" s="356" t="s">
        <v>893</v>
      </c>
      <c r="B167" s="385">
        <v>100</v>
      </c>
      <c r="C167" s="385">
        <v>10</v>
      </c>
      <c r="D167" s="386">
        <v>5.05</v>
      </c>
      <c r="E167" s="356">
        <v>0.43057180710511556</v>
      </c>
      <c r="F167" s="387">
        <v>9.09E-5</v>
      </c>
      <c r="G167" s="355">
        <v>0.43048090710511555</v>
      </c>
      <c r="H167" s="355">
        <v>0</v>
      </c>
      <c r="I167" s="355">
        <v>0.43048090710511555</v>
      </c>
      <c r="J167" s="358" t="s">
        <v>894</v>
      </c>
      <c r="K167" s="388" t="s">
        <v>895</v>
      </c>
      <c r="L167" s="389" t="s">
        <v>104</v>
      </c>
      <c r="M167" s="390"/>
      <c r="N167" s="390"/>
      <c r="O167"/>
      <c r="P167"/>
      <c r="Q167"/>
      <c r="R167"/>
      <c r="S167"/>
      <c r="T167"/>
      <c r="U167"/>
      <c r="V167"/>
    </row>
    <row r="168" spans="1:22" s="360" customFormat="1">
      <c r="A168" s="356" t="s">
        <v>896</v>
      </c>
      <c r="B168" s="385">
        <v>100</v>
      </c>
      <c r="C168" s="385">
        <v>35</v>
      </c>
      <c r="D168" s="386">
        <v>5.05</v>
      </c>
      <c r="E168" s="356">
        <v>0.43057180710511556</v>
      </c>
      <c r="F168" s="387">
        <v>9.09E-5</v>
      </c>
      <c r="G168" s="355">
        <v>0.43048090710511555</v>
      </c>
      <c r="H168" s="355">
        <v>0</v>
      </c>
      <c r="I168" s="355">
        <v>0.43048090710511555</v>
      </c>
      <c r="J168" s="358" t="s">
        <v>894</v>
      </c>
      <c r="K168" s="388" t="s">
        <v>897</v>
      </c>
      <c r="L168" s="389" t="s">
        <v>104</v>
      </c>
      <c r="M168" s="390"/>
      <c r="N168" s="390"/>
      <c r="O168"/>
      <c r="P168"/>
      <c r="Q168"/>
      <c r="R168"/>
      <c r="S168"/>
      <c r="T168"/>
      <c r="U168"/>
      <c r="V168"/>
    </row>
    <row r="169" spans="1:22" s="360" customFormat="1">
      <c r="A169" s="356" t="s">
        <v>898</v>
      </c>
      <c r="B169" s="385">
        <v>100</v>
      </c>
      <c r="C169" s="385">
        <v>50</v>
      </c>
      <c r="D169" s="386">
        <v>5.05</v>
      </c>
      <c r="E169" s="356">
        <v>9.1972809071051156</v>
      </c>
      <c r="F169" s="387">
        <v>8.7667999999999999</v>
      </c>
      <c r="G169" s="355">
        <v>0.43048090710511555</v>
      </c>
      <c r="H169" s="355">
        <v>0</v>
      </c>
      <c r="I169" s="355">
        <v>0.43048090710511555</v>
      </c>
      <c r="J169" s="358" t="s">
        <v>894</v>
      </c>
      <c r="K169" s="388" t="s">
        <v>899</v>
      </c>
      <c r="L169" s="389" t="s">
        <v>72</v>
      </c>
      <c r="M169" s="390"/>
      <c r="N169" s="390"/>
      <c r="O169"/>
      <c r="P169"/>
      <c r="Q169"/>
      <c r="R169"/>
      <c r="S169"/>
      <c r="T169"/>
      <c r="U169"/>
      <c r="V169"/>
    </row>
    <row r="170" spans="1:22" s="360" customFormat="1">
      <c r="A170" s="356" t="s">
        <v>900</v>
      </c>
      <c r="B170" s="385">
        <v>100</v>
      </c>
      <c r="C170" s="385">
        <v>60</v>
      </c>
      <c r="D170" s="386">
        <v>5.05</v>
      </c>
      <c r="E170" s="356">
        <v>10.742580907105117</v>
      </c>
      <c r="F170" s="387">
        <v>10.312100000000001</v>
      </c>
      <c r="G170" s="355">
        <v>0.43048090710511555</v>
      </c>
      <c r="H170" s="355">
        <v>0</v>
      </c>
      <c r="I170" s="355">
        <v>0.43048090710511555</v>
      </c>
      <c r="J170" s="358" t="s">
        <v>894</v>
      </c>
      <c r="K170" s="388" t="s">
        <v>901</v>
      </c>
      <c r="L170" s="389" t="s">
        <v>73</v>
      </c>
      <c r="M170" s="390"/>
      <c r="N170" s="390"/>
      <c r="O170"/>
      <c r="P170"/>
      <c r="Q170"/>
      <c r="R170"/>
      <c r="S170"/>
      <c r="T170"/>
      <c r="U170"/>
      <c r="V170"/>
    </row>
    <row r="171" spans="1:22" s="360" customFormat="1">
      <c r="A171" s="356" t="s">
        <v>902</v>
      </c>
      <c r="B171" s="385">
        <v>100</v>
      </c>
      <c r="C171" s="385">
        <v>95</v>
      </c>
      <c r="D171" s="386">
        <v>5.05</v>
      </c>
      <c r="E171" s="356">
        <v>13.318080907105115</v>
      </c>
      <c r="F171" s="387">
        <v>12.887599999999999</v>
      </c>
      <c r="G171" s="355">
        <v>0.43048090710511555</v>
      </c>
      <c r="H171" s="355">
        <v>0</v>
      </c>
      <c r="I171" s="355">
        <v>0.43048090710511555</v>
      </c>
      <c r="J171" s="358" t="s">
        <v>894</v>
      </c>
      <c r="K171" s="388" t="s">
        <v>903</v>
      </c>
      <c r="L171" s="389" t="s">
        <v>75</v>
      </c>
      <c r="M171" s="390"/>
      <c r="N171" s="390"/>
      <c r="O171"/>
      <c r="P171"/>
      <c r="Q171"/>
      <c r="R171"/>
      <c r="S171"/>
      <c r="T171"/>
      <c r="U171"/>
      <c r="V171"/>
    </row>
    <row r="172" spans="1:22" s="360" customFormat="1">
      <c r="A172" s="356" t="s">
        <v>904</v>
      </c>
      <c r="B172" s="385">
        <v>100</v>
      </c>
      <c r="C172" s="385">
        <v>145</v>
      </c>
      <c r="D172" s="386">
        <v>5.05</v>
      </c>
      <c r="E172" s="356">
        <v>18.479180907105114</v>
      </c>
      <c r="F172" s="387">
        <v>18.0487</v>
      </c>
      <c r="G172" s="355">
        <v>0.43048090710511555</v>
      </c>
      <c r="H172" s="355">
        <v>0</v>
      </c>
      <c r="I172" s="355">
        <v>0.43048090710511555</v>
      </c>
      <c r="J172" s="358" t="s">
        <v>894</v>
      </c>
      <c r="K172" s="388" t="s">
        <v>905</v>
      </c>
      <c r="L172" s="389" t="s">
        <v>76</v>
      </c>
      <c r="M172" s="390"/>
      <c r="N172" s="390"/>
      <c r="O172"/>
      <c r="P172"/>
      <c r="Q172"/>
      <c r="R172"/>
      <c r="S172"/>
      <c r="T172"/>
      <c r="U172"/>
      <c r="V172"/>
    </row>
    <row r="173" spans="1:22" s="360" customFormat="1">
      <c r="A173" s="356" t="s">
        <v>906</v>
      </c>
      <c r="B173" s="385">
        <v>100</v>
      </c>
      <c r="C173" s="385">
        <v>185</v>
      </c>
      <c r="D173" s="386">
        <v>5.05</v>
      </c>
      <c r="E173" s="356">
        <v>23.630180907105114</v>
      </c>
      <c r="F173" s="387">
        <v>23.1997</v>
      </c>
      <c r="G173" s="355">
        <v>0.43048090710511555</v>
      </c>
      <c r="H173" s="355">
        <v>0</v>
      </c>
      <c r="I173" s="355">
        <v>0.43048090710511555</v>
      </c>
      <c r="J173" s="358" t="s">
        <v>894</v>
      </c>
      <c r="K173" s="388" t="s">
        <v>907</v>
      </c>
      <c r="L173" s="389" t="s">
        <v>90</v>
      </c>
      <c r="M173" s="390"/>
      <c r="N173" s="390"/>
      <c r="O173"/>
      <c r="P173"/>
      <c r="Q173"/>
      <c r="R173"/>
      <c r="S173"/>
      <c r="T173"/>
      <c r="U173"/>
      <c r="V173"/>
    </row>
    <row r="174" spans="1:22" s="360" customFormat="1">
      <c r="A174" s="391" t="s">
        <v>908</v>
      </c>
      <c r="B174" s="392">
        <v>100</v>
      </c>
      <c r="C174" s="392">
        <v>225</v>
      </c>
      <c r="D174" s="392">
        <v>5.05</v>
      </c>
      <c r="E174" s="391">
        <v>28.791280907105111</v>
      </c>
      <c r="F174" s="393">
        <v>28.360799999999998</v>
      </c>
      <c r="G174" s="394">
        <v>0.43048090710511555</v>
      </c>
      <c r="H174" s="394">
        <v>0</v>
      </c>
      <c r="I174" s="394">
        <v>0.43048090710511555</v>
      </c>
      <c r="J174" s="395" t="s">
        <v>894</v>
      </c>
      <c r="K174" s="396" t="s">
        <v>909</v>
      </c>
      <c r="L174" s="396" t="s">
        <v>91</v>
      </c>
      <c r="M174" s="390"/>
      <c r="N174" s="390"/>
      <c r="O174"/>
      <c r="P174"/>
      <c r="Q174"/>
      <c r="R174"/>
      <c r="S174"/>
      <c r="T174"/>
      <c r="U174"/>
      <c r="V174"/>
    </row>
    <row r="175" spans="1:22" s="360" customFormat="1">
      <c r="A175" s="356" t="s">
        <v>910</v>
      </c>
      <c r="B175" s="385">
        <v>100</v>
      </c>
      <c r="C175" s="385">
        <v>10</v>
      </c>
      <c r="D175" s="386">
        <v>5.05</v>
      </c>
      <c r="E175" s="356">
        <v>0.43057180710511556</v>
      </c>
      <c r="F175" s="387">
        <v>9.09E-5</v>
      </c>
      <c r="G175" s="355">
        <v>0.43048090710511555</v>
      </c>
      <c r="H175" s="355">
        <v>0</v>
      </c>
      <c r="I175" s="355">
        <v>0.43048090710511555</v>
      </c>
      <c r="J175" s="358" t="s">
        <v>894</v>
      </c>
      <c r="K175" s="388" t="s">
        <v>895</v>
      </c>
      <c r="L175" s="389" t="s">
        <v>104</v>
      </c>
      <c r="M175" s="390"/>
      <c r="N175" s="390"/>
      <c r="O175"/>
      <c r="P175"/>
      <c r="Q175"/>
      <c r="R175"/>
      <c r="S175"/>
      <c r="T175"/>
      <c r="U175"/>
      <c r="V175"/>
    </row>
    <row r="176" spans="1:22" s="360" customFormat="1">
      <c r="A176" s="356" t="s">
        <v>911</v>
      </c>
      <c r="B176" s="385">
        <v>100</v>
      </c>
      <c r="C176" s="385">
        <v>35</v>
      </c>
      <c r="D176" s="386">
        <v>5.05</v>
      </c>
      <c r="E176" s="356">
        <v>0.43057180710511556</v>
      </c>
      <c r="F176" s="387">
        <v>9.09E-5</v>
      </c>
      <c r="G176" s="355">
        <v>0.43048090710511555</v>
      </c>
      <c r="H176" s="355">
        <v>0</v>
      </c>
      <c r="I176" s="355">
        <v>0.43048090710511555</v>
      </c>
      <c r="J176" s="358" t="s">
        <v>894</v>
      </c>
      <c r="K176" s="388" t="s">
        <v>897</v>
      </c>
      <c r="L176" s="389" t="s">
        <v>104</v>
      </c>
      <c r="M176" s="390"/>
      <c r="N176" s="390"/>
      <c r="O176"/>
      <c r="P176"/>
      <c r="Q176"/>
      <c r="R176"/>
      <c r="S176"/>
      <c r="T176"/>
      <c r="U176"/>
      <c r="V176"/>
    </row>
    <row r="177" spans="1:23" s="360" customFormat="1">
      <c r="A177" s="356" t="s">
        <v>912</v>
      </c>
      <c r="B177" s="385">
        <v>100</v>
      </c>
      <c r="C177" s="385">
        <v>50</v>
      </c>
      <c r="D177" s="386">
        <v>5.05</v>
      </c>
      <c r="E177" s="356">
        <v>9.1972809071051156</v>
      </c>
      <c r="F177" s="387">
        <v>8.7667999999999999</v>
      </c>
      <c r="G177" s="355">
        <v>0.43048090710511555</v>
      </c>
      <c r="H177" s="355">
        <v>0</v>
      </c>
      <c r="I177" s="355">
        <v>0.43048090710511555</v>
      </c>
      <c r="J177" s="358" t="s">
        <v>894</v>
      </c>
      <c r="K177" s="388" t="s">
        <v>899</v>
      </c>
      <c r="L177" s="389" t="s">
        <v>72</v>
      </c>
      <c r="M177" s="390"/>
      <c r="N177" s="390"/>
      <c r="O177"/>
      <c r="P177"/>
      <c r="Q177"/>
      <c r="R177"/>
      <c r="S177"/>
      <c r="T177"/>
      <c r="U177"/>
      <c r="V177"/>
    </row>
    <row r="178" spans="1:23" s="360" customFormat="1">
      <c r="A178" s="356" t="s">
        <v>913</v>
      </c>
      <c r="B178" s="385">
        <v>100</v>
      </c>
      <c r="C178" s="385">
        <v>60</v>
      </c>
      <c r="D178" s="386">
        <v>5.05</v>
      </c>
      <c r="E178" s="356">
        <v>10.742580907105117</v>
      </c>
      <c r="F178" s="387">
        <v>10.312100000000001</v>
      </c>
      <c r="G178" s="355">
        <v>0.43048090710511555</v>
      </c>
      <c r="H178" s="355">
        <v>0</v>
      </c>
      <c r="I178" s="355">
        <v>0.43048090710511555</v>
      </c>
      <c r="J178" s="358" t="s">
        <v>894</v>
      </c>
      <c r="K178" s="388" t="s">
        <v>901</v>
      </c>
      <c r="L178" s="389" t="s">
        <v>73</v>
      </c>
      <c r="M178" s="390"/>
      <c r="N178" s="390"/>
      <c r="O178"/>
      <c r="P178"/>
      <c r="Q178"/>
      <c r="R178"/>
      <c r="S178"/>
      <c r="T178"/>
      <c r="U178"/>
      <c r="V178"/>
    </row>
    <row r="179" spans="1:23" s="360" customFormat="1">
      <c r="A179" s="356" t="s">
        <v>914</v>
      </c>
      <c r="B179" s="385">
        <v>100</v>
      </c>
      <c r="C179" s="385">
        <v>95</v>
      </c>
      <c r="D179" s="386">
        <v>5.05</v>
      </c>
      <c r="E179" s="356">
        <v>13.318080907105115</v>
      </c>
      <c r="F179" s="387">
        <v>12.887599999999999</v>
      </c>
      <c r="G179" s="355">
        <v>0.43048090710511555</v>
      </c>
      <c r="H179" s="355">
        <v>0</v>
      </c>
      <c r="I179" s="355">
        <v>0.43048090710511555</v>
      </c>
      <c r="J179" s="358" t="s">
        <v>894</v>
      </c>
      <c r="K179" s="388" t="s">
        <v>903</v>
      </c>
      <c r="L179" s="389" t="s">
        <v>75</v>
      </c>
      <c r="M179" s="390"/>
      <c r="N179" s="390"/>
      <c r="O179"/>
      <c r="P179"/>
      <c r="Q179"/>
      <c r="R179"/>
      <c r="S179"/>
      <c r="T179"/>
      <c r="U179"/>
      <c r="V179"/>
    </row>
    <row r="180" spans="1:23" s="360" customFormat="1">
      <c r="A180" s="356" t="s">
        <v>915</v>
      </c>
      <c r="B180" s="385">
        <v>100</v>
      </c>
      <c r="C180" s="385">
        <v>145</v>
      </c>
      <c r="D180" s="386">
        <v>5.05</v>
      </c>
      <c r="E180" s="356">
        <v>18.479180907105114</v>
      </c>
      <c r="F180" s="387">
        <v>18.0487</v>
      </c>
      <c r="G180" s="355">
        <v>0.43048090710511555</v>
      </c>
      <c r="H180" s="355">
        <v>0</v>
      </c>
      <c r="I180" s="355">
        <v>0.43048090710511555</v>
      </c>
      <c r="J180" s="358" t="s">
        <v>894</v>
      </c>
      <c r="K180" s="388" t="s">
        <v>905</v>
      </c>
      <c r="L180" s="389" t="s">
        <v>76</v>
      </c>
      <c r="M180" s="390"/>
      <c r="N180" s="390"/>
      <c r="O180"/>
      <c r="P180"/>
      <c r="Q180"/>
      <c r="R180"/>
      <c r="S180"/>
      <c r="T180"/>
      <c r="U180"/>
      <c r="V180"/>
    </row>
    <row r="181" spans="1:23" s="360" customFormat="1">
      <c r="A181" s="356" t="s">
        <v>916</v>
      </c>
      <c r="B181" s="385">
        <v>100</v>
      </c>
      <c r="C181" s="385">
        <v>185</v>
      </c>
      <c r="D181" s="386">
        <v>5.05</v>
      </c>
      <c r="E181" s="356">
        <v>23.630180907105114</v>
      </c>
      <c r="F181" s="387">
        <v>23.1997</v>
      </c>
      <c r="G181" s="355">
        <v>0.43048090710511555</v>
      </c>
      <c r="H181" s="355">
        <v>0</v>
      </c>
      <c r="I181" s="355">
        <v>0.43048090710511555</v>
      </c>
      <c r="J181" s="358" t="s">
        <v>894</v>
      </c>
      <c r="K181" s="388" t="s">
        <v>907</v>
      </c>
      <c r="L181" s="389" t="s">
        <v>90</v>
      </c>
      <c r="M181" s="390"/>
      <c r="N181" s="390"/>
      <c r="O181"/>
      <c r="P181"/>
      <c r="Q181"/>
      <c r="R181"/>
      <c r="S181"/>
      <c r="T181"/>
      <c r="U181"/>
      <c r="V181"/>
    </row>
    <row r="182" spans="1:23" s="360" customFormat="1">
      <c r="A182" s="391" t="s">
        <v>917</v>
      </c>
      <c r="B182" s="392">
        <v>100</v>
      </c>
      <c r="C182" s="392">
        <v>225</v>
      </c>
      <c r="D182" s="392">
        <v>5.05</v>
      </c>
      <c r="E182" s="391">
        <v>28.791280907105111</v>
      </c>
      <c r="F182" s="393">
        <v>28.360799999999998</v>
      </c>
      <c r="G182" s="394">
        <v>0.43048090710511555</v>
      </c>
      <c r="H182" s="394">
        <v>0</v>
      </c>
      <c r="I182" s="394">
        <v>0.43048090710511555</v>
      </c>
      <c r="J182" s="395" t="s">
        <v>894</v>
      </c>
      <c r="K182" s="396" t="s">
        <v>909</v>
      </c>
      <c r="L182" s="396" t="s">
        <v>91</v>
      </c>
      <c r="M182" s="390"/>
      <c r="N182" s="390"/>
      <c r="O182"/>
      <c r="P182"/>
      <c r="Q182"/>
      <c r="R182"/>
      <c r="S182"/>
      <c r="T182"/>
      <c r="U182"/>
      <c r="V182"/>
    </row>
    <row r="183" spans="1:23" s="360" customFormat="1">
      <c r="A183" s="356" t="s">
        <v>918</v>
      </c>
      <c r="B183" s="385">
        <v>100</v>
      </c>
      <c r="C183" s="385">
        <v>10</v>
      </c>
      <c r="D183" s="386">
        <v>5.05</v>
      </c>
      <c r="E183" s="356">
        <v>0.43057180710511556</v>
      </c>
      <c r="F183" s="387">
        <v>9.09E-5</v>
      </c>
      <c r="G183" s="355">
        <v>0.43048090710511555</v>
      </c>
      <c r="H183" s="355">
        <v>0</v>
      </c>
      <c r="I183" s="355">
        <v>0.43048090710511555</v>
      </c>
      <c r="J183" s="358" t="s">
        <v>894</v>
      </c>
      <c r="K183" s="388" t="s">
        <v>895</v>
      </c>
      <c r="L183" s="389" t="s">
        <v>104</v>
      </c>
      <c r="M183" s="390"/>
      <c r="N183" s="390"/>
      <c r="O183"/>
      <c r="P183"/>
      <c r="Q183"/>
      <c r="R183"/>
      <c r="S183"/>
      <c r="T183"/>
      <c r="U183"/>
      <c r="V183"/>
    </row>
    <row r="184" spans="1:23" s="360" customFormat="1">
      <c r="A184" s="356" t="s">
        <v>919</v>
      </c>
      <c r="B184" s="385">
        <v>100</v>
      </c>
      <c r="C184" s="385">
        <v>35</v>
      </c>
      <c r="D184" s="386">
        <v>5.05</v>
      </c>
      <c r="E184" s="356">
        <v>0.43057180710511556</v>
      </c>
      <c r="F184" s="387">
        <v>9.09E-5</v>
      </c>
      <c r="G184" s="355">
        <v>0.43048090710511555</v>
      </c>
      <c r="H184" s="355">
        <v>0</v>
      </c>
      <c r="I184" s="355">
        <v>0.43048090710511555</v>
      </c>
      <c r="J184" s="358" t="s">
        <v>894</v>
      </c>
      <c r="K184" s="388" t="s">
        <v>897</v>
      </c>
      <c r="L184" s="389" t="s">
        <v>104</v>
      </c>
      <c r="M184" s="390"/>
      <c r="N184" s="390"/>
      <c r="O184"/>
      <c r="P184"/>
      <c r="Q184"/>
      <c r="R184"/>
      <c r="S184"/>
      <c r="T184"/>
      <c r="U184"/>
      <c r="V184"/>
    </row>
    <row r="185" spans="1:23" s="360" customFormat="1">
      <c r="A185" s="356" t="s">
        <v>920</v>
      </c>
      <c r="B185" s="385">
        <v>100</v>
      </c>
      <c r="C185" s="385">
        <v>50</v>
      </c>
      <c r="D185" s="386">
        <v>5.05</v>
      </c>
      <c r="E185" s="356">
        <v>9.1972809071051156</v>
      </c>
      <c r="F185" s="387">
        <v>8.7667999999999999</v>
      </c>
      <c r="G185" s="355">
        <v>0.43048090710511555</v>
      </c>
      <c r="H185" s="355">
        <v>0</v>
      </c>
      <c r="I185" s="355">
        <v>0.43048090710511555</v>
      </c>
      <c r="J185" s="358" t="s">
        <v>894</v>
      </c>
      <c r="K185" s="388" t="s">
        <v>899</v>
      </c>
      <c r="L185" s="389" t="s">
        <v>72</v>
      </c>
      <c r="M185" s="390"/>
      <c r="N185" s="390"/>
      <c r="O185"/>
      <c r="P185"/>
      <c r="Q185"/>
      <c r="R185"/>
      <c r="S185"/>
      <c r="T185"/>
      <c r="U185"/>
      <c r="V185"/>
    </row>
    <row r="186" spans="1:23" s="360" customFormat="1">
      <c r="A186" s="356" t="s">
        <v>921</v>
      </c>
      <c r="B186" s="385">
        <v>100</v>
      </c>
      <c r="C186" s="385">
        <v>60</v>
      </c>
      <c r="D186" s="386">
        <v>5.05</v>
      </c>
      <c r="E186" s="356">
        <v>10.742580907105117</v>
      </c>
      <c r="F186" s="387">
        <v>10.312100000000001</v>
      </c>
      <c r="G186" s="355">
        <v>0.43048090710511555</v>
      </c>
      <c r="H186" s="355">
        <v>0</v>
      </c>
      <c r="I186" s="355">
        <v>0.43048090710511555</v>
      </c>
      <c r="J186" s="358" t="s">
        <v>894</v>
      </c>
      <c r="K186" s="388" t="s">
        <v>901</v>
      </c>
      <c r="L186" s="389" t="s">
        <v>73</v>
      </c>
      <c r="M186" s="390"/>
      <c r="N186" s="390"/>
      <c r="O186"/>
      <c r="P186"/>
      <c r="Q186"/>
      <c r="R186"/>
      <c r="S186"/>
      <c r="T186"/>
      <c r="U186"/>
      <c r="V186"/>
    </row>
    <row r="187" spans="1:23" s="360" customFormat="1">
      <c r="A187" s="356" t="s">
        <v>922</v>
      </c>
      <c r="B187" s="385">
        <v>100</v>
      </c>
      <c r="C187" s="385">
        <v>95</v>
      </c>
      <c r="D187" s="386">
        <v>5.05</v>
      </c>
      <c r="E187" s="356">
        <v>13.318080907105115</v>
      </c>
      <c r="F187" s="387">
        <v>12.887599999999999</v>
      </c>
      <c r="G187" s="355">
        <v>0.43048090710511555</v>
      </c>
      <c r="H187" s="355">
        <v>0</v>
      </c>
      <c r="I187" s="355">
        <v>0.43048090710511555</v>
      </c>
      <c r="J187" s="358" t="s">
        <v>894</v>
      </c>
      <c r="K187" s="388" t="s">
        <v>903</v>
      </c>
      <c r="L187" s="389" t="s">
        <v>75</v>
      </c>
      <c r="M187" s="390"/>
      <c r="N187" s="390"/>
      <c r="O187"/>
      <c r="P187"/>
      <c r="Q187"/>
      <c r="R187"/>
      <c r="S187"/>
      <c r="T187"/>
      <c r="U187"/>
      <c r="V187"/>
    </row>
    <row r="188" spans="1:23" s="360" customFormat="1">
      <c r="A188" s="356" t="s">
        <v>923</v>
      </c>
      <c r="B188" s="385">
        <v>100</v>
      </c>
      <c r="C188" s="385">
        <v>145</v>
      </c>
      <c r="D188" s="386">
        <v>5.05</v>
      </c>
      <c r="E188" s="356">
        <v>18.479180907105114</v>
      </c>
      <c r="F188" s="387">
        <v>18.0487</v>
      </c>
      <c r="G188" s="355">
        <v>0.43048090710511555</v>
      </c>
      <c r="H188" s="355">
        <v>0</v>
      </c>
      <c r="I188" s="355">
        <v>0.43048090710511555</v>
      </c>
      <c r="J188" s="358" t="s">
        <v>894</v>
      </c>
      <c r="K188" s="388" t="s">
        <v>905</v>
      </c>
      <c r="L188" s="389" t="s">
        <v>76</v>
      </c>
      <c r="M188" s="390"/>
      <c r="N188" s="390"/>
      <c r="O188"/>
      <c r="P188"/>
      <c r="Q188"/>
      <c r="R188"/>
      <c r="S188"/>
      <c r="T188"/>
      <c r="U188"/>
      <c r="V188"/>
    </row>
    <row r="189" spans="1:23" s="360" customFormat="1">
      <c r="A189" s="356" t="s">
        <v>924</v>
      </c>
      <c r="B189" s="385">
        <v>100</v>
      </c>
      <c r="C189" s="385">
        <v>185</v>
      </c>
      <c r="D189" s="386">
        <v>5.05</v>
      </c>
      <c r="E189" s="356">
        <v>23.630180907105114</v>
      </c>
      <c r="F189" s="387">
        <v>23.1997</v>
      </c>
      <c r="G189" s="355">
        <v>0.43048090710511555</v>
      </c>
      <c r="H189" s="355">
        <v>0</v>
      </c>
      <c r="I189" s="355">
        <v>0.43048090710511555</v>
      </c>
      <c r="J189" s="358" t="s">
        <v>894</v>
      </c>
      <c r="K189" s="388" t="s">
        <v>907</v>
      </c>
      <c r="L189" s="389" t="s">
        <v>90</v>
      </c>
      <c r="M189" s="390"/>
      <c r="N189" s="390"/>
      <c r="O189"/>
      <c r="P189"/>
      <c r="Q189"/>
      <c r="R189"/>
      <c r="S189"/>
      <c r="T189"/>
      <c r="U189"/>
      <c r="V189"/>
    </row>
    <row r="190" spans="1:23" s="360" customFormat="1">
      <c r="A190" s="391" t="s">
        <v>925</v>
      </c>
      <c r="B190" s="392">
        <v>100</v>
      </c>
      <c r="C190" s="392">
        <v>225</v>
      </c>
      <c r="D190" s="392">
        <v>5.05</v>
      </c>
      <c r="E190" s="391">
        <v>28.791280907105111</v>
      </c>
      <c r="F190" s="393">
        <v>28.360799999999998</v>
      </c>
      <c r="G190" s="394">
        <v>0.43048090710511555</v>
      </c>
      <c r="H190" s="394">
        <v>0</v>
      </c>
      <c r="I190" s="394">
        <v>0.43048090710511555</v>
      </c>
      <c r="J190" s="395" t="s">
        <v>894</v>
      </c>
      <c r="K190" s="396" t="s">
        <v>909</v>
      </c>
      <c r="L190" s="396" t="s">
        <v>91</v>
      </c>
      <c r="M190" s="390"/>
      <c r="N190" s="390"/>
      <c r="O190"/>
      <c r="P190"/>
      <c r="Q190"/>
      <c r="R190"/>
      <c r="S190"/>
      <c r="T190"/>
      <c r="U190"/>
      <c r="V190"/>
      <c r="W190" s="397"/>
    </row>
    <row r="191" spans="1:23" s="360" customFormat="1">
      <c r="A191" s="356"/>
      <c r="B191" s="385"/>
      <c r="C191" s="385"/>
      <c r="D191" s="385"/>
      <c r="E191" s="385"/>
      <c r="F191" s="383"/>
      <c r="G191" s="356"/>
      <c r="H191" s="356"/>
      <c r="I191" s="356"/>
      <c r="J191" s="398"/>
      <c r="K191" s="359"/>
      <c r="M191" s="390"/>
      <c r="N191" s="390"/>
      <c r="O191"/>
      <c r="P191"/>
      <c r="Q191"/>
      <c r="R191"/>
      <c r="S191"/>
      <c r="T191"/>
      <c r="U191"/>
      <c r="V191"/>
      <c r="W191" s="397"/>
    </row>
    <row r="192" spans="1:23">
      <c r="E192" s="399"/>
      <c r="F192" s="399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6"/>
  <sheetViews>
    <sheetView workbookViewId="0"/>
  </sheetViews>
  <sheetFormatPr defaultColWidth="10.28515625" defaultRowHeight="15"/>
  <cols>
    <col min="1" max="1" width="101.42578125" style="344" customWidth="1"/>
    <col min="2" max="2" width="78.28515625" style="344" customWidth="1"/>
    <col min="3" max="3" width="30.5703125" style="344" customWidth="1"/>
    <col min="4" max="4" width="30.42578125" style="344" customWidth="1"/>
    <col min="5" max="5" width="26.42578125" style="344" customWidth="1"/>
    <col min="6" max="6" width="30.140625" style="344" customWidth="1"/>
    <col min="7" max="10" width="41.28515625" style="344" customWidth="1"/>
    <col min="11" max="11" width="45.5703125" style="344" bestFit="1" customWidth="1"/>
    <col min="12" max="12" width="97.140625" style="400" bestFit="1" customWidth="1"/>
    <col min="13" max="13" width="35.140625" style="400" customWidth="1"/>
    <col min="14" max="16384" width="10.28515625" style="400"/>
  </cols>
  <sheetData>
    <row r="1" spans="1:13" s="344" customFormat="1">
      <c r="A1" t="s">
        <v>926</v>
      </c>
      <c r="C1" s="399"/>
      <c r="E1" s="399"/>
      <c r="F1" s="399"/>
    </row>
    <row r="2" spans="1:13" s="344" customFormat="1" ht="15.75" thickBot="1">
      <c r="C2" s="344" t="s">
        <v>417</v>
      </c>
      <c r="D2" s="344" t="s">
        <v>417</v>
      </c>
      <c r="E2" s="344" t="s">
        <v>544</v>
      </c>
      <c r="F2" s="345" t="s">
        <v>723</v>
      </c>
      <c r="H2" s="345"/>
      <c r="I2" s="345"/>
      <c r="J2" s="345"/>
    </row>
    <row r="3" spans="1:13" s="344" customFormat="1" ht="30.75" thickBot="1">
      <c r="A3" s="401" t="s">
        <v>418</v>
      </c>
      <c r="B3" s="402" t="s">
        <v>927</v>
      </c>
      <c r="C3" s="402" t="s">
        <v>419</v>
      </c>
      <c r="D3" s="402" t="s">
        <v>420</v>
      </c>
      <c r="E3" s="402" t="s">
        <v>421</v>
      </c>
      <c r="F3" s="403" t="s">
        <v>724</v>
      </c>
      <c r="G3" s="404" t="s">
        <v>725</v>
      </c>
      <c r="H3" s="405" t="s">
        <v>928</v>
      </c>
      <c r="I3" s="405" t="s">
        <v>929</v>
      </c>
      <c r="J3" s="405" t="s">
        <v>930</v>
      </c>
      <c r="K3" s="403" t="s">
        <v>549</v>
      </c>
      <c r="L3" s="406" t="s">
        <v>550</v>
      </c>
      <c r="M3" s="407" t="s">
        <v>551</v>
      </c>
    </row>
    <row r="4" spans="1:13">
      <c r="A4" s="408" t="s">
        <v>159</v>
      </c>
      <c r="B4" s="409"/>
      <c r="C4" s="410">
        <v>250</v>
      </c>
      <c r="D4" s="411"/>
      <c r="E4" s="410"/>
      <c r="F4" s="410"/>
      <c r="G4" s="412"/>
      <c r="H4" s="413"/>
      <c r="I4" s="413"/>
      <c r="J4" s="413"/>
      <c r="K4" s="398"/>
      <c r="L4" s="414"/>
      <c r="M4" s="415"/>
    </row>
    <row r="5" spans="1:13">
      <c r="A5" s="416" t="s">
        <v>931</v>
      </c>
      <c r="B5" s="271" t="s">
        <v>931</v>
      </c>
      <c r="C5" s="417" t="e">
        <v>#VALUE!</v>
      </c>
      <c r="D5" s="413" t="s">
        <v>542</v>
      </c>
      <c r="E5" s="417">
        <v>5.05</v>
      </c>
      <c r="F5" s="417" t="e">
        <v>#N/A</v>
      </c>
      <c r="G5" s="418" t="e">
        <v>#N/A</v>
      </c>
      <c r="H5" s="411">
        <v>5.4237493259877363</v>
      </c>
      <c r="I5" s="411">
        <v>0.43048090710511555</v>
      </c>
      <c r="J5" s="411">
        <v>5.854230233092852</v>
      </c>
      <c r="K5" s="398" t="s">
        <v>932</v>
      </c>
      <c r="L5" s="414"/>
      <c r="M5" s="415"/>
    </row>
    <row r="6" spans="1:13">
      <c r="A6" s="416" t="s">
        <v>933</v>
      </c>
      <c r="B6" s="271" t="s">
        <v>933</v>
      </c>
      <c r="C6" s="417">
        <v>150</v>
      </c>
      <c r="D6" s="413">
        <v>210</v>
      </c>
      <c r="E6" s="417">
        <v>5.05</v>
      </c>
      <c r="F6" s="417">
        <v>13.590830233092852</v>
      </c>
      <c r="G6" s="418">
        <v>7.7366000000000001</v>
      </c>
      <c r="H6" s="411">
        <v>5.4237493259877363</v>
      </c>
      <c r="I6" s="411">
        <v>0.43048090710511555</v>
      </c>
      <c r="J6" s="411">
        <v>5.854230233092852</v>
      </c>
      <c r="K6" s="398" t="s">
        <v>932</v>
      </c>
      <c r="L6" s="414"/>
      <c r="M6" s="415"/>
    </row>
    <row r="7" spans="1:13">
      <c r="A7" s="416" t="s">
        <v>934</v>
      </c>
      <c r="B7" s="271" t="s">
        <v>934</v>
      </c>
      <c r="C7" s="417">
        <v>150</v>
      </c>
      <c r="D7" s="413">
        <v>296</v>
      </c>
      <c r="E7" s="417">
        <v>5.05</v>
      </c>
      <c r="F7" s="417">
        <v>16.166330233092854</v>
      </c>
      <c r="G7" s="418">
        <v>10.312100000000001</v>
      </c>
      <c r="H7" s="411">
        <v>5.4237493259877363</v>
      </c>
      <c r="I7" s="411">
        <v>0.43048090710511555</v>
      </c>
      <c r="J7" s="411">
        <v>5.854230233092852</v>
      </c>
      <c r="K7" s="398" t="s">
        <v>932</v>
      </c>
      <c r="L7" s="414"/>
      <c r="M7" s="415"/>
    </row>
    <row r="8" spans="1:13">
      <c r="A8" s="416" t="s">
        <v>935</v>
      </c>
      <c r="B8" s="271" t="s">
        <v>935</v>
      </c>
      <c r="C8" s="417">
        <v>150</v>
      </c>
      <c r="D8" s="413">
        <v>442</v>
      </c>
      <c r="E8" s="417">
        <v>5.05</v>
      </c>
      <c r="F8" s="417">
        <v>21.317330233092854</v>
      </c>
      <c r="G8" s="418">
        <v>15.463100000000001</v>
      </c>
      <c r="H8" s="411">
        <v>5.4237493259877363</v>
      </c>
      <c r="I8" s="411">
        <v>0.43048090710511555</v>
      </c>
      <c r="J8" s="411">
        <v>5.854230233092852</v>
      </c>
      <c r="K8" s="398" t="s">
        <v>932</v>
      </c>
      <c r="L8" s="414"/>
      <c r="M8" s="415"/>
    </row>
    <row r="9" spans="1:13">
      <c r="A9" s="416" t="s">
        <v>936</v>
      </c>
      <c r="B9" s="271" t="s">
        <v>936</v>
      </c>
      <c r="C9" s="417">
        <v>150</v>
      </c>
      <c r="D9" s="413">
        <v>155</v>
      </c>
      <c r="E9" s="417">
        <v>5.05</v>
      </c>
      <c r="F9" s="417">
        <v>13.590830233092852</v>
      </c>
      <c r="G9" s="418">
        <v>7.7366000000000001</v>
      </c>
      <c r="H9" s="411">
        <v>5.4237493259877363</v>
      </c>
      <c r="I9" s="411">
        <v>0.43048090710511555</v>
      </c>
      <c r="J9" s="411">
        <v>5.854230233092852</v>
      </c>
      <c r="K9" s="398" t="s">
        <v>932</v>
      </c>
      <c r="L9" s="414"/>
      <c r="M9" s="415"/>
    </row>
    <row r="10" spans="1:13">
      <c r="A10" s="416" t="s">
        <v>937</v>
      </c>
      <c r="B10" s="271" t="s">
        <v>937</v>
      </c>
      <c r="C10" s="417">
        <v>150</v>
      </c>
      <c r="D10" s="413">
        <v>534</v>
      </c>
      <c r="E10" s="417">
        <v>5.05</v>
      </c>
      <c r="F10" s="417">
        <v>25.185630233092855</v>
      </c>
      <c r="G10" s="418">
        <v>19.331400000000002</v>
      </c>
      <c r="H10" s="411">
        <v>5.4237493259877363</v>
      </c>
      <c r="I10" s="411">
        <v>0.43048090710511555</v>
      </c>
      <c r="J10" s="411">
        <v>5.854230233092852</v>
      </c>
      <c r="K10" s="398" t="s">
        <v>932</v>
      </c>
      <c r="L10" s="414"/>
      <c r="M10" s="415"/>
    </row>
    <row r="11" spans="1:13">
      <c r="A11" s="416" t="s">
        <v>938</v>
      </c>
      <c r="B11" s="271" t="s">
        <v>938</v>
      </c>
      <c r="C11" s="417">
        <v>150</v>
      </c>
      <c r="D11" s="413">
        <v>250</v>
      </c>
      <c r="E11" s="417">
        <v>5.05</v>
      </c>
      <c r="F11" s="417">
        <v>15.136130233092853</v>
      </c>
      <c r="G11" s="418">
        <v>9.2819000000000003</v>
      </c>
      <c r="H11" s="411">
        <v>5.4237493259877363</v>
      </c>
      <c r="I11" s="411">
        <v>0.43048090710511555</v>
      </c>
      <c r="J11" s="411">
        <v>5.854230233092852</v>
      </c>
      <c r="K11" s="398" t="s">
        <v>932</v>
      </c>
      <c r="L11" s="414"/>
      <c r="M11" s="415"/>
    </row>
    <row r="12" spans="1:13">
      <c r="A12" s="416" t="s">
        <v>939</v>
      </c>
      <c r="B12" s="271" t="s">
        <v>939</v>
      </c>
      <c r="C12" s="417">
        <v>150</v>
      </c>
      <c r="D12" s="413">
        <v>220</v>
      </c>
      <c r="E12" s="417">
        <v>5.05</v>
      </c>
      <c r="F12" s="417">
        <v>13.590830233092852</v>
      </c>
      <c r="G12" s="418">
        <v>7.7366000000000001</v>
      </c>
      <c r="H12" s="411">
        <v>5.4237493259877363</v>
      </c>
      <c r="I12" s="411">
        <v>0.43048090710511555</v>
      </c>
      <c r="J12" s="411">
        <v>5.854230233092852</v>
      </c>
      <c r="K12" s="398" t="s">
        <v>932</v>
      </c>
      <c r="L12" s="414"/>
      <c r="M12" s="415"/>
    </row>
    <row r="13" spans="1:13">
      <c r="A13" s="416" t="s">
        <v>940</v>
      </c>
      <c r="B13" s="271" t="s">
        <v>940</v>
      </c>
      <c r="C13" s="417">
        <v>150</v>
      </c>
      <c r="D13" s="413">
        <v>360</v>
      </c>
      <c r="E13" s="417">
        <v>5.05</v>
      </c>
      <c r="F13" s="417">
        <v>23.902930233092853</v>
      </c>
      <c r="G13" s="418">
        <v>18.0487</v>
      </c>
      <c r="H13" s="411">
        <v>5.4237493259877363</v>
      </c>
      <c r="I13" s="411">
        <v>0.43048090710511555</v>
      </c>
      <c r="J13" s="411">
        <v>5.854230233092852</v>
      </c>
      <c r="K13" s="398" t="s">
        <v>932</v>
      </c>
      <c r="L13" s="414"/>
      <c r="M13" s="415"/>
    </row>
    <row r="14" spans="1:13">
      <c r="A14" s="416" t="s">
        <v>941</v>
      </c>
      <c r="B14" s="271" t="s">
        <v>941</v>
      </c>
      <c r="C14" s="417">
        <v>150</v>
      </c>
      <c r="D14" s="413">
        <v>230</v>
      </c>
      <c r="E14" s="417">
        <v>5.05</v>
      </c>
      <c r="F14" s="417">
        <v>16.166330233092854</v>
      </c>
      <c r="G14" s="418">
        <v>10.312100000000001</v>
      </c>
      <c r="H14" s="411">
        <v>5.4237493259877363</v>
      </c>
      <c r="I14" s="411">
        <v>0.43048090710511555</v>
      </c>
      <c r="J14" s="411">
        <v>5.854230233092852</v>
      </c>
      <c r="K14" s="398" t="s">
        <v>932</v>
      </c>
      <c r="L14" s="414"/>
      <c r="M14" s="415"/>
    </row>
    <row r="15" spans="1:13">
      <c r="A15" s="416" t="s">
        <v>942</v>
      </c>
      <c r="B15" s="271" t="s">
        <v>942</v>
      </c>
      <c r="C15" s="417">
        <v>150</v>
      </c>
      <c r="D15" s="413">
        <v>274</v>
      </c>
      <c r="E15" s="417">
        <v>5.05</v>
      </c>
      <c r="F15" s="417">
        <v>16.166330233092854</v>
      </c>
      <c r="G15" s="418">
        <v>10.312100000000001</v>
      </c>
      <c r="H15" s="411">
        <v>5.4237493259877363</v>
      </c>
      <c r="I15" s="411">
        <v>0.43048090710511555</v>
      </c>
      <c r="J15" s="411">
        <v>5.854230233092852</v>
      </c>
      <c r="K15" s="398" t="s">
        <v>932</v>
      </c>
      <c r="L15" s="414"/>
      <c r="M15" s="415"/>
    </row>
    <row r="16" spans="1:13">
      <c r="A16" s="416" t="s">
        <v>943</v>
      </c>
      <c r="B16" s="271" t="s">
        <v>943</v>
      </c>
      <c r="C16" s="417">
        <v>150</v>
      </c>
      <c r="D16" s="413">
        <v>485</v>
      </c>
      <c r="E16" s="417">
        <v>5.05</v>
      </c>
      <c r="F16" s="417">
        <v>29.053930233092853</v>
      </c>
      <c r="G16" s="418">
        <v>23.1997</v>
      </c>
      <c r="H16" s="411">
        <v>5.4237493259877363</v>
      </c>
      <c r="I16" s="411">
        <v>0.43048090710511555</v>
      </c>
      <c r="J16" s="411">
        <v>5.854230233092852</v>
      </c>
      <c r="K16" s="398" t="s">
        <v>932</v>
      </c>
      <c r="L16" s="414"/>
      <c r="M16" s="415"/>
    </row>
    <row r="17" spans="1:13">
      <c r="A17" s="416" t="s">
        <v>944</v>
      </c>
      <c r="B17" s="271" t="s">
        <v>944</v>
      </c>
      <c r="C17" s="417">
        <v>150</v>
      </c>
      <c r="D17" s="413">
        <v>508</v>
      </c>
      <c r="E17" s="417">
        <v>5.05</v>
      </c>
      <c r="F17" s="417">
        <v>23.902930233092853</v>
      </c>
      <c r="G17" s="418">
        <v>18.0487</v>
      </c>
      <c r="H17" s="411">
        <v>5.4237493259877363</v>
      </c>
      <c r="I17" s="411">
        <v>0.43048090710511555</v>
      </c>
      <c r="J17" s="411">
        <v>5.854230233092852</v>
      </c>
      <c r="K17" s="398" t="s">
        <v>932</v>
      </c>
      <c r="L17" s="414"/>
      <c r="M17" s="415"/>
    </row>
    <row r="18" spans="1:13">
      <c r="A18" s="416" t="s">
        <v>945</v>
      </c>
      <c r="B18" s="271" t="s">
        <v>945</v>
      </c>
      <c r="C18" s="417" t="e">
        <v>#VALUE!</v>
      </c>
      <c r="D18" s="413" t="s">
        <v>542</v>
      </c>
      <c r="E18" s="417">
        <v>5.05</v>
      </c>
      <c r="F18" s="417">
        <v>29.053930233092853</v>
      </c>
      <c r="G18" s="418">
        <v>23.1997</v>
      </c>
      <c r="H18" s="411">
        <v>5.4237493259877363</v>
      </c>
      <c r="I18" s="411">
        <v>0.43048090710511555</v>
      </c>
      <c r="J18" s="411">
        <v>5.854230233092852</v>
      </c>
      <c r="K18" s="398" t="s">
        <v>932</v>
      </c>
      <c r="L18" s="414"/>
      <c r="M18" s="415"/>
    </row>
    <row r="19" spans="1:13">
      <c r="A19" s="416" t="s">
        <v>946</v>
      </c>
      <c r="B19" s="271" t="s">
        <v>946</v>
      </c>
      <c r="C19" s="417">
        <v>150</v>
      </c>
      <c r="D19" s="413">
        <v>328</v>
      </c>
      <c r="E19" s="417">
        <v>5.05</v>
      </c>
      <c r="F19" s="417">
        <v>18.741830233092852</v>
      </c>
      <c r="G19" s="418">
        <v>12.887599999999999</v>
      </c>
      <c r="H19" s="411">
        <v>5.4237493259877363</v>
      </c>
      <c r="I19" s="411">
        <v>0.43048090710511555</v>
      </c>
      <c r="J19" s="411">
        <v>5.854230233092852</v>
      </c>
      <c r="K19" s="398" t="s">
        <v>932</v>
      </c>
      <c r="L19" s="414"/>
      <c r="M19" s="415"/>
    </row>
    <row r="20" spans="1:13">
      <c r="A20" s="416" t="s">
        <v>947</v>
      </c>
      <c r="B20" s="271" t="s">
        <v>947</v>
      </c>
      <c r="C20" s="417">
        <v>150</v>
      </c>
      <c r="D20" s="413">
        <v>570</v>
      </c>
      <c r="E20" s="417">
        <v>5.05</v>
      </c>
      <c r="F20" s="417">
        <v>34.215030233092847</v>
      </c>
      <c r="G20" s="418">
        <v>28.360799999999998</v>
      </c>
      <c r="H20" s="411">
        <v>5.4237493259877363</v>
      </c>
      <c r="I20" s="411">
        <v>0.43048090710511555</v>
      </c>
      <c r="J20" s="411">
        <v>5.854230233092852</v>
      </c>
      <c r="K20" s="398" t="s">
        <v>932</v>
      </c>
      <c r="L20" s="414"/>
      <c r="M20" s="415"/>
    </row>
    <row r="21" spans="1:13">
      <c r="A21" s="416" t="s">
        <v>948</v>
      </c>
      <c r="B21" s="271" t="s">
        <v>948</v>
      </c>
      <c r="C21" s="417" t="e">
        <v>#VALUE!</v>
      </c>
      <c r="D21" s="413" t="s">
        <v>542</v>
      </c>
      <c r="E21" s="417">
        <v>5.05</v>
      </c>
      <c r="F21" s="417">
        <v>13.590830233092852</v>
      </c>
      <c r="G21" s="418">
        <v>7.7366000000000001</v>
      </c>
      <c r="H21" s="411">
        <v>5.4237493259877363</v>
      </c>
      <c r="I21" s="411">
        <v>0.43048090710511555</v>
      </c>
      <c r="J21" s="411">
        <v>5.854230233092852</v>
      </c>
      <c r="K21" s="398" t="s">
        <v>932</v>
      </c>
      <c r="L21" s="414"/>
      <c r="M21" s="415"/>
    </row>
    <row r="22" spans="1:13">
      <c r="A22" s="416" t="s">
        <v>949</v>
      </c>
      <c r="B22" s="271" t="s">
        <v>949</v>
      </c>
      <c r="C22" s="417">
        <v>150</v>
      </c>
      <c r="D22" s="413">
        <v>120</v>
      </c>
      <c r="E22" s="417">
        <v>5.05</v>
      </c>
      <c r="F22" s="417">
        <v>13.590830233092852</v>
      </c>
      <c r="G22" s="418">
        <v>7.7366000000000001</v>
      </c>
      <c r="H22" s="411">
        <v>5.4237493259877363</v>
      </c>
      <c r="I22" s="411">
        <v>0.43048090710511555</v>
      </c>
      <c r="J22" s="411">
        <v>5.854230233092852</v>
      </c>
      <c r="K22" s="398" t="s">
        <v>932</v>
      </c>
      <c r="L22" s="414"/>
      <c r="M22" s="415"/>
    </row>
    <row r="23" spans="1:13">
      <c r="A23" s="416" t="s">
        <v>950</v>
      </c>
      <c r="B23" s="271" t="s">
        <v>950</v>
      </c>
      <c r="C23" s="417">
        <v>150</v>
      </c>
      <c r="D23" s="413">
        <v>384</v>
      </c>
      <c r="E23" s="417">
        <v>5.05</v>
      </c>
      <c r="F23" s="417">
        <v>18.741830233092852</v>
      </c>
      <c r="G23" s="418">
        <v>12.887599999999999</v>
      </c>
      <c r="H23" s="411">
        <v>5.4237493259877363</v>
      </c>
      <c r="I23" s="411">
        <v>0.43048090710511555</v>
      </c>
      <c r="J23" s="411">
        <v>5.854230233092852</v>
      </c>
      <c r="K23" s="398" t="s">
        <v>932</v>
      </c>
      <c r="L23" s="414"/>
      <c r="M23" s="415"/>
    </row>
    <row r="24" spans="1:13">
      <c r="A24" s="416" t="s">
        <v>951</v>
      </c>
      <c r="B24" s="271" t="s">
        <v>951</v>
      </c>
      <c r="C24" s="417" t="e">
        <v>#VALUE!</v>
      </c>
      <c r="D24" s="413" t="s">
        <v>542</v>
      </c>
      <c r="E24" s="417">
        <v>5.05</v>
      </c>
      <c r="F24" s="417">
        <v>23.902930233092853</v>
      </c>
      <c r="G24" s="418">
        <v>18.0487</v>
      </c>
      <c r="H24" s="411">
        <v>5.4237493259877363</v>
      </c>
      <c r="I24" s="411">
        <v>0.43048090710511555</v>
      </c>
      <c r="J24" s="411">
        <v>5.854230233092852</v>
      </c>
      <c r="K24" s="398" t="s">
        <v>932</v>
      </c>
      <c r="L24" s="414"/>
      <c r="M24" s="415"/>
    </row>
    <row r="25" spans="1:13">
      <c r="A25" s="416" t="s">
        <v>952</v>
      </c>
      <c r="B25" s="271" t="s">
        <v>952</v>
      </c>
      <c r="C25" s="417">
        <v>150</v>
      </c>
      <c r="D25" s="413">
        <v>69</v>
      </c>
      <c r="E25" s="417">
        <v>5.05</v>
      </c>
      <c r="F25" s="417">
        <v>13.590830233092852</v>
      </c>
      <c r="G25" s="418">
        <v>7.7366000000000001</v>
      </c>
      <c r="H25" s="411">
        <v>5.4237493259877363</v>
      </c>
      <c r="I25" s="411">
        <v>0.43048090710511555</v>
      </c>
      <c r="J25" s="411">
        <v>5.854230233092852</v>
      </c>
      <c r="K25" s="398" t="s">
        <v>932</v>
      </c>
      <c r="L25" s="414"/>
      <c r="M25" s="415"/>
    </row>
    <row r="26" spans="1:13">
      <c r="A26" s="416" t="s">
        <v>953</v>
      </c>
      <c r="B26" s="271" t="s">
        <v>953</v>
      </c>
      <c r="C26" s="417">
        <v>150</v>
      </c>
      <c r="D26" s="413">
        <v>254</v>
      </c>
      <c r="E26" s="417">
        <v>5.05</v>
      </c>
      <c r="F26" s="417">
        <v>23.902930233092853</v>
      </c>
      <c r="G26" s="418">
        <v>18.0487</v>
      </c>
      <c r="H26" s="411">
        <v>5.4237493259877363</v>
      </c>
      <c r="I26" s="411">
        <v>0.43048090710511555</v>
      </c>
      <c r="J26" s="411">
        <v>5.854230233092852</v>
      </c>
      <c r="K26" s="398" t="s">
        <v>932</v>
      </c>
      <c r="L26" s="414"/>
      <c r="M26" s="415"/>
    </row>
    <row r="27" spans="1:13">
      <c r="A27" s="416" t="s">
        <v>954</v>
      </c>
      <c r="B27" s="271" t="s">
        <v>954</v>
      </c>
      <c r="C27" s="417">
        <v>150</v>
      </c>
      <c r="D27" s="413">
        <v>41</v>
      </c>
      <c r="E27" s="417">
        <v>5.05</v>
      </c>
      <c r="F27" s="417">
        <v>13.590830233092852</v>
      </c>
      <c r="G27" s="418">
        <v>7.7366000000000001</v>
      </c>
      <c r="H27" s="411">
        <v>5.4237493259877363</v>
      </c>
      <c r="I27" s="411">
        <v>0.43048090710511555</v>
      </c>
      <c r="J27" s="411">
        <v>5.854230233092852</v>
      </c>
      <c r="K27" s="398" t="s">
        <v>932</v>
      </c>
      <c r="L27" s="414"/>
      <c r="M27" s="415"/>
    </row>
    <row r="28" spans="1:13">
      <c r="A28" s="416" t="s">
        <v>955</v>
      </c>
      <c r="B28" s="271" t="s">
        <v>955</v>
      </c>
      <c r="C28" s="417">
        <v>150</v>
      </c>
      <c r="D28" s="413">
        <v>51</v>
      </c>
      <c r="E28" s="417">
        <v>5.05</v>
      </c>
      <c r="F28" s="417">
        <v>13.590830233092852</v>
      </c>
      <c r="G28" s="418">
        <v>7.7366000000000001</v>
      </c>
      <c r="H28" s="411">
        <v>5.4237493259877363</v>
      </c>
      <c r="I28" s="411">
        <v>0.43048090710511555</v>
      </c>
      <c r="J28" s="411">
        <v>5.854230233092852</v>
      </c>
      <c r="K28" s="398" t="s">
        <v>932</v>
      </c>
      <c r="L28" s="414"/>
      <c r="M28" s="415"/>
    </row>
    <row r="29" spans="1:13">
      <c r="A29" s="416" t="s">
        <v>956</v>
      </c>
      <c r="B29" s="271" t="s">
        <v>956</v>
      </c>
      <c r="C29" s="417">
        <v>150</v>
      </c>
      <c r="D29" s="413">
        <v>221</v>
      </c>
      <c r="E29" s="417">
        <v>5.05</v>
      </c>
      <c r="F29" s="417">
        <v>21.317330233092854</v>
      </c>
      <c r="G29" s="418">
        <v>15.463100000000001</v>
      </c>
      <c r="H29" s="411">
        <v>5.4237493259877363</v>
      </c>
      <c r="I29" s="411">
        <v>0.43048090710511555</v>
      </c>
      <c r="J29" s="411">
        <v>5.854230233092852</v>
      </c>
      <c r="K29" s="398" t="s">
        <v>932</v>
      </c>
      <c r="L29" s="414"/>
      <c r="M29" s="415"/>
    </row>
    <row r="30" spans="1:13">
      <c r="A30" s="416" t="s">
        <v>957</v>
      </c>
      <c r="B30" s="271" t="s">
        <v>957</v>
      </c>
      <c r="C30" s="417">
        <v>150</v>
      </c>
      <c r="D30" s="413">
        <v>183</v>
      </c>
      <c r="E30" s="417">
        <v>5.05</v>
      </c>
      <c r="F30" s="417">
        <v>29.053930233092853</v>
      </c>
      <c r="G30" s="418">
        <v>23.1997</v>
      </c>
      <c r="H30" s="411">
        <v>5.4237493259877363</v>
      </c>
      <c r="I30" s="411">
        <v>0.43048090710511555</v>
      </c>
      <c r="J30" s="411">
        <v>5.854230233092852</v>
      </c>
      <c r="K30" s="398" t="s">
        <v>932</v>
      </c>
      <c r="L30" s="414"/>
      <c r="M30" s="415"/>
    </row>
    <row r="31" spans="1:13">
      <c r="A31" s="416" t="s">
        <v>958</v>
      </c>
      <c r="B31" s="271" t="s">
        <v>958</v>
      </c>
      <c r="C31" s="417">
        <v>150</v>
      </c>
      <c r="D31" s="413">
        <v>83</v>
      </c>
      <c r="E31" s="417">
        <v>5.05</v>
      </c>
      <c r="F31" s="417">
        <v>15.136130233092853</v>
      </c>
      <c r="G31" s="418">
        <v>9.2819000000000003</v>
      </c>
      <c r="H31" s="411">
        <v>5.4237493259877363</v>
      </c>
      <c r="I31" s="411">
        <v>0.43048090710511555</v>
      </c>
      <c r="J31" s="411">
        <v>5.854230233092852</v>
      </c>
      <c r="K31" s="398" t="s">
        <v>932</v>
      </c>
      <c r="L31" s="414"/>
      <c r="M31" s="415"/>
    </row>
    <row r="32" spans="1:13">
      <c r="A32" s="416" t="s">
        <v>959</v>
      </c>
      <c r="B32" s="271" t="s">
        <v>959</v>
      </c>
      <c r="C32" s="417" t="e">
        <v>#VALUE!</v>
      </c>
      <c r="D32" s="413" t="s">
        <v>542</v>
      </c>
      <c r="E32" s="417">
        <v>5.05</v>
      </c>
      <c r="F32" s="417">
        <v>29.053930233092853</v>
      </c>
      <c r="G32" s="418">
        <v>23.1997</v>
      </c>
      <c r="H32" s="411">
        <v>5.4237493259877363</v>
      </c>
      <c r="I32" s="411">
        <v>0.43048090710511555</v>
      </c>
      <c r="J32" s="411">
        <v>5.854230233092852</v>
      </c>
      <c r="K32" s="398" t="s">
        <v>932</v>
      </c>
      <c r="L32" s="414"/>
      <c r="M32" s="415"/>
    </row>
    <row r="33" spans="1:13">
      <c r="A33" s="416" t="s">
        <v>960</v>
      </c>
      <c r="B33" s="271" t="s">
        <v>960</v>
      </c>
      <c r="C33" s="417">
        <v>150</v>
      </c>
      <c r="D33" s="413">
        <v>227</v>
      </c>
      <c r="E33" s="417">
        <v>5.05</v>
      </c>
      <c r="F33" s="417">
        <v>34.215030233092847</v>
      </c>
      <c r="G33" s="418">
        <v>28.360799999999998</v>
      </c>
      <c r="H33" s="411">
        <v>5.4237493259877363</v>
      </c>
      <c r="I33" s="411">
        <v>0.43048090710511555</v>
      </c>
      <c r="J33" s="411">
        <v>5.854230233092852</v>
      </c>
      <c r="K33" s="398" t="s">
        <v>932</v>
      </c>
      <c r="L33" s="414"/>
      <c r="M33" s="415"/>
    </row>
    <row r="34" spans="1:13">
      <c r="A34" s="416" t="s">
        <v>961</v>
      </c>
      <c r="B34" s="271" t="s">
        <v>961</v>
      </c>
      <c r="C34" s="417">
        <v>150</v>
      </c>
      <c r="D34" s="413">
        <v>90</v>
      </c>
      <c r="E34" s="417">
        <v>5.05</v>
      </c>
      <c r="F34" s="417">
        <v>16.166330233092854</v>
      </c>
      <c r="G34" s="418">
        <v>10.312100000000001</v>
      </c>
      <c r="H34" s="411">
        <v>5.4237493259877363</v>
      </c>
      <c r="I34" s="411">
        <v>0.43048090710511555</v>
      </c>
      <c r="J34" s="411">
        <v>5.854230233092852</v>
      </c>
      <c r="K34" s="398" t="s">
        <v>932</v>
      </c>
      <c r="L34" s="414"/>
      <c r="M34" s="415"/>
    </row>
    <row r="35" spans="1:13">
      <c r="A35" s="416" t="s">
        <v>962</v>
      </c>
      <c r="B35" s="271" t="s">
        <v>962</v>
      </c>
      <c r="C35" s="417" t="e">
        <v>#VALUE!</v>
      </c>
      <c r="D35" s="413" t="s">
        <v>542</v>
      </c>
      <c r="E35" s="417">
        <v>5.05</v>
      </c>
      <c r="F35" s="417">
        <v>13.590830233092852</v>
      </c>
      <c r="G35" s="418">
        <v>7.7366000000000001</v>
      </c>
      <c r="H35" s="411">
        <v>5.4237493259877363</v>
      </c>
      <c r="I35" s="411">
        <v>0.43048090710511555</v>
      </c>
      <c r="J35" s="411">
        <v>5.854230233092852</v>
      </c>
      <c r="K35" s="398" t="s">
        <v>932</v>
      </c>
      <c r="L35" s="414"/>
      <c r="M35" s="415"/>
    </row>
    <row r="36" spans="1:13">
      <c r="A36" s="416" t="s">
        <v>963</v>
      </c>
      <c r="B36" s="271" t="s">
        <v>963</v>
      </c>
      <c r="C36" s="417" t="e">
        <v>#VALUE!</v>
      </c>
      <c r="D36" s="413" t="s">
        <v>542</v>
      </c>
      <c r="E36" s="417">
        <v>5.05</v>
      </c>
      <c r="F36" s="417" t="e">
        <v>#N/A</v>
      </c>
      <c r="G36" s="418" t="e">
        <v>#N/A</v>
      </c>
      <c r="H36" s="411">
        <v>5.4237493259877363</v>
      </c>
      <c r="I36" s="411">
        <v>0.43048090710511555</v>
      </c>
      <c r="J36" s="411">
        <v>5.854230233092852</v>
      </c>
      <c r="K36" s="398" t="s">
        <v>932</v>
      </c>
      <c r="L36" s="414"/>
      <c r="M36" s="415"/>
    </row>
    <row r="37" spans="1:13">
      <c r="A37" s="416" t="s">
        <v>964</v>
      </c>
      <c r="B37" s="271" t="s">
        <v>964</v>
      </c>
      <c r="C37" s="417">
        <v>150</v>
      </c>
      <c r="D37" s="413">
        <v>109</v>
      </c>
      <c r="E37" s="417">
        <v>5.05</v>
      </c>
      <c r="F37" s="417">
        <v>18.741830233092852</v>
      </c>
      <c r="G37" s="418">
        <v>12.887599999999999</v>
      </c>
      <c r="H37" s="411">
        <v>5.4237493259877363</v>
      </c>
      <c r="I37" s="411">
        <v>0.43048090710511555</v>
      </c>
      <c r="J37" s="411">
        <v>5.854230233092852</v>
      </c>
      <c r="K37" s="398" t="s">
        <v>932</v>
      </c>
      <c r="L37" s="414"/>
      <c r="M37" s="415"/>
    </row>
    <row r="38" spans="1:13">
      <c r="A38" s="416" t="s">
        <v>965</v>
      </c>
      <c r="B38" s="271" t="s">
        <v>965</v>
      </c>
      <c r="C38" s="417">
        <v>150</v>
      </c>
      <c r="D38" s="413">
        <v>267</v>
      </c>
      <c r="E38" s="417">
        <v>5.05</v>
      </c>
      <c r="F38" s="417">
        <v>25.185630233092855</v>
      </c>
      <c r="G38" s="418">
        <v>19.331400000000002</v>
      </c>
      <c r="H38" s="411">
        <v>5.4237493259877363</v>
      </c>
      <c r="I38" s="411">
        <v>0.43048090710511555</v>
      </c>
      <c r="J38" s="411">
        <v>5.854230233092852</v>
      </c>
      <c r="K38" s="398" t="s">
        <v>932</v>
      </c>
      <c r="L38" s="414"/>
      <c r="M38" s="415"/>
    </row>
    <row r="39" spans="1:13">
      <c r="A39" s="416" t="s">
        <v>966</v>
      </c>
      <c r="B39" s="271" t="s">
        <v>966</v>
      </c>
      <c r="C39" s="417">
        <v>150</v>
      </c>
      <c r="D39" s="413">
        <v>105</v>
      </c>
      <c r="E39" s="417">
        <v>5.05</v>
      </c>
      <c r="F39" s="417">
        <v>13.590830233092852</v>
      </c>
      <c r="G39" s="418">
        <v>7.7366000000000001</v>
      </c>
      <c r="H39" s="411">
        <v>5.4237493259877363</v>
      </c>
      <c r="I39" s="411">
        <v>0.43048090710511555</v>
      </c>
      <c r="J39" s="411">
        <v>5.854230233092852</v>
      </c>
      <c r="K39" s="398" t="s">
        <v>932</v>
      </c>
      <c r="L39" s="414"/>
      <c r="M39" s="415"/>
    </row>
    <row r="40" spans="1:13">
      <c r="A40" s="416" t="s">
        <v>967</v>
      </c>
      <c r="B40" s="271" t="s">
        <v>967</v>
      </c>
      <c r="C40" s="417">
        <v>150</v>
      </c>
      <c r="D40" s="413">
        <v>115</v>
      </c>
      <c r="E40" s="417">
        <v>5.05</v>
      </c>
      <c r="F40" s="417">
        <v>16.166330233092854</v>
      </c>
      <c r="G40" s="418">
        <v>10.312100000000001</v>
      </c>
      <c r="H40" s="411">
        <v>5.4237493259877363</v>
      </c>
      <c r="I40" s="411">
        <v>0.43048090710511555</v>
      </c>
      <c r="J40" s="411">
        <v>5.854230233092852</v>
      </c>
      <c r="K40" s="398" t="s">
        <v>932</v>
      </c>
      <c r="L40" s="414"/>
      <c r="M40" s="415"/>
    </row>
    <row r="41" spans="1:13">
      <c r="A41" s="416" t="s">
        <v>968</v>
      </c>
      <c r="B41" s="271" t="s">
        <v>968</v>
      </c>
      <c r="C41" s="417">
        <v>150</v>
      </c>
      <c r="D41" s="413">
        <v>151</v>
      </c>
      <c r="E41" s="417">
        <v>5.05</v>
      </c>
      <c r="F41" s="417">
        <v>23.902930233092853</v>
      </c>
      <c r="G41" s="418">
        <v>18.0487</v>
      </c>
      <c r="H41" s="411">
        <v>5.4237493259877363</v>
      </c>
      <c r="I41" s="411">
        <v>0.43048090710511555</v>
      </c>
      <c r="J41" s="411">
        <v>5.854230233092852</v>
      </c>
      <c r="K41" s="398" t="s">
        <v>932</v>
      </c>
      <c r="L41" s="414"/>
      <c r="M41" s="415"/>
    </row>
    <row r="42" spans="1:13">
      <c r="A42" s="416" t="s">
        <v>969</v>
      </c>
      <c r="B42" s="271" t="s">
        <v>969</v>
      </c>
      <c r="C42" s="417">
        <v>150</v>
      </c>
      <c r="D42" s="413">
        <v>76</v>
      </c>
      <c r="E42" s="417">
        <v>5.05</v>
      </c>
      <c r="F42" s="417">
        <v>16.166330233092854</v>
      </c>
      <c r="G42" s="418">
        <v>10.312100000000001</v>
      </c>
      <c r="H42" s="411">
        <v>5.4237493259877363</v>
      </c>
      <c r="I42" s="411">
        <v>0.43048090710511555</v>
      </c>
      <c r="J42" s="411">
        <v>5.854230233092852</v>
      </c>
      <c r="K42" s="398" t="s">
        <v>932</v>
      </c>
      <c r="L42" s="414"/>
      <c r="M42" s="415"/>
    </row>
    <row r="43" spans="1:13">
      <c r="A43" s="416" t="s">
        <v>970</v>
      </c>
      <c r="B43" s="271" t="s">
        <v>970</v>
      </c>
      <c r="C43" s="417" t="e">
        <v>#VALUE!</v>
      </c>
      <c r="D43" s="413" t="s">
        <v>542</v>
      </c>
      <c r="E43" s="417">
        <v>5.05</v>
      </c>
      <c r="F43" s="417">
        <v>23.902930233092853</v>
      </c>
      <c r="G43" s="418">
        <v>18.0487</v>
      </c>
      <c r="H43" s="411">
        <v>5.4237493259877363</v>
      </c>
      <c r="I43" s="411">
        <v>0.43048090710511555</v>
      </c>
      <c r="J43" s="411">
        <v>5.854230233092852</v>
      </c>
      <c r="K43" s="398" t="s">
        <v>932</v>
      </c>
      <c r="L43" s="414"/>
      <c r="M43" s="415"/>
    </row>
    <row r="44" spans="1:13">
      <c r="A44" s="416" t="s">
        <v>971</v>
      </c>
      <c r="B44" s="271" t="s">
        <v>971</v>
      </c>
      <c r="C44" s="417">
        <v>150</v>
      </c>
      <c r="D44" s="413">
        <v>192</v>
      </c>
      <c r="E44" s="417">
        <v>5.05</v>
      </c>
      <c r="F44" s="417">
        <v>18.741830233092852</v>
      </c>
      <c r="G44" s="418">
        <v>12.887599999999999</v>
      </c>
      <c r="H44" s="411">
        <v>5.4237493259877363</v>
      </c>
      <c r="I44" s="411">
        <v>0.43048090710511555</v>
      </c>
      <c r="J44" s="411">
        <v>5.854230233092852</v>
      </c>
      <c r="K44" s="398" t="s">
        <v>932</v>
      </c>
      <c r="L44" s="414"/>
      <c r="M44" s="415"/>
    </row>
    <row r="45" spans="1:13">
      <c r="A45" s="416" t="s">
        <v>972</v>
      </c>
      <c r="B45" s="271" t="s">
        <v>972</v>
      </c>
      <c r="C45" s="417">
        <v>150</v>
      </c>
      <c r="D45" s="413">
        <v>332</v>
      </c>
      <c r="E45" s="417">
        <v>5.05</v>
      </c>
      <c r="F45" s="417">
        <v>21.317330233092854</v>
      </c>
      <c r="G45" s="418">
        <v>15.463100000000001</v>
      </c>
      <c r="H45" s="411">
        <v>5.4237493259877363</v>
      </c>
      <c r="I45" s="411">
        <v>0.43048090710511555</v>
      </c>
      <c r="J45" s="411">
        <v>5.854230233092852</v>
      </c>
      <c r="K45" s="398" t="s">
        <v>932</v>
      </c>
      <c r="L45" s="414"/>
      <c r="M45" s="415"/>
    </row>
    <row r="46" spans="1:13">
      <c r="A46" s="416" t="s">
        <v>973</v>
      </c>
      <c r="B46" s="271" t="s">
        <v>973</v>
      </c>
      <c r="C46" s="417">
        <v>150</v>
      </c>
      <c r="D46" s="413">
        <v>158</v>
      </c>
      <c r="E46" s="417">
        <v>5.05</v>
      </c>
      <c r="F46" s="417">
        <v>15.136130233092853</v>
      </c>
      <c r="G46" s="418">
        <v>9.2819000000000003</v>
      </c>
      <c r="H46" s="411">
        <v>5.4237493259877363</v>
      </c>
      <c r="I46" s="411">
        <v>0.43048090710511555</v>
      </c>
      <c r="J46" s="411">
        <v>5.854230233092852</v>
      </c>
      <c r="K46" s="398" t="s">
        <v>932</v>
      </c>
      <c r="L46" s="414"/>
      <c r="M46" s="415"/>
    </row>
    <row r="47" spans="1:13">
      <c r="A47" s="416" t="s">
        <v>974</v>
      </c>
      <c r="B47" s="271" t="s">
        <v>974</v>
      </c>
      <c r="C47" s="417">
        <v>150</v>
      </c>
      <c r="D47" s="413">
        <v>306</v>
      </c>
      <c r="E47" s="417">
        <v>5.05</v>
      </c>
      <c r="F47" s="417">
        <v>29.053930233092853</v>
      </c>
      <c r="G47" s="418">
        <v>23.1997</v>
      </c>
      <c r="H47" s="411">
        <v>5.4237493259877363</v>
      </c>
      <c r="I47" s="411">
        <v>0.43048090710511555</v>
      </c>
      <c r="J47" s="411">
        <v>5.854230233092852</v>
      </c>
      <c r="K47" s="398" t="s">
        <v>932</v>
      </c>
      <c r="L47" s="414"/>
      <c r="M47" s="415"/>
    </row>
    <row r="48" spans="1:13">
      <c r="A48" s="416" t="s">
        <v>975</v>
      </c>
      <c r="B48" s="271" t="s">
        <v>975</v>
      </c>
      <c r="C48" s="417">
        <v>150</v>
      </c>
      <c r="D48" s="413">
        <v>145</v>
      </c>
      <c r="E48" s="417">
        <v>5.05</v>
      </c>
      <c r="F48" s="417">
        <v>16.166330233092854</v>
      </c>
      <c r="G48" s="418">
        <v>10.312100000000001</v>
      </c>
      <c r="H48" s="411">
        <v>5.4237493259877363</v>
      </c>
      <c r="I48" s="411">
        <v>0.43048090710511555</v>
      </c>
      <c r="J48" s="411">
        <v>5.854230233092852</v>
      </c>
      <c r="K48" s="398" t="s">
        <v>932</v>
      </c>
      <c r="L48" s="414"/>
      <c r="M48" s="415"/>
    </row>
    <row r="49" spans="1:13">
      <c r="A49" s="416" t="s">
        <v>976</v>
      </c>
      <c r="B49" s="271" t="s">
        <v>976</v>
      </c>
      <c r="C49" s="417">
        <v>150</v>
      </c>
      <c r="D49" s="413">
        <v>192</v>
      </c>
      <c r="E49" s="417">
        <v>5.05</v>
      </c>
      <c r="F49" s="417">
        <v>16.166330233092854</v>
      </c>
      <c r="G49" s="418">
        <v>10.312100000000001</v>
      </c>
      <c r="H49" s="411">
        <v>5.4237493259877363</v>
      </c>
      <c r="I49" s="411">
        <v>0.43048090710511555</v>
      </c>
      <c r="J49" s="411">
        <v>5.854230233092852</v>
      </c>
      <c r="K49" s="398" t="s">
        <v>932</v>
      </c>
      <c r="L49" s="414"/>
      <c r="M49" s="415"/>
    </row>
    <row r="50" spans="1:13">
      <c r="A50" s="416" t="s">
        <v>977</v>
      </c>
      <c r="B50" s="271" t="s">
        <v>977</v>
      </c>
      <c r="C50" s="417">
        <v>150</v>
      </c>
      <c r="D50" s="413">
        <v>206</v>
      </c>
      <c r="E50" s="417">
        <v>5.05</v>
      </c>
      <c r="F50" s="417">
        <v>18.741830233092852</v>
      </c>
      <c r="G50" s="418">
        <v>12.887599999999999</v>
      </c>
      <c r="H50" s="411">
        <v>5.4237493259877363</v>
      </c>
      <c r="I50" s="411">
        <v>0.43048090710511555</v>
      </c>
      <c r="J50" s="411">
        <v>5.854230233092852</v>
      </c>
      <c r="K50" s="398" t="s">
        <v>932</v>
      </c>
      <c r="L50" s="414"/>
      <c r="M50" s="415"/>
    </row>
    <row r="51" spans="1:13">
      <c r="A51" s="416" t="s">
        <v>978</v>
      </c>
      <c r="B51" s="271" t="s">
        <v>978</v>
      </c>
      <c r="C51" s="417">
        <v>150</v>
      </c>
      <c r="D51" s="413">
        <v>378</v>
      </c>
      <c r="E51" s="417">
        <v>5.05</v>
      </c>
      <c r="F51" s="417">
        <v>34.215030233092847</v>
      </c>
      <c r="G51" s="418">
        <v>28.360799999999998</v>
      </c>
      <c r="H51" s="411">
        <v>5.4237493259877363</v>
      </c>
      <c r="I51" s="411">
        <v>0.43048090710511555</v>
      </c>
      <c r="J51" s="411">
        <v>5.854230233092852</v>
      </c>
      <c r="K51" s="398" t="s">
        <v>932</v>
      </c>
      <c r="L51" s="414"/>
      <c r="M51" s="415"/>
    </row>
    <row r="52" spans="1:13">
      <c r="A52" s="416" t="s">
        <v>979</v>
      </c>
      <c r="B52" s="271" t="s">
        <v>979</v>
      </c>
      <c r="C52" s="417">
        <v>150</v>
      </c>
      <c r="D52" s="413">
        <v>79</v>
      </c>
      <c r="E52" s="417">
        <v>5.05</v>
      </c>
      <c r="F52" s="417">
        <v>13.590830233092852</v>
      </c>
      <c r="G52" s="418">
        <v>7.7366000000000001</v>
      </c>
      <c r="H52" s="411">
        <v>5.4237493259877363</v>
      </c>
      <c r="I52" s="411">
        <v>0.43048090710511555</v>
      </c>
      <c r="J52" s="411">
        <v>5.854230233092852</v>
      </c>
      <c r="K52" s="398" t="s">
        <v>932</v>
      </c>
      <c r="L52" s="414"/>
      <c r="M52" s="415"/>
    </row>
    <row r="53" spans="1:13">
      <c r="A53" s="416" t="s">
        <v>980</v>
      </c>
      <c r="B53" s="271" t="s">
        <v>980</v>
      </c>
      <c r="C53" s="417">
        <v>150</v>
      </c>
      <c r="D53" s="413">
        <v>132</v>
      </c>
      <c r="E53" s="417">
        <v>5.05</v>
      </c>
      <c r="F53" s="417">
        <v>13.590830233092852</v>
      </c>
      <c r="G53" s="418">
        <v>7.7366000000000001</v>
      </c>
      <c r="H53" s="411">
        <v>5.4237493259877363</v>
      </c>
      <c r="I53" s="411">
        <v>0.43048090710511555</v>
      </c>
      <c r="J53" s="411">
        <v>5.854230233092852</v>
      </c>
      <c r="K53" s="398" t="s">
        <v>932</v>
      </c>
      <c r="L53" s="414"/>
      <c r="M53" s="415"/>
    </row>
    <row r="54" spans="1:13">
      <c r="A54" s="416" t="s">
        <v>981</v>
      </c>
      <c r="B54" s="271" t="s">
        <v>981</v>
      </c>
      <c r="C54" s="417" t="e">
        <v>#VALUE!</v>
      </c>
      <c r="D54" s="413" t="s">
        <v>542</v>
      </c>
      <c r="E54" s="417">
        <v>5.05</v>
      </c>
      <c r="F54" s="417" t="e">
        <v>#N/A</v>
      </c>
      <c r="G54" s="418" t="e">
        <v>#N/A</v>
      </c>
      <c r="H54" s="411">
        <v>5.4237493259877363</v>
      </c>
      <c r="I54" s="411">
        <v>0.43048090710511555</v>
      </c>
      <c r="J54" s="411">
        <v>5.854230233092852</v>
      </c>
      <c r="K54" s="398" t="s">
        <v>932</v>
      </c>
      <c r="L54" s="414"/>
      <c r="M54" s="415"/>
    </row>
    <row r="55" spans="1:13">
      <c r="A55" s="416" t="s">
        <v>982</v>
      </c>
      <c r="B55" s="271" t="s">
        <v>982</v>
      </c>
      <c r="C55" s="417">
        <v>150</v>
      </c>
      <c r="D55" s="413">
        <v>381</v>
      </c>
      <c r="E55" s="417">
        <v>5.05</v>
      </c>
      <c r="F55" s="417">
        <v>23.902930233092853</v>
      </c>
      <c r="G55" s="418">
        <v>18.0487</v>
      </c>
      <c r="H55" s="411">
        <v>5.4237493259877363</v>
      </c>
      <c r="I55" s="411">
        <v>0.43048090710511555</v>
      </c>
      <c r="J55" s="411">
        <v>5.854230233092852</v>
      </c>
      <c r="K55" s="398" t="s">
        <v>932</v>
      </c>
      <c r="L55" s="414"/>
      <c r="M55" s="415"/>
    </row>
    <row r="56" spans="1:13">
      <c r="A56" s="416" t="s">
        <v>983</v>
      </c>
      <c r="B56" s="271" t="s">
        <v>983</v>
      </c>
      <c r="C56" s="417">
        <v>150</v>
      </c>
      <c r="D56" s="413">
        <v>266</v>
      </c>
      <c r="E56" s="417">
        <v>5.05</v>
      </c>
      <c r="F56" s="417">
        <v>23.902930233092853</v>
      </c>
      <c r="G56" s="418">
        <v>18.0487</v>
      </c>
      <c r="H56" s="411">
        <v>5.4237493259877363</v>
      </c>
      <c r="I56" s="411">
        <v>0.43048090710511555</v>
      </c>
      <c r="J56" s="411">
        <v>5.854230233092852</v>
      </c>
      <c r="K56" s="398" t="s">
        <v>932</v>
      </c>
      <c r="L56" s="414"/>
      <c r="M56" s="415"/>
    </row>
    <row r="57" spans="1:13">
      <c r="A57" s="416" t="s">
        <v>984</v>
      </c>
      <c r="B57" s="271" t="s">
        <v>984</v>
      </c>
      <c r="C57" s="417" t="e">
        <v>#VALUE!</v>
      </c>
      <c r="D57" s="413" t="s">
        <v>542</v>
      </c>
      <c r="E57" s="417">
        <v>5.05</v>
      </c>
      <c r="F57" s="417">
        <v>13.590830233092852</v>
      </c>
      <c r="G57" s="418">
        <v>7.7366000000000001</v>
      </c>
      <c r="H57" s="411">
        <v>5.4237493259877363</v>
      </c>
      <c r="I57" s="411">
        <v>0.43048090710511555</v>
      </c>
      <c r="J57" s="411">
        <v>5.854230233092852</v>
      </c>
      <c r="K57" s="398" t="s">
        <v>932</v>
      </c>
      <c r="L57" s="414"/>
      <c r="M57" s="415"/>
    </row>
    <row r="58" spans="1:13">
      <c r="A58" s="416" t="s">
        <v>985</v>
      </c>
      <c r="B58" s="271" t="s">
        <v>985</v>
      </c>
      <c r="C58" s="417">
        <v>150</v>
      </c>
      <c r="D58" s="413">
        <v>173</v>
      </c>
      <c r="E58" s="417">
        <v>5.05</v>
      </c>
      <c r="F58" s="417">
        <v>16.166330233092854</v>
      </c>
      <c r="G58" s="418">
        <v>10.312100000000001</v>
      </c>
      <c r="H58" s="411">
        <v>5.4237493259877363</v>
      </c>
      <c r="I58" s="411">
        <v>0.43048090710511555</v>
      </c>
      <c r="J58" s="411">
        <v>5.854230233092852</v>
      </c>
      <c r="K58" s="398" t="s">
        <v>932</v>
      </c>
      <c r="L58" s="414"/>
      <c r="M58" s="415"/>
    </row>
    <row r="59" spans="1:13">
      <c r="A59" s="416" t="s">
        <v>986</v>
      </c>
      <c r="B59" s="271" t="s">
        <v>986</v>
      </c>
      <c r="C59" s="417">
        <v>150</v>
      </c>
      <c r="D59" s="413">
        <v>401</v>
      </c>
      <c r="E59" s="417">
        <v>5.05</v>
      </c>
      <c r="F59" s="417">
        <v>25.185630233092855</v>
      </c>
      <c r="G59" s="418">
        <v>19.331400000000002</v>
      </c>
      <c r="H59" s="411">
        <v>5.4237493259877363</v>
      </c>
      <c r="I59" s="411">
        <v>0.43048090710511555</v>
      </c>
      <c r="J59" s="411">
        <v>5.854230233092852</v>
      </c>
      <c r="K59" s="398" t="s">
        <v>932</v>
      </c>
      <c r="L59" s="414"/>
      <c r="M59" s="415"/>
    </row>
    <row r="60" spans="1:13">
      <c r="A60" s="416" t="s">
        <v>987</v>
      </c>
      <c r="B60" s="271" t="s">
        <v>987</v>
      </c>
      <c r="C60" s="417">
        <v>150</v>
      </c>
      <c r="D60" s="413">
        <v>143</v>
      </c>
      <c r="E60" s="417">
        <v>5.05</v>
      </c>
      <c r="F60" s="417">
        <v>13.590830233092852</v>
      </c>
      <c r="G60" s="418">
        <v>7.7366000000000001</v>
      </c>
      <c r="H60" s="411">
        <v>5.4237493259877363</v>
      </c>
      <c r="I60" s="411">
        <v>0.43048090710511555</v>
      </c>
      <c r="J60" s="411">
        <v>5.854230233092852</v>
      </c>
      <c r="K60" s="398" t="s">
        <v>932</v>
      </c>
      <c r="L60" s="414"/>
      <c r="M60" s="415"/>
    </row>
    <row r="61" spans="1:13">
      <c r="A61" s="416" t="s">
        <v>988</v>
      </c>
      <c r="B61" s="271" t="s">
        <v>988</v>
      </c>
      <c r="C61" s="417" t="e">
        <v>#VALUE!</v>
      </c>
      <c r="D61" s="413" t="s">
        <v>542</v>
      </c>
      <c r="E61" s="417">
        <v>5.05</v>
      </c>
      <c r="F61" s="417">
        <v>29.053930233092853</v>
      </c>
      <c r="G61" s="418">
        <v>23.1997</v>
      </c>
      <c r="H61" s="411">
        <v>5.4237493259877363</v>
      </c>
      <c r="I61" s="411">
        <v>0.43048090710511555</v>
      </c>
      <c r="J61" s="411">
        <v>5.854230233092852</v>
      </c>
      <c r="K61" s="398" t="s">
        <v>932</v>
      </c>
      <c r="L61" s="414"/>
      <c r="M61" s="415"/>
    </row>
    <row r="62" spans="1:13">
      <c r="A62" s="416" t="s">
        <v>989</v>
      </c>
      <c r="B62" s="271" t="s">
        <v>989</v>
      </c>
      <c r="C62" s="417">
        <v>150</v>
      </c>
      <c r="D62" s="413">
        <v>98</v>
      </c>
      <c r="E62" s="417">
        <v>5.05</v>
      </c>
      <c r="F62" s="417">
        <v>13.590830233092852</v>
      </c>
      <c r="G62" s="418">
        <v>7.7366000000000001</v>
      </c>
      <c r="H62" s="411">
        <v>5.4237493259877363</v>
      </c>
      <c r="I62" s="411">
        <v>0.43048090710511555</v>
      </c>
      <c r="J62" s="411">
        <v>5.854230233092852</v>
      </c>
      <c r="K62" s="398" t="s">
        <v>932</v>
      </c>
      <c r="L62" s="414"/>
      <c r="M62" s="415"/>
    </row>
    <row r="63" spans="1:13">
      <c r="A63" s="416" t="s">
        <v>990</v>
      </c>
      <c r="B63" s="271" t="s">
        <v>990</v>
      </c>
      <c r="C63" s="417" t="e">
        <v>#VALUE!</v>
      </c>
      <c r="D63" s="413" t="s">
        <v>542</v>
      </c>
      <c r="E63" s="417">
        <v>5.05</v>
      </c>
      <c r="F63" s="417">
        <v>23.902930233092853</v>
      </c>
      <c r="G63" s="418">
        <v>18.0487</v>
      </c>
      <c r="H63" s="411">
        <v>5.4237493259877363</v>
      </c>
      <c r="I63" s="411">
        <v>0.43048090710511555</v>
      </c>
      <c r="J63" s="411">
        <v>5.854230233092852</v>
      </c>
      <c r="K63" s="398" t="s">
        <v>932</v>
      </c>
      <c r="L63" s="414"/>
      <c r="M63" s="415"/>
    </row>
    <row r="64" spans="1:13">
      <c r="A64" s="416" t="s">
        <v>991</v>
      </c>
      <c r="B64" s="271" t="s">
        <v>991</v>
      </c>
      <c r="C64" s="417">
        <v>150</v>
      </c>
      <c r="D64" s="413">
        <v>288</v>
      </c>
      <c r="E64" s="417">
        <v>5.05</v>
      </c>
      <c r="F64" s="417">
        <v>18.741830233092852</v>
      </c>
      <c r="G64" s="418">
        <v>12.887599999999999</v>
      </c>
      <c r="H64" s="411">
        <v>5.4237493259877363</v>
      </c>
      <c r="I64" s="411">
        <v>0.43048090710511555</v>
      </c>
      <c r="J64" s="411">
        <v>5.854230233092852</v>
      </c>
      <c r="K64" s="398" t="s">
        <v>932</v>
      </c>
      <c r="L64" s="414"/>
      <c r="M64" s="415"/>
    </row>
    <row r="65" spans="1:13">
      <c r="A65" s="416" t="s">
        <v>992</v>
      </c>
      <c r="B65" s="271" t="s">
        <v>992</v>
      </c>
      <c r="C65" s="417" t="e">
        <v>#VALUE!</v>
      </c>
      <c r="D65" s="413" t="s">
        <v>542</v>
      </c>
      <c r="E65" s="417">
        <v>5.05</v>
      </c>
      <c r="F65" s="417">
        <v>8.5812302330928532</v>
      </c>
      <c r="G65" s="418">
        <v>2.7270000000000003</v>
      </c>
      <c r="H65" s="411">
        <v>5.4237493259877363</v>
      </c>
      <c r="I65" s="411">
        <v>0.43048090710511555</v>
      </c>
      <c r="J65" s="411">
        <v>5.854230233092852</v>
      </c>
      <c r="K65" s="398" t="s">
        <v>932</v>
      </c>
      <c r="L65" s="414"/>
      <c r="M65" s="415"/>
    </row>
    <row r="66" spans="1:13">
      <c r="A66" s="416" t="s">
        <v>993</v>
      </c>
      <c r="B66" s="271" t="s">
        <v>993</v>
      </c>
      <c r="C66" s="417">
        <v>150</v>
      </c>
      <c r="D66" s="413">
        <v>112</v>
      </c>
      <c r="E66" s="417">
        <v>5.05</v>
      </c>
      <c r="F66" s="417">
        <v>8.5812302330928532</v>
      </c>
      <c r="G66" s="418">
        <v>2.7270000000000003</v>
      </c>
      <c r="H66" s="411">
        <v>5.4237493259877363</v>
      </c>
      <c r="I66" s="411">
        <v>0.43048090710511555</v>
      </c>
      <c r="J66" s="411">
        <v>5.854230233092852</v>
      </c>
      <c r="K66" s="398" t="s">
        <v>932</v>
      </c>
      <c r="L66" s="414"/>
      <c r="M66" s="415"/>
    </row>
    <row r="67" spans="1:13">
      <c r="A67" s="416" t="s">
        <v>994</v>
      </c>
      <c r="B67" s="271" t="s">
        <v>994</v>
      </c>
      <c r="C67" s="417" t="e">
        <v>#VALUE!</v>
      </c>
      <c r="D67" s="413" t="s">
        <v>542</v>
      </c>
      <c r="E67" s="417">
        <v>5.05</v>
      </c>
      <c r="F67" s="417">
        <v>8.5812302330928532</v>
      </c>
      <c r="G67" s="418">
        <v>2.7270000000000003</v>
      </c>
      <c r="H67" s="411">
        <v>5.4237493259877363</v>
      </c>
      <c r="I67" s="411">
        <v>0.43048090710511555</v>
      </c>
      <c r="J67" s="411">
        <v>5.854230233092852</v>
      </c>
      <c r="K67" s="398" t="s">
        <v>932</v>
      </c>
      <c r="L67" s="414"/>
      <c r="M67" s="415"/>
    </row>
    <row r="68" spans="1:13">
      <c r="A68" s="416" t="s">
        <v>995</v>
      </c>
      <c r="B68" s="271" t="s">
        <v>995</v>
      </c>
      <c r="C68" s="417" t="e">
        <v>#VALUE!</v>
      </c>
      <c r="D68" s="413" t="s">
        <v>542</v>
      </c>
      <c r="E68" s="417">
        <v>5.05</v>
      </c>
      <c r="F68" s="417">
        <v>8.5812302330928532</v>
      </c>
      <c r="G68" s="418">
        <v>2.7270000000000003</v>
      </c>
      <c r="H68" s="411">
        <v>5.4237493259877363</v>
      </c>
      <c r="I68" s="411">
        <v>0.43048090710511555</v>
      </c>
      <c r="J68" s="411">
        <v>5.854230233092852</v>
      </c>
      <c r="K68" s="398" t="s">
        <v>932</v>
      </c>
      <c r="L68" s="414"/>
      <c r="M68" s="415"/>
    </row>
    <row r="69" spans="1:13">
      <c r="A69" s="416" t="s">
        <v>996</v>
      </c>
      <c r="B69" s="271" t="s">
        <v>996</v>
      </c>
      <c r="C69" s="417" t="e">
        <v>#VALUE!</v>
      </c>
      <c r="D69" s="413" t="s">
        <v>542</v>
      </c>
      <c r="E69" s="417">
        <v>5.05</v>
      </c>
      <c r="F69" s="417">
        <v>8.5812302330928532</v>
      </c>
      <c r="G69" s="418">
        <v>2.7270000000000003</v>
      </c>
      <c r="H69" s="411">
        <v>5.4237493259877363</v>
      </c>
      <c r="I69" s="411">
        <v>0.43048090710511555</v>
      </c>
      <c r="J69" s="411">
        <v>5.854230233092852</v>
      </c>
      <c r="K69" s="398" t="s">
        <v>932</v>
      </c>
      <c r="L69" s="414"/>
      <c r="M69" s="415"/>
    </row>
    <row r="70" spans="1:13">
      <c r="A70" s="416" t="s">
        <v>997</v>
      </c>
      <c r="B70" s="271" t="s">
        <v>997</v>
      </c>
      <c r="C70" s="417" t="e">
        <v>#VALUE!</v>
      </c>
      <c r="D70" s="413" t="s">
        <v>542</v>
      </c>
      <c r="E70" s="417">
        <v>5.05</v>
      </c>
      <c r="F70" s="417">
        <v>8.5812302330928532</v>
      </c>
      <c r="G70" s="418">
        <v>2.7270000000000003</v>
      </c>
      <c r="H70" s="411">
        <v>5.4237493259877363</v>
      </c>
      <c r="I70" s="411">
        <v>0.43048090710511555</v>
      </c>
      <c r="J70" s="411">
        <v>5.854230233092852</v>
      </c>
      <c r="K70" s="398" t="s">
        <v>932</v>
      </c>
      <c r="L70" s="414"/>
      <c r="M70" s="415"/>
    </row>
    <row r="71" spans="1:13">
      <c r="A71" s="416" t="s">
        <v>998</v>
      </c>
      <c r="B71" s="271" t="s">
        <v>998</v>
      </c>
      <c r="C71" s="417" t="e">
        <v>#VALUE!</v>
      </c>
      <c r="D71" s="413" t="s">
        <v>542</v>
      </c>
      <c r="E71" s="417">
        <v>5.05</v>
      </c>
      <c r="F71" s="417">
        <v>8.5812302330928532</v>
      </c>
      <c r="G71" s="418">
        <v>2.7270000000000003</v>
      </c>
      <c r="H71" s="411">
        <v>5.4237493259877363</v>
      </c>
      <c r="I71" s="411">
        <v>0.43048090710511555</v>
      </c>
      <c r="J71" s="411">
        <v>5.854230233092852</v>
      </c>
      <c r="K71" s="398" t="s">
        <v>932</v>
      </c>
      <c r="L71" s="414"/>
      <c r="M71" s="415"/>
    </row>
    <row r="72" spans="1:13">
      <c r="A72" s="416" t="s">
        <v>999</v>
      </c>
      <c r="B72" s="271" t="s">
        <v>999</v>
      </c>
      <c r="C72" s="417" t="e">
        <v>#VALUE!</v>
      </c>
      <c r="D72" s="413" t="s">
        <v>542</v>
      </c>
      <c r="E72" s="417">
        <v>5.05</v>
      </c>
      <c r="F72" s="417">
        <v>8.5812302330928532</v>
      </c>
      <c r="G72" s="418">
        <v>2.7270000000000003</v>
      </c>
      <c r="H72" s="411">
        <v>5.4237493259877363</v>
      </c>
      <c r="I72" s="411">
        <v>0.43048090710511555</v>
      </c>
      <c r="J72" s="411">
        <v>5.854230233092852</v>
      </c>
      <c r="K72" s="398" t="s">
        <v>932</v>
      </c>
      <c r="L72" s="414"/>
      <c r="M72" s="415"/>
    </row>
    <row r="73" spans="1:13">
      <c r="A73" s="416" t="s">
        <v>1000</v>
      </c>
      <c r="B73" s="271" t="s">
        <v>1000</v>
      </c>
      <c r="C73" s="417">
        <v>150</v>
      </c>
      <c r="D73" s="413">
        <v>47</v>
      </c>
      <c r="E73" s="417">
        <v>5.05</v>
      </c>
      <c r="F73" s="417">
        <v>8.5812302330928532</v>
      </c>
      <c r="G73" s="418">
        <v>2.7270000000000003</v>
      </c>
      <c r="H73" s="411">
        <v>5.4237493259877363</v>
      </c>
      <c r="I73" s="411">
        <v>0.43048090710511555</v>
      </c>
      <c r="J73" s="411">
        <v>5.854230233092852</v>
      </c>
      <c r="K73" s="398" t="s">
        <v>932</v>
      </c>
      <c r="L73" s="414"/>
      <c r="M73" s="415"/>
    </row>
    <row r="74" spans="1:13">
      <c r="A74" s="416" t="s">
        <v>1001</v>
      </c>
      <c r="B74" s="271" t="s">
        <v>1001</v>
      </c>
      <c r="C74" s="417">
        <v>150</v>
      </c>
      <c r="D74" s="413">
        <v>78</v>
      </c>
      <c r="E74" s="417">
        <v>5.05</v>
      </c>
      <c r="F74" s="417">
        <v>8.5812302330928532</v>
      </c>
      <c r="G74" s="418">
        <v>2.7270000000000003</v>
      </c>
      <c r="H74" s="411">
        <v>5.4237493259877363</v>
      </c>
      <c r="I74" s="411">
        <v>0.43048090710511555</v>
      </c>
      <c r="J74" s="411">
        <v>5.854230233092852</v>
      </c>
      <c r="K74" s="398" t="s">
        <v>932</v>
      </c>
      <c r="L74" s="414"/>
      <c r="M74" s="415"/>
    </row>
    <row r="75" spans="1:13">
      <c r="A75" s="416" t="s">
        <v>1002</v>
      </c>
      <c r="B75" s="271" t="s">
        <v>1002</v>
      </c>
      <c r="C75" s="417">
        <v>150</v>
      </c>
      <c r="D75" s="413">
        <v>105</v>
      </c>
      <c r="E75" s="417">
        <v>5.05</v>
      </c>
      <c r="F75" s="417">
        <v>8.5812302330928532</v>
      </c>
      <c r="G75" s="418">
        <v>2.7270000000000003</v>
      </c>
      <c r="H75" s="411">
        <v>5.4237493259877363</v>
      </c>
      <c r="I75" s="411">
        <v>0.43048090710511555</v>
      </c>
      <c r="J75" s="411">
        <v>5.854230233092852</v>
      </c>
      <c r="K75" s="398" t="s">
        <v>932</v>
      </c>
      <c r="L75" s="414"/>
      <c r="M75" s="415"/>
    </row>
    <row r="76" spans="1:13">
      <c r="A76" s="416" t="s">
        <v>1003</v>
      </c>
      <c r="B76" s="271" t="s">
        <v>1003</v>
      </c>
      <c r="C76" s="417">
        <v>150</v>
      </c>
      <c r="D76" s="413">
        <v>52</v>
      </c>
      <c r="E76" s="417">
        <v>5.05</v>
      </c>
      <c r="F76" s="417">
        <v>8.5812302330928532</v>
      </c>
      <c r="G76" s="418">
        <v>2.7270000000000003</v>
      </c>
      <c r="H76" s="411">
        <v>5.4237493259877363</v>
      </c>
      <c r="I76" s="411">
        <v>0.43048090710511555</v>
      </c>
      <c r="J76" s="411">
        <v>5.854230233092852</v>
      </c>
      <c r="K76" s="398" t="s">
        <v>932</v>
      </c>
      <c r="L76" s="414"/>
      <c r="M76" s="415"/>
    </row>
    <row r="77" spans="1:13">
      <c r="A77" s="416" t="s">
        <v>1004</v>
      </c>
      <c r="B77" s="271" t="s">
        <v>1004</v>
      </c>
      <c r="C77" s="417" t="e">
        <v>#VALUE!</v>
      </c>
      <c r="D77" s="413" t="s">
        <v>542</v>
      </c>
      <c r="E77" s="417">
        <v>5.05</v>
      </c>
      <c r="F77" s="417">
        <v>8.5812302330928532</v>
      </c>
      <c r="G77" s="418">
        <v>2.7270000000000003</v>
      </c>
      <c r="H77" s="411">
        <v>5.4237493259877363</v>
      </c>
      <c r="I77" s="411">
        <v>0.43048090710511555</v>
      </c>
      <c r="J77" s="411">
        <v>5.854230233092852</v>
      </c>
      <c r="K77" s="398" t="s">
        <v>932</v>
      </c>
      <c r="L77" s="414"/>
      <c r="M77" s="415"/>
    </row>
    <row r="78" spans="1:13">
      <c r="A78" s="416" t="s">
        <v>1005</v>
      </c>
      <c r="B78" s="271" t="s">
        <v>1005</v>
      </c>
      <c r="C78" s="417">
        <v>150</v>
      </c>
      <c r="D78" s="413">
        <v>35</v>
      </c>
      <c r="E78" s="417">
        <v>5.05</v>
      </c>
      <c r="F78" s="417">
        <v>8.5812302330928532</v>
      </c>
      <c r="G78" s="418">
        <v>2.7270000000000003</v>
      </c>
      <c r="H78" s="411">
        <v>5.4237493259877363</v>
      </c>
      <c r="I78" s="411">
        <v>0.43048090710511555</v>
      </c>
      <c r="J78" s="411">
        <v>5.854230233092852</v>
      </c>
      <c r="K78" s="398" t="s">
        <v>932</v>
      </c>
      <c r="L78" s="414"/>
      <c r="M78" s="415"/>
    </row>
    <row r="79" spans="1:13">
      <c r="A79" s="416" t="s">
        <v>1006</v>
      </c>
      <c r="B79" s="271" t="s">
        <v>1006</v>
      </c>
      <c r="C79" s="417">
        <v>150</v>
      </c>
      <c r="D79" s="413">
        <v>69</v>
      </c>
      <c r="E79" s="417">
        <v>5.05</v>
      </c>
      <c r="F79" s="417">
        <v>8.5812302330928532</v>
      </c>
      <c r="G79" s="418">
        <v>2.7270000000000003</v>
      </c>
      <c r="H79" s="411">
        <v>5.4237493259877363</v>
      </c>
      <c r="I79" s="411">
        <v>0.43048090710511555</v>
      </c>
      <c r="J79" s="411">
        <v>5.854230233092852</v>
      </c>
      <c r="K79" s="398" t="s">
        <v>932</v>
      </c>
      <c r="L79" s="414"/>
      <c r="M79" s="415"/>
    </row>
    <row r="80" spans="1:13">
      <c r="A80" s="416" t="s">
        <v>1007</v>
      </c>
      <c r="B80" s="271" t="s">
        <v>1007</v>
      </c>
      <c r="C80" s="417">
        <v>150</v>
      </c>
      <c r="D80" s="413">
        <v>94</v>
      </c>
      <c r="E80" s="417">
        <v>5.05</v>
      </c>
      <c r="F80" s="417">
        <v>8.5812302330928532</v>
      </c>
      <c r="G80" s="418">
        <v>2.7270000000000003</v>
      </c>
      <c r="H80" s="411">
        <v>5.4237493259877363</v>
      </c>
      <c r="I80" s="411">
        <v>0.43048090710511555</v>
      </c>
      <c r="J80" s="411">
        <v>5.854230233092852</v>
      </c>
      <c r="K80" s="398" t="s">
        <v>932</v>
      </c>
      <c r="L80" s="414"/>
      <c r="M80" s="415"/>
    </row>
    <row r="81" spans="1:13">
      <c r="A81" s="416" t="s">
        <v>1008</v>
      </c>
      <c r="B81" s="271" t="s">
        <v>1008</v>
      </c>
      <c r="C81" s="417">
        <v>150</v>
      </c>
      <c r="D81" s="413">
        <v>58</v>
      </c>
      <c r="E81" s="417">
        <v>5.05</v>
      </c>
      <c r="F81" s="417">
        <v>8.5812302330928532</v>
      </c>
      <c r="G81" s="418">
        <v>2.7270000000000003</v>
      </c>
      <c r="H81" s="411">
        <v>5.4237493259877363</v>
      </c>
      <c r="I81" s="411">
        <v>0.43048090710511555</v>
      </c>
      <c r="J81" s="411">
        <v>5.854230233092852</v>
      </c>
      <c r="K81" s="398" t="s">
        <v>932</v>
      </c>
      <c r="L81" s="414"/>
      <c r="M81" s="415"/>
    </row>
    <row r="82" spans="1:13">
      <c r="A82" s="416" t="s">
        <v>1009</v>
      </c>
      <c r="B82" s="271" t="s">
        <v>1009</v>
      </c>
      <c r="C82" s="417" t="e">
        <v>#VALUE!</v>
      </c>
      <c r="D82" s="413" t="s">
        <v>542</v>
      </c>
      <c r="E82" s="417">
        <v>5.05</v>
      </c>
      <c r="F82" s="417">
        <v>8.5812302330928532</v>
      </c>
      <c r="G82" s="418">
        <v>2.7270000000000003</v>
      </c>
      <c r="H82" s="411">
        <v>5.4237493259877363</v>
      </c>
      <c r="I82" s="411">
        <v>0.43048090710511555</v>
      </c>
      <c r="J82" s="411">
        <v>5.854230233092852</v>
      </c>
      <c r="K82" s="398" t="s">
        <v>932</v>
      </c>
      <c r="L82" s="414"/>
      <c r="M82" s="415"/>
    </row>
    <row r="83" spans="1:13">
      <c r="A83" s="416" t="s">
        <v>1010</v>
      </c>
      <c r="B83" s="271" t="s">
        <v>1010</v>
      </c>
      <c r="C83" s="417">
        <v>150</v>
      </c>
      <c r="D83" s="413">
        <v>65</v>
      </c>
      <c r="E83" s="417">
        <v>5.05</v>
      </c>
      <c r="F83" s="417">
        <v>8.5812302330928532</v>
      </c>
      <c r="G83" s="418">
        <v>2.7270000000000003</v>
      </c>
      <c r="H83" s="411">
        <v>5.4237493259877363</v>
      </c>
      <c r="I83" s="411">
        <v>0.43048090710511555</v>
      </c>
      <c r="J83" s="411">
        <v>5.854230233092852</v>
      </c>
      <c r="K83" s="398" t="s">
        <v>932</v>
      </c>
      <c r="L83" s="414"/>
      <c r="M83" s="415"/>
    </row>
    <row r="84" spans="1:13">
      <c r="A84" s="416" t="s">
        <v>1011</v>
      </c>
      <c r="B84" s="271" t="s">
        <v>1011</v>
      </c>
      <c r="C84" s="417" t="e">
        <v>#VALUE!</v>
      </c>
      <c r="D84" s="413" t="s">
        <v>542</v>
      </c>
      <c r="E84" s="417">
        <v>5.05</v>
      </c>
      <c r="F84" s="417">
        <v>8.5812302330928532</v>
      </c>
      <c r="G84" s="418">
        <v>2.7270000000000003</v>
      </c>
      <c r="H84" s="411">
        <v>5.4237493259877363</v>
      </c>
      <c r="I84" s="411">
        <v>0.43048090710511555</v>
      </c>
      <c r="J84" s="411">
        <v>5.854230233092852</v>
      </c>
      <c r="K84" s="398" t="s">
        <v>932</v>
      </c>
      <c r="L84" s="414"/>
      <c r="M84" s="415"/>
    </row>
    <row r="85" spans="1:13">
      <c r="A85" s="416" t="s">
        <v>1012</v>
      </c>
      <c r="B85" s="271" t="s">
        <v>1012</v>
      </c>
      <c r="C85" s="417">
        <v>150</v>
      </c>
      <c r="D85" s="413">
        <v>508</v>
      </c>
      <c r="E85" s="417">
        <v>5.05</v>
      </c>
      <c r="F85" s="417">
        <v>23.902930233092853</v>
      </c>
      <c r="G85" s="418">
        <v>18.0487</v>
      </c>
      <c r="H85" s="411">
        <v>5.4237493259877363</v>
      </c>
      <c r="I85" s="411">
        <v>0.43048090710511555</v>
      </c>
      <c r="J85" s="411">
        <v>5.854230233092852</v>
      </c>
      <c r="K85" s="398" t="s">
        <v>932</v>
      </c>
      <c r="L85" s="414"/>
      <c r="M85" s="415"/>
    </row>
    <row r="86" spans="1:13">
      <c r="A86" s="416" t="s">
        <v>1013</v>
      </c>
      <c r="B86" s="271" t="s">
        <v>1013</v>
      </c>
      <c r="C86" s="417">
        <v>150</v>
      </c>
      <c r="D86" s="413">
        <v>534</v>
      </c>
      <c r="E86" s="417">
        <v>5.05</v>
      </c>
      <c r="F86" s="417">
        <v>25.185630233092855</v>
      </c>
      <c r="G86" s="418">
        <v>19.331400000000002</v>
      </c>
      <c r="H86" s="411">
        <v>5.4237493259877363</v>
      </c>
      <c r="I86" s="411">
        <v>0.43048090710511555</v>
      </c>
      <c r="J86" s="411">
        <v>5.854230233092852</v>
      </c>
      <c r="K86" s="398" t="s">
        <v>932</v>
      </c>
      <c r="L86" s="414"/>
      <c r="M86" s="415"/>
    </row>
    <row r="87" spans="1:13">
      <c r="A87" s="416" t="s">
        <v>1014</v>
      </c>
      <c r="B87" s="271" t="s">
        <v>1014</v>
      </c>
      <c r="C87" s="417">
        <v>150</v>
      </c>
      <c r="D87" s="413">
        <v>485</v>
      </c>
      <c r="E87" s="417">
        <v>5.05</v>
      </c>
      <c r="F87" s="417">
        <v>29.053930233092853</v>
      </c>
      <c r="G87" s="418">
        <v>23.1997</v>
      </c>
      <c r="H87" s="411">
        <v>5.4237493259877363</v>
      </c>
      <c r="I87" s="411">
        <v>0.43048090710511555</v>
      </c>
      <c r="J87" s="411">
        <v>5.854230233092852</v>
      </c>
      <c r="K87" s="398" t="s">
        <v>932</v>
      </c>
      <c r="L87" s="414"/>
      <c r="M87" s="415"/>
    </row>
    <row r="88" spans="1:13">
      <c r="A88" s="416" t="s">
        <v>1015</v>
      </c>
      <c r="B88" s="271" t="s">
        <v>1015</v>
      </c>
      <c r="C88" s="417">
        <v>150</v>
      </c>
      <c r="D88" s="413">
        <v>250</v>
      </c>
      <c r="E88" s="417">
        <v>5.05</v>
      </c>
      <c r="F88" s="417">
        <v>15.136130233092853</v>
      </c>
      <c r="G88" s="418">
        <v>9.2819000000000003</v>
      </c>
      <c r="H88" s="411">
        <v>5.4237493259877363</v>
      </c>
      <c r="I88" s="411">
        <v>0.43048090710511555</v>
      </c>
      <c r="J88" s="411">
        <v>5.854230233092852</v>
      </c>
      <c r="K88" s="398" t="s">
        <v>932</v>
      </c>
      <c r="L88" s="414"/>
      <c r="M88" s="415"/>
    </row>
    <row r="89" spans="1:13">
      <c r="A89" s="416" t="s">
        <v>1016</v>
      </c>
      <c r="B89" s="271" t="s">
        <v>1016</v>
      </c>
      <c r="C89" s="417">
        <v>150</v>
      </c>
      <c r="D89" s="413">
        <v>328</v>
      </c>
      <c r="E89" s="417">
        <v>5.05</v>
      </c>
      <c r="F89" s="417">
        <v>18.741830233092852</v>
      </c>
      <c r="G89" s="418">
        <v>12.887599999999999</v>
      </c>
      <c r="H89" s="411">
        <v>5.4237493259877363</v>
      </c>
      <c r="I89" s="411">
        <v>0.43048090710511555</v>
      </c>
      <c r="J89" s="411">
        <v>5.854230233092852</v>
      </c>
      <c r="K89" s="398" t="s">
        <v>932</v>
      </c>
      <c r="L89" s="414"/>
      <c r="M89" s="415"/>
    </row>
    <row r="90" spans="1:13">
      <c r="A90" s="416" t="s">
        <v>1017</v>
      </c>
      <c r="B90" s="271" t="s">
        <v>1017</v>
      </c>
      <c r="C90" s="417">
        <v>150</v>
      </c>
      <c r="D90" s="413">
        <v>210</v>
      </c>
      <c r="E90" s="417">
        <v>5.05</v>
      </c>
      <c r="F90" s="417">
        <v>13.590830233092852</v>
      </c>
      <c r="G90" s="418">
        <v>7.7366000000000001</v>
      </c>
      <c r="H90" s="411">
        <v>5.4237493259877363</v>
      </c>
      <c r="I90" s="411">
        <v>0.43048090710511555</v>
      </c>
      <c r="J90" s="411">
        <v>5.854230233092852</v>
      </c>
      <c r="K90" s="398" t="s">
        <v>932</v>
      </c>
      <c r="L90" s="414"/>
      <c r="M90" s="415"/>
    </row>
    <row r="91" spans="1:13">
      <c r="A91" s="416" t="s">
        <v>1018</v>
      </c>
      <c r="B91" s="271" t="s">
        <v>1018</v>
      </c>
      <c r="C91" s="417">
        <v>150</v>
      </c>
      <c r="D91" s="413">
        <v>155</v>
      </c>
      <c r="E91" s="417">
        <v>5.05</v>
      </c>
      <c r="F91" s="417">
        <v>13.590830233092852</v>
      </c>
      <c r="G91" s="418">
        <v>7.7366000000000001</v>
      </c>
      <c r="H91" s="411">
        <v>5.4237493259877363</v>
      </c>
      <c r="I91" s="411">
        <v>0.43048090710511555</v>
      </c>
      <c r="J91" s="411">
        <v>5.854230233092852</v>
      </c>
      <c r="K91" s="398" t="s">
        <v>932</v>
      </c>
      <c r="L91" s="414"/>
      <c r="M91" s="415"/>
    </row>
    <row r="92" spans="1:13">
      <c r="A92" s="416" t="s">
        <v>1019</v>
      </c>
      <c r="B92" s="271" t="s">
        <v>1019</v>
      </c>
      <c r="C92" s="417">
        <v>150</v>
      </c>
      <c r="D92" s="413">
        <v>442</v>
      </c>
      <c r="E92" s="417">
        <v>5.05</v>
      </c>
      <c r="F92" s="417">
        <v>21.317330233092854</v>
      </c>
      <c r="G92" s="418">
        <v>15.463100000000001</v>
      </c>
      <c r="H92" s="411">
        <v>5.4237493259877363</v>
      </c>
      <c r="I92" s="411">
        <v>0.43048090710511555</v>
      </c>
      <c r="J92" s="411">
        <v>5.854230233092852</v>
      </c>
      <c r="K92" s="398" t="s">
        <v>932</v>
      </c>
      <c r="L92" s="414"/>
      <c r="M92" s="415"/>
    </row>
    <row r="93" spans="1:13">
      <c r="A93" s="416" t="s">
        <v>1020</v>
      </c>
      <c r="B93" s="271" t="s">
        <v>1020</v>
      </c>
      <c r="C93" s="417" t="e">
        <v>#VALUE!</v>
      </c>
      <c r="D93" s="413" t="s">
        <v>542</v>
      </c>
      <c r="E93" s="417">
        <v>5.05</v>
      </c>
      <c r="F93" s="417" t="e">
        <v>#N/A</v>
      </c>
      <c r="G93" s="418" t="e">
        <v>#N/A</v>
      </c>
      <c r="H93" s="411">
        <v>5.4237493259877363</v>
      </c>
      <c r="I93" s="411">
        <v>0.43048090710511555</v>
      </c>
      <c r="J93" s="411">
        <v>5.854230233092852</v>
      </c>
      <c r="K93" s="398" t="s">
        <v>932</v>
      </c>
      <c r="L93" s="414"/>
      <c r="M93" s="415"/>
    </row>
    <row r="94" spans="1:13">
      <c r="A94" s="416" t="s">
        <v>1021</v>
      </c>
      <c r="B94" s="271" t="s">
        <v>1021</v>
      </c>
      <c r="C94" s="417">
        <v>150</v>
      </c>
      <c r="D94" s="413">
        <v>274</v>
      </c>
      <c r="E94" s="417">
        <v>5.05</v>
      </c>
      <c r="F94" s="417">
        <v>16.166330233092854</v>
      </c>
      <c r="G94" s="418">
        <v>10.312100000000001</v>
      </c>
      <c r="H94" s="411">
        <v>5.4237493259877363</v>
      </c>
      <c r="I94" s="411">
        <v>0.43048090710511555</v>
      </c>
      <c r="J94" s="411">
        <v>5.854230233092852</v>
      </c>
      <c r="K94" s="398" t="s">
        <v>932</v>
      </c>
      <c r="L94" s="414"/>
      <c r="M94" s="415"/>
    </row>
    <row r="95" spans="1:13">
      <c r="A95" s="416" t="s">
        <v>1022</v>
      </c>
      <c r="B95" s="271" t="s">
        <v>1022</v>
      </c>
      <c r="C95" s="417">
        <v>150</v>
      </c>
      <c r="D95" s="413">
        <v>120</v>
      </c>
      <c r="E95" s="417">
        <v>5.05</v>
      </c>
      <c r="F95" s="417">
        <v>13.590830233092852</v>
      </c>
      <c r="G95" s="418">
        <v>7.7366000000000001</v>
      </c>
      <c r="H95" s="411">
        <v>5.4237493259877363</v>
      </c>
      <c r="I95" s="411">
        <v>0.43048090710511555</v>
      </c>
      <c r="J95" s="411">
        <v>5.854230233092852</v>
      </c>
      <c r="K95" s="398" t="s">
        <v>932</v>
      </c>
      <c r="L95" s="414"/>
      <c r="M95" s="415"/>
    </row>
    <row r="96" spans="1:13">
      <c r="A96" s="416" t="s">
        <v>1023</v>
      </c>
      <c r="B96" s="271" t="s">
        <v>1023</v>
      </c>
      <c r="C96" s="417" t="e">
        <v>#VALUE!</v>
      </c>
      <c r="D96" s="413" t="s">
        <v>542</v>
      </c>
      <c r="E96" s="417">
        <v>5.05</v>
      </c>
      <c r="F96" s="417">
        <v>29.053930233092853</v>
      </c>
      <c r="G96" s="418">
        <v>23.1997</v>
      </c>
      <c r="H96" s="411">
        <v>5.4237493259877363</v>
      </c>
      <c r="I96" s="411">
        <v>0.43048090710511555</v>
      </c>
      <c r="J96" s="411">
        <v>5.854230233092852</v>
      </c>
      <c r="K96" s="398" t="s">
        <v>932</v>
      </c>
      <c r="L96" s="414"/>
      <c r="M96" s="415"/>
    </row>
    <row r="97" spans="1:13">
      <c r="A97" s="416" t="s">
        <v>1024</v>
      </c>
      <c r="B97" s="271" t="s">
        <v>1024</v>
      </c>
      <c r="C97" s="417">
        <v>150</v>
      </c>
      <c r="D97" s="413">
        <v>570</v>
      </c>
      <c r="E97" s="417">
        <v>5.05</v>
      </c>
      <c r="F97" s="417">
        <v>34.215030233092847</v>
      </c>
      <c r="G97" s="418">
        <v>28.360799999999998</v>
      </c>
      <c r="H97" s="411">
        <v>5.4237493259877363</v>
      </c>
      <c r="I97" s="411">
        <v>0.43048090710511555</v>
      </c>
      <c r="J97" s="411">
        <v>5.854230233092852</v>
      </c>
      <c r="K97" s="398" t="s">
        <v>932</v>
      </c>
      <c r="L97" s="414"/>
      <c r="M97" s="415"/>
    </row>
    <row r="98" spans="1:13">
      <c r="A98" s="416" t="s">
        <v>1025</v>
      </c>
      <c r="B98" s="271" t="s">
        <v>1025</v>
      </c>
      <c r="C98" s="417">
        <v>150</v>
      </c>
      <c r="D98" s="413">
        <v>230</v>
      </c>
      <c r="E98" s="417">
        <v>5.05</v>
      </c>
      <c r="F98" s="417">
        <v>16.166330233092854</v>
      </c>
      <c r="G98" s="418">
        <v>10.312100000000001</v>
      </c>
      <c r="H98" s="411">
        <v>5.4237493259877363</v>
      </c>
      <c r="I98" s="411">
        <v>0.43048090710511555</v>
      </c>
      <c r="J98" s="411">
        <v>5.854230233092852</v>
      </c>
      <c r="K98" s="398" t="s">
        <v>932</v>
      </c>
      <c r="L98" s="414"/>
      <c r="M98" s="415"/>
    </row>
    <row r="99" spans="1:13">
      <c r="A99" s="416" t="s">
        <v>1026</v>
      </c>
      <c r="B99" s="271" t="s">
        <v>1026</v>
      </c>
      <c r="C99" s="417">
        <v>150</v>
      </c>
      <c r="D99" s="413">
        <v>360</v>
      </c>
      <c r="E99" s="417">
        <v>5.05</v>
      </c>
      <c r="F99" s="417">
        <v>23.902930233092853</v>
      </c>
      <c r="G99" s="418">
        <v>18.0487</v>
      </c>
      <c r="H99" s="411">
        <v>5.4237493259877363</v>
      </c>
      <c r="I99" s="411">
        <v>0.43048090710511555</v>
      </c>
      <c r="J99" s="411">
        <v>5.854230233092852</v>
      </c>
      <c r="K99" s="398" t="s">
        <v>932</v>
      </c>
      <c r="L99" s="414"/>
      <c r="M99" s="415"/>
    </row>
    <row r="100" spans="1:13">
      <c r="A100" s="416" t="s">
        <v>1027</v>
      </c>
      <c r="B100" s="271" t="s">
        <v>1027</v>
      </c>
      <c r="C100" s="417">
        <v>150</v>
      </c>
      <c r="D100" s="413">
        <v>220</v>
      </c>
      <c r="E100" s="417">
        <v>5.05</v>
      </c>
      <c r="F100" s="417">
        <v>13.590830233092852</v>
      </c>
      <c r="G100" s="418">
        <v>7.7366000000000001</v>
      </c>
      <c r="H100" s="411">
        <v>5.4237493259877363</v>
      </c>
      <c r="I100" s="411">
        <v>0.43048090710511555</v>
      </c>
      <c r="J100" s="411">
        <v>5.854230233092852</v>
      </c>
      <c r="K100" s="398" t="s">
        <v>932</v>
      </c>
      <c r="L100" s="414"/>
      <c r="M100" s="415"/>
    </row>
    <row r="101" spans="1:13">
      <c r="A101" s="416" t="s">
        <v>1028</v>
      </c>
      <c r="B101" s="271" t="s">
        <v>1028</v>
      </c>
      <c r="C101" s="417">
        <v>150</v>
      </c>
      <c r="D101" s="413">
        <v>296</v>
      </c>
      <c r="E101" s="417">
        <v>5.05</v>
      </c>
      <c r="F101" s="417">
        <v>16.166330233092854</v>
      </c>
      <c r="G101" s="418">
        <v>10.312100000000001</v>
      </c>
      <c r="H101" s="411">
        <v>5.4237493259877363</v>
      </c>
      <c r="I101" s="411">
        <v>0.43048090710511555</v>
      </c>
      <c r="J101" s="411">
        <v>5.854230233092852</v>
      </c>
      <c r="K101" s="398" t="s">
        <v>932</v>
      </c>
      <c r="L101" s="414"/>
      <c r="M101" s="415"/>
    </row>
    <row r="102" spans="1:13">
      <c r="A102" s="416" t="s">
        <v>1029</v>
      </c>
      <c r="B102" s="271" t="s">
        <v>1029</v>
      </c>
      <c r="C102" s="417" t="e">
        <v>#VALUE!</v>
      </c>
      <c r="D102" s="413" t="s">
        <v>542</v>
      </c>
      <c r="E102" s="417">
        <v>5.05</v>
      </c>
      <c r="F102" s="417">
        <v>13.590830233092852</v>
      </c>
      <c r="G102" s="418">
        <v>7.7366000000000001</v>
      </c>
      <c r="H102" s="411">
        <v>5.4237493259877363</v>
      </c>
      <c r="I102" s="411">
        <v>0.43048090710511555</v>
      </c>
      <c r="J102" s="411">
        <v>5.854230233092852</v>
      </c>
      <c r="K102" s="398" t="s">
        <v>932</v>
      </c>
      <c r="L102" s="414"/>
      <c r="M102" s="415"/>
    </row>
    <row r="103" spans="1:13">
      <c r="A103" s="416" t="s">
        <v>1030</v>
      </c>
      <c r="B103" s="271" t="s">
        <v>1030</v>
      </c>
      <c r="C103" s="417">
        <v>150</v>
      </c>
      <c r="D103" s="413">
        <v>384</v>
      </c>
      <c r="E103" s="417">
        <v>5.05</v>
      </c>
      <c r="F103" s="417">
        <v>18.741830233092852</v>
      </c>
      <c r="G103" s="418">
        <v>12.887599999999999</v>
      </c>
      <c r="H103" s="411">
        <v>5.4237493259877363</v>
      </c>
      <c r="I103" s="411">
        <v>0.43048090710511555</v>
      </c>
      <c r="J103" s="411">
        <v>5.854230233092852</v>
      </c>
      <c r="K103" s="398" t="s">
        <v>932</v>
      </c>
      <c r="L103" s="414"/>
      <c r="M103" s="415"/>
    </row>
    <row r="104" spans="1:13">
      <c r="A104" s="416" t="s">
        <v>1031</v>
      </c>
      <c r="B104" s="271" t="s">
        <v>1031</v>
      </c>
      <c r="C104" s="417" t="e">
        <v>#VALUE!</v>
      </c>
      <c r="D104" s="413" t="s">
        <v>542</v>
      </c>
      <c r="E104" s="417">
        <v>5.05</v>
      </c>
      <c r="F104" s="417">
        <v>23.902930233092853</v>
      </c>
      <c r="G104" s="418">
        <v>18.0487</v>
      </c>
      <c r="H104" s="411">
        <v>5.4237493259877363</v>
      </c>
      <c r="I104" s="411">
        <v>0.43048090710511555</v>
      </c>
      <c r="J104" s="411">
        <v>5.854230233092852</v>
      </c>
      <c r="K104" s="398" t="s">
        <v>932</v>
      </c>
      <c r="L104" s="414"/>
      <c r="M104" s="415"/>
    </row>
    <row r="105" spans="1:13">
      <c r="A105" s="416" t="s">
        <v>1032</v>
      </c>
      <c r="B105" s="271" t="s">
        <v>1032</v>
      </c>
      <c r="C105" s="417">
        <v>150</v>
      </c>
      <c r="D105" s="413">
        <v>151</v>
      </c>
      <c r="E105" s="417">
        <v>5.05</v>
      </c>
      <c r="F105" s="417">
        <v>23.902930233092853</v>
      </c>
      <c r="G105" s="418">
        <v>18.0487</v>
      </c>
      <c r="H105" s="411">
        <v>5.4237493259877363</v>
      </c>
      <c r="I105" s="411">
        <v>0.43048090710511555</v>
      </c>
      <c r="J105" s="411">
        <v>5.854230233092852</v>
      </c>
      <c r="K105" s="398" t="s">
        <v>932</v>
      </c>
      <c r="L105" s="414"/>
      <c r="M105" s="415"/>
    </row>
    <row r="106" spans="1:13">
      <c r="A106" s="416" t="s">
        <v>1033</v>
      </c>
      <c r="B106" s="271" t="s">
        <v>1033</v>
      </c>
      <c r="C106" s="417">
        <v>150</v>
      </c>
      <c r="D106" s="413">
        <v>69</v>
      </c>
      <c r="E106" s="417">
        <v>5.05</v>
      </c>
      <c r="F106" s="417">
        <v>13.590830233092852</v>
      </c>
      <c r="G106" s="418">
        <v>7.7366000000000001</v>
      </c>
      <c r="H106" s="411">
        <v>5.4237493259877363</v>
      </c>
      <c r="I106" s="411">
        <v>0.43048090710511555</v>
      </c>
      <c r="J106" s="411">
        <v>5.854230233092852</v>
      </c>
      <c r="K106" s="398" t="s">
        <v>932</v>
      </c>
      <c r="L106" s="414"/>
      <c r="M106" s="415"/>
    </row>
    <row r="107" spans="1:13">
      <c r="A107" s="416" t="s">
        <v>1034</v>
      </c>
      <c r="B107" s="271" t="s">
        <v>1034</v>
      </c>
      <c r="C107" s="417" t="e">
        <v>#VALUE!</v>
      </c>
      <c r="D107" s="413" t="s">
        <v>542</v>
      </c>
      <c r="E107" s="417">
        <v>5.05</v>
      </c>
      <c r="F107" s="417">
        <v>13.590830233092852</v>
      </c>
      <c r="G107" s="418">
        <v>7.7366000000000001</v>
      </c>
      <c r="H107" s="411">
        <v>5.4237493259877363</v>
      </c>
      <c r="I107" s="411">
        <v>0.43048090710511555</v>
      </c>
      <c r="J107" s="411">
        <v>5.854230233092852</v>
      </c>
      <c r="K107" s="398" t="s">
        <v>932</v>
      </c>
      <c r="L107" s="414"/>
      <c r="M107" s="415"/>
    </row>
    <row r="108" spans="1:13">
      <c r="A108" s="416" t="s">
        <v>1035</v>
      </c>
      <c r="B108" s="271" t="s">
        <v>1035</v>
      </c>
      <c r="C108" s="417">
        <v>150</v>
      </c>
      <c r="D108" s="413">
        <v>221</v>
      </c>
      <c r="E108" s="417">
        <v>5.05</v>
      </c>
      <c r="F108" s="417">
        <v>21.317330233092854</v>
      </c>
      <c r="G108" s="418">
        <v>15.463100000000001</v>
      </c>
      <c r="H108" s="411">
        <v>5.4237493259877363</v>
      </c>
      <c r="I108" s="411">
        <v>0.43048090710511555</v>
      </c>
      <c r="J108" s="411">
        <v>5.854230233092852</v>
      </c>
      <c r="K108" s="398" t="s">
        <v>932</v>
      </c>
      <c r="L108" s="414"/>
      <c r="M108" s="415"/>
    </row>
    <row r="109" spans="1:13">
      <c r="A109" s="416" t="s">
        <v>1036</v>
      </c>
      <c r="B109" s="271" t="s">
        <v>1036</v>
      </c>
      <c r="C109" s="417">
        <v>150</v>
      </c>
      <c r="D109" s="413">
        <v>115</v>
      </c>
      <c r="E109" s="417">
        <v>5.05</v>
      </c>
      <c r="F109" s="417">
        <v>16.166330233092854</v>
      </c>
      <c r="G109" s="418">
        <v>10.312100000000001</v>
      </c>
      <c r="H109" s="411">
        <v>5.4237493259877363</v>
      </c>
      <c r="I109" s="411">
        <v>0.43048090710511555</v>
      </c>
      <c r="J109" s="411">
        <v>5.854230233092852</v>
      </c>
      <c r="K109" s="398" t="s">
        <v>932</v>
      </c>
      <c r="L109" s="414"/>
      <c r="M109" s="415"/>
    </row>
    <row r="110" spans="1:13">
      <c r="A110" s="416" t="s">
        <v>1037</v>
      </c>
      <c r="B110" s="271" t="s">
        <v>1037</v>
      </c>
      <c r="C110" s="417">
        <v>150</v>
      </c>
      <c r="D110" s="413">
        <v>227</v>
      </c>
      <c r="E110" s="417">
        <v>5.05</v>
      </c>
      <c r="F110" s="417">
        <v>34.215030233092847</v>
      </c>
      <c r="G110" s="418">
        <v>28.360799999999998</v>
      </c>
      <c r="H110" s="411">
        <v>5.4237493259877363</v>
      </c>
      <c r="I110" s="411">
        <v>0.43048090710511555</v>
      </c>
      <c r="J110" s="411">
        <v>5.854230233092852</v>
      </c>
      <c r="K110" s="398" t="s">
        <v>932</v>
      </c>
      <c r="L110" s="414"/>
      <c r="M110" s="415"/>
    </row>
    <row r="111" spans="1:13">
      <c r="A111" s="416" t="s">
        <v>1038</v>
      </c>
      <c r="B111" s="271" t="s">
        <v>1038</v>
      </c>
      <c r="C111" s="417">
        <v>150</v>
      </c>
      <c r="D111" s="413">
        <v>83</v>
      </c>
      <c r="E111" s="417">
        <v>5.05</v>
      </c>
      <c r="F111" s="417">
        <v>15.136130233092853</v>
      </c>
      <c r="G111" s="418">
        <v>9.2819000000000003</v>
      </c>
      <c r="H111" s="411">
        <v>5.4237493259877363</v>
      </c>
      <c r="I111" s="411">
        <v>0.43048090710511555</v>
      </c>
      <c r="J111" s="411">
        <v>5.854230233092852</v>
      </c>
      <c r="K111" s="398" t="s">
        <v>932</v>
      </c>
      <c r="L111" s="414"/>
      <c r="M111" s="415"/>
    </row>
    <row r="112" spans="1:13">
      <c r="A112" s="416" t="s">
        <v>1039</v>
      </c>
      <c r="B112" s="271" t="s">
        <v>1039</v>
      </c>
      <c r="C112" s="417">
        <v>150</v>
      </c>
      <c r="D112" s="413">
        <v>105</v>
      </c>
      <c r="E112" s="417">
        <v>5.05</v>
      </c>
      <c r="F112" s="417">
        <v>13.590830233092852</v>
      </c>
      <c r="G112" s="418">
        <v>7.7366000000000001</v>
      </c>
      <c r="H112" s="411">
        <v>5.4237493259877363</v>
      </c>
      <c r="I112" s="411">
        <v>0.43048090710511555</v>
      </c>
      <c r="J112" s="411">
        <v>5.854230233092852</v>
      </c>
      <c r="K112" s="398" t="s">
        <v>932</v>
      </c>
      <c r="L112" s="414"/>
      <c r="M112" s="415"/>
    </row>
    <row r="113" spans="1:13">
      <c r="A113" s="416" t="s">
        <v>1040</v>
      </c>
      <c r="B113" s="271" t="s">
        <v>1040</v>
      </c>
      <c r="C113" s="417">
        <v>150</v>
      </c>
      <c r="D113" s="413">
        <v>267</v>
      </c>
      <c r="E113" s="417">
        <v>5.05</v>
      </c>
      <c r="F113" s="417">
        <v>25.185630233092855</v>
      </c>
      <c r="G113" s="418">
        <v>19.331400000000002</v>
      </c>
      <c r="H113" s="411">
        <v>5.4237493259877363</v>
      </c>
      <c r="I113" s="411">
        <v>0.43048090710511555</v>
      </c>
      <c r="J113" s="411">
        <v>5.854230233092852</v>
      </c>
      <c r="K113" s="398" t="s">
        <v>932</v>
      </c>
      <c r="L113" s="414"/>
      <c r="M113" s="415"/>
    </row>
    <row r="114" spans="1:13">
      <c r="A114" s="416" t="s">
        <v>1041</v>
      </c>
      <c r="B114" s="271" t="s">
        <v>1041</v>
      </c>
      <c r="C114" s="417">
        <v>150</v>
      </c>
      <c r="D114" s="413">
        <v>41</v>
      </c>
      <c r="E114" s="417">
        <v>5.05</v>
      </c>
      <c r="F114" s="417">
        <v>13.590830233092852</v>
      </c>
      <c r="G114" s="418">
        <v>7.7366000000000001</v>
      </c>
      <c r="H114" s="411">
        <v>5.4237493259877363</v>
      </c>
      <c r="I114" s="411">
        <v>0.43048090710511555</v>
      </c>
      <c r="J114" s="411">
        <v>5.854230233092852</v>
      </c>
      <c r="K114" s="398" t="s">
        <v>932</v>
      </c>
      <c r="L114" s="414"/>
      <c r="M114" s="415"/>
    </row>
    <row r="115" spans="1:13">
      <c r="A115" s="416" t="s">
        <v>1042</v>
      </c>
      <c r="B115" s="271" t="s">
        <v>1042</v>
      </c>
      <c r="C115" s="417">
        <v>150</v>
      </c>
      <c r="D115" s="413">
        <v>109</v>
      </c>
      <c r="E115" s="417">
        <v>5.05</v>
      </c>
      <c r="F115" s="417">
        <v>18.741830233092852</v>
      </c>
      <c r="G115" s="418">
        <v>12.887599999999999</v>
      </c>
      <c r="H115" s="411">
        <v>5.4237493259877363</v>
      </c>
      <c r="I115" s="411">
        <v>0.43048090710511555</v>
      </c>
      <c r="J115" s="411">
        <v>5.854230233092852</v>
      </c>
      <c r="K115" s="398" t="s">
        <v>932</v>
      </c>
      <c r="L115" s="414"/>
      <c r="M115" s="415"/>
    </row>
    <row r="116" spans="1:13">
      <c r="A116" s="416" t="s">
        <v>1043</v>
      </c>
      <c r="B116" s="271" t="s">
        <v>1043</v>
      </c>
      <c r="C116" s="417">
        <v>150</v>
      </c>
      <c r="D116" s="413">
        <v>90</v>
      </c>
      <c r="E116" s="417">
        <v>5.05</v>
      </c>
      <c r="F116" s="417">
        <v>16.166330233092854</v>
      </c>
      <c r="G116" s="418">
        <v>10.312100000000001</v>
      </c>
      <c r="H116" s="411">
        <v>5.4237493259877363</v>
      </c>
      <c r="I116" s="411">
        <v>0.43048090710511555</v>
      </c>
      <c r="J116" s="411">
        <v>5.854230233092852</v>
      </c>
      <c r="K116" s="398" t="s">
        <v>932</v>
      </c>
      <c r="L116" s="414"/>
      <c r="M116" s="415"/>
    </row>
    <row r="117" spans="1:13">
      <c r="A117" s="416" t="s">
        <v>1044</v>
      </c>
      <c r="B117" s="271" t="s">
        <v>1044</v>
      </c>
      <c r="C117" s="417" t="e">
        <v>#VALUE!</v>
      </c>
      <c r="D117" s="413" t="s">
        <v>542</v>
      </c>
      <c r="E117" s="417">
        <v>5.05</v>
      </c>
      <c r="F117" s="417">
        <v>29.053930233092853</v>
      </c>
      <c r="G117" s="418">
        <v>23.1997</v>
      </c>
      <c r="H117" s="411">
        <v>5.4237493259877363</v>
      </c>
      <c r="I117" s="411">
        <v>0.43048090710511555</v>
      </c>
      <c r="J117" s="411">
        <v>5.854230233092852</v>
      </c>
      <c r="K117" s="398" t="s">
        <v>932</v>
      </c>
      <c r="L117" s="414"/>
      <c r="M117" s="415"/>
    </row>
    <row r="118" spans="1:13">
      <c r="A118" s="416" t="s">
        <v>1045</v>
      </c>
      <c r="B118" s="271" t="s">
        <v>1045</v>
      </c>
      <c r="C118" s="417">
        <v>150</v>
      </c>
      <c r="D118" s="413">
        <v>254</v>
      </c>
      <c r="E118" s="417">
        <v>5.05</v>
      </c>
      <c r="F118" s="417">
        <v>23.902930233092853</v>
      </c>
      <c r="G118" s="418">
        <v>18.0487</v>
      </c>
      <c r="H118" s="411">
        <v>5.4237493259877363</v>
      </c>
      <c r="I118" s="411">
        <v>0.43048090710511555</v>
      </c>
      <c r="J118" s="411">
        <v>5.854230233092852</v>
      </c>
      <c r="K118" s="398" t="s">
        <v>932</v>
      </c>
      <c r="L118" s="414"/>
      <c r="M118" s="415"/>
    </row>
    <row r="119" spans="1:13">
      <c r="A119" s="416" t="s">
        <v>1046</v>
      </c>
      <c r="B119" s="271" t="s">
        <v>1046</v>
      </c>
      <c r="C119" s="417" t="e">
        <v>#VALUE!</v>
      </c>
      <c r="D119" s="413" t="s">
        <v>542</v>
      </c>
      <c r="E119" s="417">
        <v>5.05</v>
      </c>
      <c r="F119" s="417" t="e">
        <v>#N/A</v>
      </c>
      <c r="G119" s="418" t="e">
        <v>#N/A</v>
      </c>
      <c r="H119" s="411">
        <v>5.4237493259877363</v>
      </c>
      <c r="I119" s="411">
        <v>0.43048090710511555</v>
      </c>
      <c r="J119" s="411">
        <v>5.854230233092852</v>
      </c>
      <c r="K119" s="398" t="s">
        <v>932</v>
      </c>
      <c r="L119" s="414"/>
      <c r="M119" s="415"/>
    </row>
    <row r="120" spans="1:13">
      <c r="A120" s="416" t="s">
        <v>1047</v>
      </c>
      <c r="B120" s="271" t="s">
        <v>1047</v>
      </c>
      <c r="C120" s="417">
        <v>150</v>
      </c>
      <c r="D120" s="413">
        <v>183</v>
      </c>
      <c r="E120" s="417">
        <v>5.05</v>
      </c>
      <c r="F120" s="417">
        <v>29.053930233092853</v>
      </c>
      <c r="G120" s="418">
        <v>23.1997</v>
      </c>
      <c r="H120" s="411">
        <v>5.4237493259877363</v>
      </c>
      <c r="I120" s="411">
        <v>0.43048090710511555</v>
      </c>
      <c r="J120" s="411">
        <v>5.854230233092852</v>
      </c>
      <c r="K120" s="398" t="s">
        <v>932</v>
      </c>
      <c r="L120" s="414"/>
      <c r="M120" s="415"/>
    </row>
    <row r="121" spans="1:13">
      <c r="A121" s="416" t="s">
        <v>1048</v>
      </c>
      <c r="B121" s="271" t="s">
        <v>1048</v>
      </c>
      <c r="C121" s="417">
        <v>150</v>
      </c>
      <c r="D121" s="413">
        <v>51</v>
      </c>
      <c r="E121" s="417">
        <v>5.05</v>
      </c>
      <c r="F121" s="417">
        <v>13.590830233092852</v>
      </c>
      <c r="G121" s="418">
        <v>7.7366000000000001</v>
      </c>
      <c r="H121" s="411">
        <v>5.4237493259877363</v>
      </c>
      <c r="I121" s="411">
        <v>0.43048090710511555</v>
      </c>
      <c r="J121" s="411">
        <v>5.854230233092852</v>
      </c>
      <c r="K121" s="398" t="s">
        <v>932</v>
      </c>
      <c r="L121" s="414"/>
      <c r="M121" s="415"/>
    </row>
    <row r="122" spans="1:13">
      <c r="A122" s="416" t="s">
        <v>1049</v>
      </c>
      <c r="B122" s="271" t="s">
        <v>1049</v>
      </c>
      <c r="C122" s="417">
        <v>150</v>
      </c>
      <c r="D122" s="413">
        <v>192</v>
      </c>
      <c r="E122" s="417">
        <v>5.05</v>
      </c>
      <c r="F122" s="417">
        <v>18.741830233092852</v>
      </c>
      <c r="G122" s="418">
        <v>12.887599999999999</v>
      </c>
      <c r="H122" s="411">
        <v>5.4237493259877363</v>
      </c>
      <c r="I122" s="411">
        <v>0.43048090710511555</v>
      </c>
      <c r="J122" s="411">
        <v>5.854230233092852</v>
      </c>
      <c r="K122" s="398" t="s">
        <v>932</v>
      </c>
      <c r="L122" s="414"/>
      <c r="M122" s="415"/>
    </row>
    <row r="123" spans="1:13">
      <c r="A123" s="416" t="s">
        <v>1050</v>
      </c>
      <c r="B123" s="271" t="s">
        <v>1050</v>
      </c>
      <c r="C123" s="417" t="e">
        <v>#VALUE!</v>
      </c>
      <c r="D123" s="413" t="s">
        <v>542</v>
      </c>
      <c r="E123" s="417">
        <v>5.05</v>
      </c>
      <c r="F123" s="417">
        <v>23.902930233092853</v>
      </c>
      <c r="G123" s="418">
        <v>18.0487</v>
      </c>
      <c r="H123" s="411">
        <v>5.4237493259877363</v>
      </c>
      <c r="I123" s="411">
        <v>0.43048090710511555</v>
      </c>
      <c r="J123" s="411">
        <v>5.854230233092852</v>
      </c>
      <c r="K123" s="398" t="s">
        <v>932</v>
      </c>
      <c r="L123" s="414"/>
      <c r="M123" s="415"/>
    </row>
    <row r="124" spans="1:13">
      <c r="A124" s="416" t="s">
        <v>1051</v>
      </c>
      <c r="B124" s="271" t="s">
        <v>1051</v>
      </c>
      <c r="C124" s="417">
        <v>150</v>
      </c>
      <c r="D124" s="413">
        <v>76</v>
      </c>
      <c r="E124" s="417">
        <v>5.05</v>
      </c>
      <c r="F124" s="417">
        <v>16.166330233092854</v>
      </c>
      <c r="G124" s="418">
        <v>10.312100000000001</v>
      </c>
      <c r="H124" s="411">
        <v>5.4237493259877363</v>
      </c>
      <c r="I124" s="411">
        <v>0.43048090710511555</v>
      </c>
      <c r="J124" s="411">
        <v>5.854230233092852</v>
      </c>
      <c r="K124" s="398" t="s">
        <v>932</v>
      </c>
      <c r="L124" s="414"/>
      <c r="M124" s="415"/>
    </row>
    <row r="125" spans="1:13">
      <c r="A125" s="416" t="s">
        <v>1052</v>
      </c>
      <c r="B125" s="271" t="s">
        <v>1052</v>
      </c>
      <c r="C125" s="417" t="e">
        <v>#VALUE!</v>
      </c>
      <c r="D125" s="413" t="s">
        <v>542</v>
      </c>
      <c r="E125" s="417">
        <v>5.05</v>
      </c>
      <c r="F125" s="417">
        <v>29.053930233092853</v>
      </c>
      <c r="G125" s="418">
        <v>23.1997</v>
      </c>
      <c r="H125" s="411">
        <v>5.4237493259877363</v>
      </c>
      <c r="I125" s="411">
        <v>0.43048090710511555</v>
      </c>
      <c r="J125" s="411">
        <v>5.854230233092852</v>
      </c>
      <c r="K125" s="398" t="s">
        <v>932</v>
      </c>
      <c r="L125" s="414"/>
      <c r="M125" s="415"/>
    </row>
    <row r="126" spans="1:13">
      <c r="A126" s="416" t="s">
        <v>1053</v>
      </c>
      <c r="B126" s="271" t="s">
        <v>1053</v>
      </c>
      <c r="C126" s="417">
        <v>150</v>
      </c>
      <c r="D126" s="413">
        <v>173</v>
      </c>
      <c r="E126" s="417">
        <v>5.05</v>
      </c>
      <c r="F126" s="417">
        <v>16.166330233092854</v>
      </c>
      <c r="G126" s="418">
        <v>10.312100000000001</v>
      </c>
      <c r="H126" s="411">
        <v>5.4237493259877363</v>
      </c>
      <c r="I126" s="411">
        <v>0.43048090710511555</v>
      </c>
      <c r="J126" s="411">
        <v>5.854230233092852</v>
      </c>
      <c r="K126" s="398" t="s">
        <v>932</v>
      </c>
      <c r="L126" s="414"/>
      <c r="M126" s="415"/>
    </row>
    <row r="127" spans="1:13">
      <c r="A127" s="416" t="s">
        <v>1054</v>
      </c>
      <c r="B127" s="271" t="s">
        <v>1054</v>
      </c>
      <c r="C127" s="417">
        <v>150</v>
      </c>
      <c r="D127" s="413">
        <v>143</v>
      </c>
      <c r="E127" s="417">
        <v>5.05</v>
      </c>
      <c r="F127" s="417">
        <v>13.590830233092852</v>
      </c>
      <c r="G127" s="418">
        <v>7.7366000000000001</v>
      </c>
      <c r="H127" s="411">
        <v>5.4237493259877363</v>
      </c>
      <c r="I127" s="411">
        <v>0.43048090710511555</v>
      </c>
      <c r="J127" s="411">
        <v>5.854230233092852</v>
      </c>
      <c r="K127" s="398" t="s">
        <v>932</v>
      </c>
      <c r="L127" s="414"/>
      <c r="M127" s="415"/>
    </row>
    <row r="128" spans="1:13">
      <c r="A128" s="416" t="s">
        <v>1055</v>
      </c>
      <c r="B128" s="271" t="s">
        <v>1055</v>
      </c>
      <c r="C128" s="417">
        <v>150</v>
      </c>
      <c r="D128" s="413">
        <v>332</v>
      </c>
      <c r="E128" s="417">
        <v>5.05</v>
      </c>
      <c r="F128" s="417">
        <v>21.317330233092854</v>
      </c>
      <c r="G128" s="418">
        <v>15.463100000000001</v>
      </c>
      <c r="H128" s="411">
        <v>5.4237493259877363</v>
      </c>
      <c r="I128" s="411">
        <v>0.43048090710511555</v>
      </c>
      <c r="J128" s="411">
        <v>5.854230233092852</v>
      </c>
      <c r="K128" s="398" t="s">
        <v>932</v>
      </c>
      <c r="L128" s="414"/>
      <c r="M128" s="415"/>
    </row>
    <row r="129" spans="1:13">
      <c r="A129" s="416" t="s">
        <v>1056</v>
      </c>
      <c r="B129" s="271" t="s">
        <v>1056</v>
      </c>
      <c r="C129" s="417">
        <v>150</v>
      </c>
      <c r="D129" s="413">
        <v>132</v>
      </c>
      <c r="E129" s="417">
        <v>5.05</v>
      </c>
      <c r="F129" s="417">
        <v>13.590830233092852</v>
      </c>
      <c r="G129" s="418">
        <v>7.7366000000000001</v>
      </c>
      <c r="H129" s="411">
        <v>5.4237493259877363</v>
      </c>
      <c r="I129" s="411">
        <v>0.43048090710511555</v>
      </c>
      <c r="J129" s="411">
        <v>5.854230233092852</v>
      </c>
      <c r="K129" s="398" t="s">
        <v>932</v>
      </c>
      <c r="L129" s="414"/>
      <c r="M129" s="415"/>
    </row>
    <row r="130" spans="1:13">
      <c r="A130" s="416" t="s">
        <v>1057</v>
      </c>
      <c r="B130" s="271" t="s">
        <v>1057</v>
      </c>
      <c r="C130" s="417">
        <v>150</v>
      </c>
      <c r="D130" s="413">
        <v>206</v>
      </c>
      <c r="E130" s="417">
        <v>5.05</v>
      </c>
      <c r="F130" s="417">
        <v>18.741830233092852</v>
      </c>
      <c r="G130" s="418">
        <v>12.887599999999999</v>
      </c>
      <c r="H130" s="411">
        <v>5.4237493259877363</v>
      </c>
      <c r="I130" s="411">
        <v>0.43048090710511555</v>
      </c>
      <c r="J130" s="411">
        <v>5.854230233092852</v>
      </c>
      <c r="K130" s="398" t="s">
        <v>932</v>
      </c>
      <c r="L130" s="414"/>
      <c r="M130" s="415"/>
    </row>
    <row r="131" spans="1:13">
      <c r="A131" s="416" t="s">
        <v>1058</v>
      </c>
      <c r="B131" s="271" t="s">
        <v>1058</v>
      </c>
      <c r="C131" s="417">
        <v>150</v>
      </c>
      <c r="D131" s="413">
        <v>306</v>
      </c>
      <c r="E131" s="417">
        <v>5.05</v>
      </c>
      <c r="F131" s="417">
        <v>29.053930233092853</v>
      </c>
      <c r="G131" s="418">
        <v>23.1997</v>
      </c>
      <c r="H131" s="411">
        <v>5.4237493259877363</v>
      </c>
      <c r="I131" s="411">
        <v>0.43048090710511555</v>
      </c>
      <c r="J131" s="411">
        <v>5.854230233092852</v>
      </c>
      <c r="K131" s="398" t="s">
        <v>932</v>
      </c>
      <c r="L131" s="414"/>
      <c r="M131" s="415"/>
    </row>
    <row r="132" spans="1:13">
      <c r="A132" s="416" t="s">
        <v>1059</v>
      </c>
      <c r="B132" s="271" t="s">
        <v>1059</v>
      </c>
      <c r="C132" s="417" t="e">
        <v>#VALUE!</v>
      </c>
      <c r="D132" s="413" t="s">
        <v>542</v>
      </c>
      <c r="E132" s="417">
        <v>5.05</v>
      </c>
      <c r="F132" s="417">
        <v>13.590830233092852</v>
      </c>
      <c r="G132" s="418">
        <v>7.7366000000000001</v>
      </c>
      <c r="H132" s="411">
        <v>5.4237493259877363</v>
      </c>
      <c r="I132" s="411">
        <v>0.43048090710511555</v>
      </c>
      <c r="J132" s="411">
        <v>5.854230233092852</v>
      </c>
      <c r="K132" s="398" t="s">
        <v>932</v>
      </c>
      <c r="L132" s="414"/>
      <c r="M132" s="415"/>
    </row>
    <row r="133" spans="1:13">
      <c r="A133" s="416" t="s">
        <v>1060</v>
      </c>
      <c r="B133" s="271" t="s">
        <v>1060</v>
      </c>
      <c r="C133" s="417">
        <v>150</v>
      </c>
      <c r="D133" s="413">
        <v>192</v>
      </c>
      <c r="E133" s="417">
        <v>5.05</v>
      </c>
      <c r="F133" s="417">
        <v>16.166330233092854</v>
      </c>
      <c r="G133" s="418">
        <v>10.312100000000001</v>
      </c>
      <c r="H133" s="411">
        <v>5.4237493259877363</v>
      </c>
      <c r="I133" s="411">
        <v>0.43048090710511555</v>
      </c>
      <c r="J133" s="411">
        <v>5.854230233092852</v>
      </c>
      <c r="K133" s="398" t="s">
        <v>932</v>
      </c>
      <c r="L133" s="414"/>
      <c r="M133" s="415"/>
    </row>
    <row r="134" spans="1:13">
      <c r="A134" s="416" t="s">
        <v>1061</v>
      </c>
      <c r="B134" s="271" t="s">
        <v>1061</v>
      </c>
      <c r="C134" s="417">
        <v>150</v>
      </c>
      <c r="D134" s="413">
        <v>378</v>
      </c>
      <c r="E134" s="417">
        <v>5.05</v>
      </c>
      <c r="F134" s="417">
        <v>34.215030233092847</v>
      </c>
      <c r="G134" s="418">
        <v>28.360799999999998</v>
      </c>
      <c r="H134" s="411">
        <v>5.4237493259877363</v>
      </c>
      <c r="I134" s="411">
        <v>0.43048090710511555</v>
      </c>
      <c r="J134" s="411">
        <v>5.854230233092852</v>
      </c>
      <c r="K134" s="398" t="s">
        <v>932</v>
      </c>
      <c r="L134" s="414"/>
      <c r="M134" s="415"/>
    </row>
    <row r="135" spans="1:13">
      <c r="A135" s="416" t="s">
        <v>1062</v>
      </c>
      <c r="B135" s="271" t="s">
        <v>1062</v>
      </c>
      <c r="C135" s="417">
        <v>150</v>
      </c>
      <c r="D135" s="413">
        <v>381</v>
      </c>
      <c r="E135" s="417">
        <v>5.05</v>
      </c>
      <c r="F135" s="417">
        <v>23.902930233092853</v>
      </c>
      <c r="G135" s="418">
        <v>18.0487</v>
      </c>
      <c r="H135" s="411">
        <v>5.4237493259877363</v>
      </c>
      <c r="I135" s="411">
        <v>0.43048090710511555</v>
      </c>
      <c r="J135" s="411">
        <v>5.854230233092852</v>
      </c>
      <c r="K135" s="398" t="s">
        <v>932</v>
      </c>
      <c r="L135" s="414"/>
      <c r="M135" s="415"/>
    </row>
    <row r="136" spans="1:13">
      <c r="A136" s="416" t="s">
        <v>1063</v>
      </c>
      <c r="B136" s="271" t="s">
        <v>1063</v>
      </c>
      <c r="C136" s="417">
        <v>150</v>
      </c>
      <c r="D136" s="413">
        <v>401</v>
      </c>
      <c r="E136" s="417">
        <v>5.05</v>
      </c>
      <c r="F136" s="417">
        <v>25.185630233092855</v>
      </c>
      <c r="G136" s="418">
        <v>19.331400000000002</v>
      </c>
      <c r="H136" s="411">
        <v>5.4237493259877363</v>
      </c>
      <c r="I136" s="411">
        <v>0.43048090710511555</v>
      </c>
      <c r="J136" s="411">
        <v>5.854230233092852</v>
      </c>
      <c r="K136" s="398" t="s">
        <v>932</v>
      </c>
      <c r="L136" s="414"/>
      <c r="M136" s="415"/>
    </row>
    <row r="137" spans="1:13">
      <c r="A137" s="416" t="s">
        <v>1064</v>
      </c>
      <c r="B137" s="271" t="s">
        <v>1064</v>
      </c>
      <c r="C137" s="417">
        <v>150</v>
      </c>
      <c r="D137" s="413">
        <v>266</v>
      </c>
      <c r="E137" s="417">
        <v>5.05</v>
      </c>
      <c r="F137" s="417">
        <v>23.902930233092853</v>
      </c>
      <c r="G137" s="418">
        <v>18.0487</v>
      </c>
      <c r="H137" s="411">
        <v>5.4237493259877363</v>
      </c>
      <c r="I137" s="411">
        <v>0.43048090710511555</v>
      </c>
      <c r="J137" s="411">
        <v>5.854230233092852</v>
      </c>
      <c r="K137" s="398" t="s">
        <v>932</v>
      </c>
      <c r="L137" s="414"/>
      <c r="M137" s="415"/>
    </row>
    <row r="138" spans="1:13">
      <c r="A138" s="416" t="s">
        <v>1065</v>
      </c>
      <c r="B138" s="271" t="s">
        <v>1065</v>
      </c>
      <c r="C138" s="417">
        <v>150</v>
      </c>
      <c r="D138" s="413">
        <v>158</v>
      </c>
      <c r="E138" s="417">
        <v>5.05</v>
      </c>
      <c r="F138" s="417">
        <v>15.136130233092853</v>
      </c>
      <c r="G138" s="418">
        <v>9.2819000000000003</v>
      </c>
      <c r="H138" s="411">
        <v>5.4237493259877363</v>
      </c>
      <c r="I138" s="411">
        <v>0.43048090710511555</v>
      </c>
      <c r="J138" s="411">
        <v>5.854230233092852</v>
      </c>
      <c r="K138" s="398" t="s">
        <v>932</v>
      </c>
      <c r="L138" s="414"/>
      <c r="M138" s="415"/>
    </row>
    <row r="139" spans="1:13">
      <c r="A139" s="416" t="s">
        <v>1066</v>
      </c>
      <c r="B139" s="271" t="s">
        <v>1066</v>
      </c>
      <c r="C139" s="417" t="e">
        <v>#VALUE!</v>
      </c>
      <c r="D139" s="413" t="s">
        <v>542</v>
      </c>
      <c r="E139" s="417">
        <v>5.05</v>
      </c>
      <c r="F139" s="417" t="e">
        <v>#N/A</v>
      </c>
      <c r="G139" s="418" t="e">
        <v>#N/A</v>
      </c>
      <c r="H139" s="411">
        <v>5.4237493259877363</v>
      </c>
      <c r="I139" s="411">
        <v>0.43048090710511555</v>
      </c>
      <c r="J139" s="411">
        <v>5.854230233092852</v>
      </c>
      <c r="K139" s="398" t="s">
        <v>932</v>
      </c>
      <c r="L139" s="414"/>
      <c r="M139" s="415"/>
    </row>
    <row r="140" spans="1:13">
      <c r="A140" s="416" t="s">
        <v>1067</v>
      </c>
      <c r="B140" s="271" t="s">
        <v>1067</v>
      </c>
      <c r="C140" s="417">
        <v>150</v>
      </c>
      <c r="D140" s="413">
        <v>98</v>
      </c>
      <c r="E140" s="417">
        <v>5.05</v>
      </c>
      <c r="F140" s="417">
        <v>13.590830233092852</v>
      </c>
      <c r="G140" s="418">
        <v>7.7366000000000001</v>
      </c>
      <c r="H140" s="411">
        <v>5.4237493259877363</v>
      </c>
      <c r="I140" s="411">
        <v>0.43048090710511555</v>
      </c>
      <c r="J140" s="411">
        <v>5.854230233092852</v>
      </c>
      <c r="K140" s="398" t="s">
        <v>932</v>
      </c>
      <c r="L140" s="414"/>
      <c r="M140" s="415"/>
    </row>
    <row r="141" spans="1:13">
      <c r="A141" s="416" t="s">
        <v>1068</v>
      </c>
      <c r="B141" s="271" t="s">
        <v>1068</v>
      </c>
      <c r="C141" s="417">
        <v>150</v>
      </c>
      <c r="D141" s="413">
        <v>79</v>
      </c>
      <c r="E141" s="417">
        <v>5.05</v>
      </c>
      <c r="F141" s="417">
        <v>13.590830233092852</v>
      </c>
      <c r="G141" s="418">
        <v>7.7366000000000001</v>
      </c>
      <c r="H141" s="411">
        <v>5.4237493259877363</v>
      </c>
      <c r="I141" s="411">
        <v>0.43048090710511555</v>
      </c>
      <c r="J141" s="411">
        <v>5.854230233092852</v>
      </c>
      <c r="K141" s="398" t="s">
        <v>932</v>
      </c>
      <c r="L141" s="414"/>
      <c r="M141" s="415"/>
    </row>
    <row r="142" spans="1:13">
      <c r="A142" s="416" t="s">
        <v>1069</v>
      </c>
      <c r="B142" s="271" t="s">
        <v>1069</v>
      </c>
      <c r="C142" s="417">
        <v>150</v>
      </c>
      <c r="D142" s="413">
        <v>288</v>
      </c>
      <c r="E142" s="417">
        <v>5.05</v>
      </c>
      <c r="F142" s="417">
        <v>18.741830233092852</v>
      </c>
      <c r="G142" s="418">
        <v>12.887599999999999</v>
      </c>
      <c r="H142" s="411">
        <v>5.4237493259877363</v>
      </c>
      <c r="I142" s="411">
        <v>0.43048090710511555</v>
      </c>
      <c r="J142" s="411">
        <v>5.854230233092852</v>
      </c>
      <c r="K142" s="398" t="s">
        <v>932</v>
      </c>
      <c r="L142" s="414"/>
      <c r="M142" s="415"/>
    </row>
    <row r="143" spans="1:13">
      <c r="A143" s="416" t="s">
        <v>1070</v>
      </c>
      <c r="B143" s="271" t="s">
        <v>1070</v>
      </c>
      <c r="C143" s="417" t="e">
        <v>#VALUE!</v>
      </c>
      <c r="D143" s="413" t="s">
        <v>542</v>
      </c>
      <c r="E143" s="417">
        <v>5.05</v>
      </c>
      <c r="F143" s="417">
        <v>23.902930233092853</v>
      </c>
      <c r="G143" s="418">
        <v>18.0487</v>
      </c>
      <c r="H143" s="411">
        <v>5.4237493259877363</v>
      </c>
      <c r="I143" s="411">
        <v>0.43048090710511555</v>
      </c>
      <c r="J143" s="411">
        <v>5.854230233092852</v>
      </c>
      <c r="K143" s="398" t="s">
        <v>932</v>
      </c>
      <c r="L143" s="414"/>
      <c r="M143" s="415"/>
    </row>
    <row r="144" spans="1:13">
      <c r="A144" s="416" t="s">
        <v>1071</v>
      </c>
      <c r="B144" s="271" t="s">
        <v>1071</v>
      </c>
      <c r="C144" s="417">
        <v>150</v>
      </c>
      <c r="D144" s="413">
        <v>145</v>
      </c>
      <c r="E144" s="417">
        <v>5.05</v>
      </c>
      <c r="F144" s="417">
        <v>16.166330233092854</v>
      </c>
      <c r="G144" s="418">
        <v>10.312100000000001</v>
      </c>
      <c r="H144" s="411">
        <v>5.4237493259877363</v>
      </c>
      <c r="I144" s="411">
        <v>0.43048090710511555</v>
      </c>
      <c r="J144" s="411">
        <v>5.854230233092852</v>
      </c>
      <c r="K144" s="398" t="s">
        <v>932</v>
      </c>
      <c r="L144" s="414"/>
      <c r="M144" s="415"/>
    </row>
    <row r="145" spans="1:13">
      <c r="A145" s="416" t="s">
        <v>1072</v>
      </c>
      <c r="B145" s="271" t="s">
        <v>1072</v>
      </c>
      <c r="C145" s="417" t="e">
        <v>#VALUE!</v>
      </c>
      <c r="D145" s="413" t="s">
        <v>542</v>
      </c>
      <c r="E145" s="417">
        <v>5.05</v>
      </c>
      <c r="F145" s="417">
        <v>8.5812302330928532</v>
      </c>
      <c r="G145" s="418">
        <v>2.7270000000000003</v>
      </c>
      <c r="H145" s="411">
        <v>5.4237493259877363</v>
      </c>
      <c r="I145" s="411">
        <v>0.43048090710511555</v>
      </c>
      <c r="J145" s="411">
        <v>5.854230233092852</v>
      </c>
      <c r="K145" s="398" t="s">
        <v>932</v>
      </c>
      <c r="L145" s="414"/>
      <c r="M145" s="415"/>
    </row>
    <row r="146" spans="1:13">
      <c r="A146" s="416" t="s">
        <v>1073</v>
      </c>
      <c r="B146" s="271" t="s">
        <v>1073</v>
      </c>
      <c r="C146" s="417" t="e">
        <v>#VALUE!</v>
      </c>
      <c r="D146" s="413" t="s">
        <v>542</v>
      </c>
      <c r="E146" s="417">
        <v>5.05</v>
      </c>
      <c r="F146" s="417">
        <v>8.5812302330928532</v>
      </c>
      <c r="G146" s="418">
        <v>2.7270000000000003</v>
      </c>
      <c r="H146" s="411">
        <v>5.4237493259877363</v>
      </c>
      <c r="I146" s="411">
        <v>0.43048090710511555</v>
      </c>
      <c r="J146" s="411">
        <v>5.854230233092852</v>
      </c>
      <c r="K146" s="398" t="s">
        <v>932</v>
      </c>
      <c r="L146" s="414"/>
      <c r="M146" s="415"/>
    </row>
    <row r="147" spans="1:13">
      <c r="A147" s="416" t="s">
        <v>1074</v>
      </c>
      <c r="B147" s="271" t="s">
        <v>1074</v>
      </c>
      <c r="C147" s="417">
        <v>150</v>
      </c>
      <c r="D147" s="413">
        <v>47</v>
      </c>
      <c r="E147" s="417">
        <v>5.05</v>
      </c>
      <c r="F147" s="417">
        <v>8.5812302330928532</v>
      </c>
      <c r="G147" s="418">
        <v>2.7270000000000003</v>
      </c>
      <c r="H147" s="411">
        <v>5.4237493259877363</v>
      </c>
      <c r="I147" s="411">
        <v>0.43048090710511555</v>
      </c>
      <c r="J147" s="411">
        <v>5.854230233092852</v>
      </c>
      <c r="K147" s="398" t="s">
        <v>932</v>
      </c>
      <c r="L147" s="414"/>
      <c r="M147" s="415"/>
    </row>
    <row r="148" spans="1:13">
      <c r="A148" s="416" t="s">
        <v>1075</v>
      </c>
      <c r="B148" s="271" t="s">
        <v>1075</v>
      </c>
      <c r="C148" s="417">
        <v>150</v>
      </c>
      <c r="D148" s="413">
        <v>78</v>
      </c>
      <c r="E148" s="417">
        <v>5.05</v>
      </c>
      <c r="F148" s="417">
        <v>8.5812302330928532</v>
      </c>
      <c r="G148" s="418">
        <v>2.7270000000000003</v>
      </c>
      <c r="H148" s="411">
        <v>5.4237493259877363</v>
      </c>
      <c r="I148" s="411">
        <v>0.43048090710511555</v>
      </c>
      <c r="J148" s="411">
        <v>5.854230233092852</v>
      </c>
      <c r="K148" s="398" t="s">
        <v>932</v>
      </c>
      <c r="L148" s="414"/>
      <c r="M148" s="415"/>
    </row>
    <row r="149" spans="1:13">
      <c r="A149" s="416" t="s">
        <v>1076</v>
      </c>
      <c r="B149" s="271" t="s">
        <v>1076</v>
      </c>
      <c r="C149" s="417" t="e">
        <v>#VALUE!</v>
      </c>
      <c r="D149" s="413" t="s">
        <v>542</v>
      </c>
      <c r="E149" s="417">
        <v>5.05</v>
      </c>
      <c r="F149" s="417">
        <v>8.5812302330928532</v>
      </c>
      <c r="G149" s="418">
        <v>2.7270000000000003</v>
      </c>
      <c r="H149" s="411">
        <v>5.4237493259877363</v>
      </c>
      <c r="I149" s="411">
        <v>0.43048090710511555</v>
      </c>
      <c r="J149" s="411">
        <v>5.854230233092852</v>
      </c>
      <c r="K149" s="398" t="s">
        <v>932</v>
      </c>
      <c r="L149" s="414"/>
      <c r="M149" s="415"/>
    </row>
    <row r="150" spans="1:13">
      <c r="A150" s="416" t="s">
        <v>1077</v>
      </c>
      <c r="B150" s="271" t="s">
        <v>1077</v>
      </c>
      <c r="C150" s="417">
        <v>150</v>
      </c>
      <c r="D150" s="413">
        <v>94</v>
      </c>
      <c r="E150" s="417">
        <v>5.05</v>
      </c>
      <c r="F150" s="417">
        <v>8.5812302330928532</v>
      </c>
      <c r="G150" s="418">
        <v>2.7270000000000003</v>
      </c>
      <c r="H150" s="411">
        <v>5.4237493259877363</v>
      </c>
      <c r="I150" s="411">
        <v>0.43048090710511555</v>
      </c>
      <c r="J150" s="411">
        <v>5.854230233092852</v>
      </c>
      <c r="K150" s="398" t="s">
        <v>932</v>
      </c>
      <c r="L150" s="414"/>
      <c r="M150" s="415"/>
    </row>
    <row r="151" spans="1:13">
      <c r="A151" s="416" t="s">
        <v>1078</v>
      </c>
      <c r="B151" s="271" t="s">
        <v>1078</v>
      </c>
      <c r="C151" s="417">
        <v>150</v>
      </c>
      <c r="D151" s="413">
        <v>69</v>
      </c>
      <c r="E151" s="417">
        <v>5.05</v>
      </c>
      <c r="F151" s="417">
        <v>8.5812302330928532</v>
      </c>
      <c r="G151" s="418">
        <v>2.7270000000000003</v>
      </c>
      <c r="H151" s="411">
        <v>5.4237493259877363</v>
      </c>
      <c r="I151" s="411">
        <v>0.43048090710511555</v>
      </c>
      <c r="J151" s="411">
        <v>5.854230233092852</v>
      </c>
      <c r="K151" s="398" t="s">
        <v>932</v>
      </c>
      <c r="L151" s="414"/>
      <c r="M151" s="415"/>
    </row>
    <row r="152" spans="1:13">
      <c r="A152" s="416" t="s">
        <v>1079</v>
      </c>
      <c r="B152" s="271" t="s">
        <v>1079</v>
      </c>
      <c r="C152" s="417">
        <v>150</v>
      </c>
      <c r="D152" s="413">
        <v>52</v>
      </c>
      <c r="E152" s="417">
        <v>5.05</v>
      </c>
      <c r="F152" s="417">
        <v>8.5812302330928532</v>
      </c>
      <c r="G152" s="418">
        <v>2.7270000000000003</v>
      </c>
      <c r="H152" s="411">
        <v>5.4237493259877363</v>
      </c>
      <c r="I152" s="411">
        <v>0.43048090710511555</v>
      </c>
      <c r="J152" s="411">
        <v>5.854230233092852</v>
      </c>
      <c r="K152" s="398" t="s">
        <v>932</v>
      </c>
      <c r="L152" s="414"/>
      <c r="M152" s="415"/>
    </row>
    <row r="153" spans="1:13">
      <c r="A153" s="416" t="s">
        <v>1080</v>
      </c>
      <c r="B153" s="271" t="s">
        <v>1080</v>
      </c>
      <c r="C153" s="417">
        <v>150</v>
      </c>
      <c r="D153" s="413">
        <v>112</v>
      </c>
      <c r="E153" s="417">
        <v>5.05</v>
      </c>
      <c r="F153" s="417">
        <v>8.5812302330928532</v>
      </c>
      <c r="G153" s="418">
        <v>2.7270000000000003</v>
      </c>
      <c r="H153" s="411">
        <v>5.4237493259877363</v>
      </c>
      <c r="I153" s="411">
        <v>0.43048090710511555</v>
      </c>
      <c r="J153" s="411">
        <v>5.854230233092852</v>
      </c>
      <c r="K153" s="398" t="s">
        <v>932</v>
      </c>
      <c r="L153" s="414"/>
      <c r="M153" s="415"/>
    </row>
    <row r="154" spans="1:13">
      <c r="A154" s="416" t="s">
        <v>1081</v>
      </c>
      <c r="B154" s="271" t="s">
        <v>1081</v>
      </c>
      <c r="C154" s="417" t="e">
        <v>#VALUE!</v>
      </c>
      <c r="D154" s="413" t="s">
        <v>542</v>
      </c>
      <c r="E154" s="417">
        <v>5.05</v>
      </c>
      <c r="F154" s="417">
        <v>8.5812302330928532</v>
      </c>
      <c r="G154" s="418">
        <v>2.7270000000000003</v>
      </c>
      <c r="H154" s="411">
        <v>5.4237493259877363</v>
      </c>
      <c r="I154" s="411">
        <v>0.43048090710511555</v>
      </c>
      <c r="J154" s="411">
        <v>5.854230233092852</v>
      </c>
      <c r="K154" s="398" t="s">
        <v>932</v>
      </c>
      <c r="L154" s="414"/>
      <c r="M154" s="415"/>
    </row>
    <row r="155" spans="1:13">
      <c r="A155" s="416" t="s">
        <v>1082</v>
      </c>
      <c r="B155" s="271" t="s">
        <v>1082</v>
      </c>
      <c r="C155" s="417" t="e">
        <v>#VALUE!</v>
      </c>
      <c r="D155" s="413" t="s">
        <v>542</v>
      </c>
      <c r="E155" s="417">
        <v>5.05</v>
      </c>
      <c r="F155" s="417">
        <v>8.5812302330928532</v>
      </c>
      <c r="G155" s="418">
        <v>2.7270000000000003</v>
      </c>
      <c r="H155" s="411">
        <v>5.4237493259877363</v>
      </c>
      <c r="I155" s="411">
        <v>0.43048090710511555</v>
      </c>
      <c r="J155" s="411">
        <v>5.854230233092852</v>
      </c>
      <c r="K155" s="398" t="s">
        <v>932</v>
      </c>
      <c r="L155" s="414"/>
      <c r="M155" s="415"/>
    </row>
    <row r="156" spans="1:13">
      <c r="A156" s="416" t="s">
        <v>1083</v>
      </c>
      <c r="B156" s="271" t="s">
        <v>1083</v>
      </c>
      <c r="C156" s="417">
        <v>150</v>
      </c>
      <c r="D156" s="413">
        <v>105</v>
      </c>
      <c r="E156" s="417">
        <v>5.05</v>
      </c>
      <c r="F156" s="417">
        <v>8.5812302330928532</v>
      </c>
      <c r="G156" s="418">
        <v>2.7270000000000003</v>
      </c>
      <c r="H156" s="411">
        <v>5.4237493259877363</v>
      </c>
      <c r="I156" s="411">
        <v>0.43048090710511555</v>
      </c>
      <c r="J156" s="411">
        <v>5.854230233092852</v>
      </c>
      <c r="K156" s="398" t="s">
        <v>932</v>
      </c>
      <c r="L156" s="414"/>
      <c r="M156" s="415"/>
    </row>
    <row r="157" spans="1:13">
      <c r="A157" s="416" t="s">
        <v>1084</v>
      </c>
      <c r="B157" s="271" t="s">
        <v>1084</v>
      </c>
      <c r="C157" s="417" t="e">
        <v>#VALUE!</v>
      </c>
      <c r="D157" s="413" t="s">
        <v>542</v>
      </c>
      <c r="E157" s="417">
        <v>5.05</v>
      </c>
      <c r="F157" s="417">
        <v>8.5812302330928532</v>
      </c>
      <c r="G157" s="418">
        <v>2.7270000000000003</v>
      </c>
      <c r="H157" s="411">
        <v>5.4237493259877363</v>
      </c>
      <c r="I157" s="411">
        <v>0.43048090710511555</v>
      </c>
      <c r="J157" s="411">
        <v>5.854230233092852</v>
      </c>
      <c r="K157" s="398" t="s">
        <v>932</v>
      </c>
      <c r="L157" s="414"/>
      <c r="M157" s="415"/>
    </row>
    <row r="158" spans="1:13">
      <c r="A158" s="416" t="s">
        <v>1085</v>
      </c>
      <c r="B158" s="271" t="s">
        <v>1085</v>
      </c>
      <c r="C158" s="417" t="e">
        <v>#VALUE!</v>
      </c>
      <c r="D158" s="413" t="s">
        <v>542</v>
      </c>
      <c r="E158" s="417">
        <v>5.05</v>
      </c>
      <c r="F158" s="417">
        <v>8.5812302330928532</v>
      </c>
      <c r="G158" s="418">
        <v>2.7270000000000003</v>
      </c>
      <c r="H158" s="411">
        <v>5.4237493259877363</v>
      </c>
      <c r="I158" s="411">
        <v>0.43048090710511555</v>
      </c>
      <c r="J158" s="411">
        <v>5.854230233092852</v>
      </c>
      <c r="K158" s="398" t="s">
        <v>932</v>
      </c>
      <c r="L158" s="414"/>
      <c r="M158" s="415"/>
    </row>
    <row r="159" spans="1:13">
      <c r="A159" s="416" t="s">
        <v>1086</v>
      </c>
      <c r="B159" s="271" t="s">
        <v>1086</v>
      </c>
      <c r="C159" s="417" t="e">
        <v>#VALUE!</v>
      </c>
      <c r="D159" s="413" t="s">
        <v>542</v>
      </c>
      <c r="E159" s="417">
        <v>5.05</v>
      </c>
      <c r="F159" s="417">
        <v>8.5812302330928532</v>
      </c>
      <c r="G159" s="418">
        <v>2.7270000000000003</v>
      </c>
      <c r="H159" s="411">
        <v>5.4237493259877363</v>
      </c>
      <c r="I159" s="411">
        <v>0.43048090710511555</v>
      </c>
      <c r="J159" s="411">
        <v>5.854230233092852</v>
      </c>
      <c r="K159" s="398" t="s">
        <v>932</v>
      </c>
      <c r="L159" s="414"/>
      <c r="M159" s="415"/>
    </row>
    <row r="160" spans="1:13">
      <c r="A160" s="416" t="s">
        <v>1087</v>
      </c>
      <c r="B160" s="271" t="s">
        <v>1087</v>
      </c>
      <c r="C160" s="417">
        <v>150</v>
      </c>
      <c r="D160" s="413">
        <v>58</v>
      </c>
      <c r="E160" s="417">
        <v>5.05</v>
      </c>
      <c r="F160" s="417">
        <v>8.5812302330928532</v>
      </c>
      <c r="G160" s="418">
        <v>2.7270000000000003</v>
      </c>
      <c r="H160" s="411">
        <v>5.4237493259877363</v>
      </c>
      <c r="I160" s="411">
        <v>0.43048090710511555</v>
      </c>
      <c r="J160" s="411">
        <v>5.854230233092852</v>
      </c>
      <c r="K160" s="398" t="s">
        <v>932</v>
      </c>
      <c r="L160" s="414"/>
      <c r="M160" s="415"/>
    </row>
    <row r="161" spans="1:13">
      <c r="A161" s="416" t="s">
        <v>1088</v>
      </c>
      <c r="B161" s="271" t="s">
        <v>1088</v>
      </c>
      <c r="C161" s="417">
        <v>150</v>
      </c>
      <c r="D161" s="413">
        <v>35</v>
      </c>
      <c r="E161" s="417">
        <v>5.05</v>
      </c>
      <c r="F161" s="417">
        <v>8.5812302330928532</v>
      </c>
      <c r="G161" s="418">
        <v>2.7270000000000003</v>
      </c>
      <c r="H161" s="411">
        <v>5.4237493259877363</v>
      </c>
      <c r="I161" s="411">
        <v>0.43048090710511555</v>
      </c>
      <c r="J161" s="411">
        <v>5.854230233092852</v>
      </c>
      <c r="K161" s="398" t="s">
        <v>932</v>
      </c>
      <c r="L161" s="414"/>
      <c r="M161" s="415"/>
    </row>
    <row r="162" spans="1:13">
      <c r="A162" s="416" t="s">
        <v>1089</v>
      </c>
      <c r="B162" s="271" t="s">
        <v>1089</v>
      </c>
      <c r="C162" s="417" t="e">
        <v>#VALUE!</v>
      </c>
      <c r="D162" s="413" t="s">
        <v>542</v>
      </c>
      <c r="E162" s="417">
        <v>5.05</v>
      </c>
      <c r="F162" s="417">
        <v>8.5812302330928532</v>
      </c>
      <c r="G162" s="418">
        <v>2.7270000000000003</v>
      </c>
      <c r="H162" s="411">
        <v>5.4237493259877363</v>
      </c>
      <c r="I162" s="411">
        <v>0.43048090710511555</v>
      </c>
      <c r="J162" s="411">
        <v>5.854230233092852</v>
      </c>
      <c r="K162" s="398" t="s">
        <v>932</v>
      </c>
      <c r="L162" s="414"/>
      <c r="M162" s="415"/>
    </row>
    <row r="163" spans="1:13">
      <c r="A163" s="416" t="s">
        <v>1090</v>
      </c>
      <c r="B163" s="271" t="s">
        <v>1090</v>
      </c>
      <c r="C163" s="417">
        <v>150</v>
      </c>
      <c r="D163" s="413">
        <v>65</v>
      </c>
      <c r="E163" s="417">
        <v>5.05</v>
      </c>
      <c r="F163" s="417">
        <v>8.5812302330928532</v>
      </c>
      <c r="G163" s="418">
        <v>2.7270000000000003</v>
      </c>
      <c r="H163" s="411">
        <v>5.4237493259877363</v>
      </c>
      <c r="I163" s="411">
        <v>0.43048090710511555</v>
      </c>
      <c r="J163" s="411">
        <v>5.854230233092852</v>
      </c>
      <c r="K163" s="398" t="s">
        <v>932</v>
      </c>
      <c r="L163" s="414"/>
      <c r="M163" s="415"/>
    </row>
    <row r="164" spans="1:13">
      <c r="A164" s="416" t="s">
        <v>1091</v>
      </c>
      <c r="B164" s="271" t="s">
        <v>1091</v>
      </c>
      <c r="C164" s="417" t="e">
        <v>#VALUE!</v>
      </c>
      <c r="D164" s="413" t="s">
        <v>542</v>
      </c>
      <c r="E164" s="417">
        <v>5.05</v>
      </c>
      <c r="F164" s="417">
        <v>8.5812302330928532</v>
      </c>
      <c r="G164" s="418">
        <v>2.7270000000000003</v>
      </c>
      <c r="H164" s="411">
        <v>5.4237493259877363</v>
      </c>
      <c r="I164" s="411">
        <v>0.43048090710511555</v>
      </c>
      <c r="J164" s="411">
        <v>5.854230233092852</v>
      </c>
      <c r="K164" s="398" t="s">
        <v>932</v>
      </c>
      <c r="L164" s="414"/>
      <c r="M164" s="415"/>
    </row>
    <row r="165" spans="1:13">
      <c r="A165" s="416" t="s">
        <v>1092</v>
      </c>
      <c r="B165" s="271" t="s">
        <v>1092</v>
      </c>
      <c r="C165" s="417">
        <v>150</v>
      </c>
      <c r="D165" s="413">
        <v>328</v>
      </c>
      <c r="E165" s="417">
        <v>5.05</v>
      </c>
      <c r="F165" s="417">
        <v>18.741830233092852</v>
      </c>
      <c r="G165" s="418">
        <v>12.887599999999999</v>
      </c>
      <c r="H165" s="411">
        <v>5.4237493259877363</v>
      </c>
      <c r="I165" s="411">
        <v>0.43048090710511555</v>
      </c>
      <c r="J165" s="411">
        <v>5.854230233092852</v>
      </c>
      <c r="K165" s="398" t="s">
        <v>932</v>
      </c>
      <c r="L165" s="414"/>
      <c r="M165" s="415"/>
    </row>
    <row r="166" spans="1:13">
      <c r="A166" s="416" t="s">
        <v>1093</v>
      </c>
      <c r="B166" s="271" t="s">
        <v>1093</v>
      </c>
      <c r="C166" s="417">
        <v>150</v>
      </c>
      <c r="D166" s="413">
        <v>570</v>
      </c>
      <c r="E166" s="417">
        <v>5.05</v>
      </c>
      <c r="F166" s="417">
        <v>34.215030233092847</v>
      </c>
      <c r="G166" s="418">
        <v>28.360799999999998</v>
      </c>
      <c r="H166" s="411">
        <v>5.4237493259877363</v>
      </c>
      <c r="I166" s="411">
        <v>0.43048090710511555</v>
      </c>
      <c r="J166" s="411">
        <v>5.854230233092852</v>
      </c>
      <c r="K166" s="398" t="s">
        <v>932</v>
      </c>
      <c r="L166" s="414"/>
      <c r="M166" s="415"/>
    </row>
    <row r="167" spans="1:13">
      <c r="A167" s="416" t="s">
        <v>1094</v>
      </c>
      <c r="B167" s="271" t="s">
        <v>1094</v>
      </c>
      <c r="C167" s="417">
        <v>150</v>
      </c>
      <c r="D167" s="413">
        <v>250</v>
      </c>
      <c r="E167" s="417">
        <v>5.05</v>
      </c>
      <c r="F167" s="417">
        <v>15.136130233092853</v>
      </c>
      <c r="G167" s="418">
        <v>9.2819000000000003</v>
      </c>
      <c r="H167" s="411">
        <v>5.4237493259877363</v>
      </c>
      <c r="I167" s="411">
        <v>0.43048090710511555</v>
      </c>
      <c r="J167" s="411">
        <v>5.854230233092852</v>
      </c>
      <c r="K167" s="398" t="s">
        <v>932</v>
      </c>
      <c r="L167" s="414"/>
      <c r="M167" s="415"/>
    </row>
    <row r="168" spans="1:13">
      <c r="A168" s="416" t="s">
        <v>1095</v>
      </c>
      <c r="B168" s="271" t="s">
        <v>1095</v>
      </c>
      <c r="C168" s="417" t="e">
        <v>#VALUE!</v>
      </c>
      <c r="D168" s="413" t="s">
        <v>542</v>
      </c>
      <c r="E168" s="417">
        <v>5.05</v>
      </c>
      <c r="F168" s="417">
        <v>13.590830233092852</v>
      </c>
      <c r="G168" s="418">
        <v>7.7366000000000001</v>
      </c>
      <c r="H168" s="411">
        <v>5.4237493259877363</v>
      </c>
      <c r="I168" s="411">
        <v>0.43048090710511555</v>
      </c>
      <c r="J168" s="411">
        <v>5.854230233092852</v>
      </c>
      <c r="K168" s="398" t="s">
        <v>932</v>
      </c>
      <c r="L168" s="414"/>
      <c r="M168" s="415"/>
    </row>
    <row r="169" spans="1:13">
      <c r="A169" s="416" t="s">
        <v>1096</v>
      </c>
      <c r="B169" s="271" t="s">
        <v>1096</v>
      </c>
      <c r="C169" s="417">
        <v>150</v>
      </c>
      <c r="D169" s="413">
        <v>442</v>
      </c>
      <c r="E169" s="417">
        <v>5.05</v>
      </c>
      <c r="F169" s="417">
        <v>21.317330233092854</v>
      </c>
      <c r="G169" s="418">
        <v>15.463100000000001</v>
      </c>
      <c r="H169" s="411">
        <v>5.4237493259877363</v>
      </c>
      <c r="I169" s="411">
        <v>0.43048090710511555</v>
      </c>
      <c r="J169" s="411">
        <v>5.854230233092852</v>
      </c>
      <c r="K169" s="398" t="s">
        <v>932</v>
      </c>
      <c r="L169" s="414"/>
      <c r="M169" s="415"/>
    </row>
    <row r="170" spans="1:13">
      <c r="A170" s="416" t="s">
        <v>1097</v>
      </c>
      <c r="B170" s="271" t="s">
        <v>1097</v>
      </c>
      <c r="C170" s="417">
        <v>150</v>
      </c>
      <c r="D170" s="413">
        <v>274</v>
      </c>
      <c r="E170" s="417">
        <v>5.05</v>
      </c>
      <c r="F170" s="417">
        <v>16.166330233092854</v>
      </c>
      <c r="G170" s="418">
        <v>10.312100000000001</v>
      </c>
      <c r="H170" s="411">
        <v>5.4237493259877363</v>
      </c>
      <c r="I170" s="411">
        <v>0.43048090710511555</v>
      </c>
      <c r="J170" s="411">
        <v>5.854230233092852</v>
      </c>
      <c r="K170" s="398" t="s">
        <v>932</v>
      </c>
      <c r="L170" s="414"/>
      <c r="M170" s="415"/>
    </row>
    <row r="171" spans="1:13">
      <c r="A171" s="416" t="s">
        <v>1098</v>
      </c>
      <c r="B171" s="271" t="s">
        <v>1098</v>
      </c>
      <c r="C171" s="417" t="e">
        <v>#VALUE!</v>
      </c>
      <c r="D171" s="413" t="s">
        <v>542</v>
      </c>
      <c r="E171" s="417">
        <v>5.05</v>
      </c>
      <c r="F171" s="417">
        <v>29.053930233092853</v>
      </c>
      <c r="G171" s="418">
        <v>23.1997</v>
      </c>
      <c r="H171" s="411">
        <v>5.4237493259877363</v>
      </c>
      <c r="I171" s="411">
        <v>0.43048090710511555</v>
      </c>
      <c r="J171" s="411">
        <v>5.854230233092852</v>
      </c>
      <c r="K171" s="398" t="s">
        <v>932</v>
      </c>
      <c r="L171" s="414"/>
      <c r="M171" s="415"/>
    </row>
    <row r="172" spans="1:13">
      <c r="A172" s="416" t="s">
        <v>1099</v>
      </c>
      <c r="B172" s="271" t="s">
        <v>1099</v>
      </c>
      <c r="C172" s="417">
        <v>150</v>
      </c>
      <c r="D172" s="413">
        <v>155</v>
      </c>
      <c r="E172" s="417">
        <v>5.05</v>
      </c>
      <c r="F172" s="417">
        <v>13.590830233092852</v>
      </c>
      <c r="G172" s="418">
        <v>7.7366000000000001</v>
      </c>
      <c r="H172" s="411">
        <v>5.4237493259877363</v>
      </c>
      <c r="I172" s="411">
        <v>0.43048090710511555</v>
      </c>
      <c r="J172" s="411">
        <v>5.854230233092852</v>
      </c>
      <c r="K172" s="398" t="s">
        <v>932</v>
      </c>
      <c r="L172" s="414"/>
      <c r="M172" s="415"/>
    </row>
    <row r="173" spans="1:13">
      <c r="A173" s="416" t="s">
        <v>1100</v>
      </c>
      <c r="B173" s="271" t="s">
        <v>1100</v>
      </c>
      <c r="C173" s="417">
        <v>150</v>
      </c>
      <c r="D173" s="413">
        <v>508</v>
      </c>
      <c r="E173" s="417">
        <v>5.05</v>
      </c>
      <c r="F173" s="417">
        <v>23.902930233092853</v>
      </c>
      <c r="G173" s="418">
        <v>18.0487</v>
      </c>
      <c r="H173" s="411">
        <v>5.4237493259877363</v>
      </c>
      <c r="I173" s="411">
        <v>0.43048090710511555</v>
      </c>
      <c r="J173" s="411">
        <v>5.854230233092852</v>
      </c>
      <c r="K173" s="398" t="s">
        <v>932</v>
      </c>
      <c r="L173" s="414"/>
      <c r="M173" s="415"/>
    </row>
    <row r="174" spans="1:13">
      <c r="A174" s="416" t="s">
        <v>1101</v>
      </c>
      <c r="B174" s="271" t="s">
        <v>1101</v>
      </c>
      <c r="C174" s="417">
        <v>150</v>
      </c>
      <c r="D174" s="413">
        <v>360</v>
      </c>
      <c r="E174" s="417">
        <v>5.05</v>
      </c>
      <c r="F174" s="417">
        <v>23.902930233092853</v>
      </c>
      <c r="G174" s="418">
        <v>18.0487</v>
      </c>
      <c r="H174" s="411">
        <v>5.4237493259877363</v>
      </c>
      <c r="I174" s="411">
        <v>0.43048090710511555</v>
      </c>
      <c r="J174" s="411">
        <v>5.854230233092852</v>
      </c>
      <c r="K174" s="398" t="s">
        <v>932</v>
      </c>
      <c r="L174" s="414"/>
      <c r="M174" s="415"/>
    </row>
    <row r="175" spans="1:13">
      <c r="A175" s="416" t="s">
        <v>1102</v>
      </c>
      <c r="B175" s="271" t="s">
        <v>1102</v>
      </c>
      <c r="C175" s="417">
        <v>150</v>
      </c>
      <c r="D175" s="413">
        <v>210</v>
      </c>
      <c r="E175" s="417">
        <v>5.05</v>
      </c>
      <c r="F175" s="417">
        <v>13.590830233092852</v>
      </c>
      <c r="G175" s="418">
        <v>7.7366000000000001</v>
      </c>
      <c r="H175" s="411">
        <v>5.4237493259877363</v>
      </c>
      <c r="I175" s="411">
        <v>0.43048090710511555</v>
      </c>
      <c r="J175" s="411">
        <v>5.854230233092852</v>
      </c>
      <c r="K175" s="398" t="s">
        <v>932</v>
      </c>
      <c r="L175" s="414"/>
      <c r="M175" s="415"/>
    </row>
    <row r="176" spans="1:13">
      <c r="A176" s="416" t="s">
        <v>1103</v>
      </c>
      <c r="B176" s="271" t="s">
        <v>1103</v>
      </c>
      <c r="C176" s="417">
        <v>150</v>
      </c>
      <c r="D176" s="413">
        <v>296</v>
      </c>
      <c r="E176" s="417">
        <v>5.05</v>
      </c>
      <c r="F176" s="417">
        <v>16.166330233092854</v>
      </c>
      <c r="G176" s="418">
        <v>10.312100000000001</v>
      </c>
      <c r="H176" s="411">
        <v>5.4237493259877363</v>
      </c>
      <c r="I176" s="411">
        <v>0.43048090710511555</v>
      </c>
      <c r="J176" s="411">
        <v>5.854230233092852</v>
      </c>
      <c r="K176" s="398" t="s">
        <v>932</v>
      </c>
      <c r="L176" s="414"/>
      <c r="M176" s="415"/>
    </row>
    <row r="177" spans="1:13">
      <c r="A177" s="416" t="s">
        <v>1104</v>
      </c>
      <c r="B177" s="271" t="s">
        <v>1104</v>
      </c>
      <c r="C177" s="417" t="e">
        <v>#VALUE!</v>
      </c>
      <c r="D177" s="413" t="s">
        <v>542</v>
      </c>
      <c r="E177" s="417">
        <v>5.05</v>
      </c>
      <c r="F177" s="417" t="e">
        <v>#N/A</v>
      </c>
      <c r="G177" s="418" t="e">
        <v>#N/A</v>
      </c>
      <c r="H177" s="411">
        <v>5.4237493259877363</v>
      </c>
      <c r="I177" s="411">
        <v>0.43048090710511555</v>
      </c>
      <c r="J177" s="411">
        <v>5.854230233092852</v>
      </c>
      <c r="K177" s="398" t="s">
        <v>932</v>
      </c>
      <c r="L177" s="414"/>
      <c r="M177" s="415"/>
    </row>
    <row r="178" spans="1:13">
      <c r="A178" s="416" t="s">
        <v>1105</v>
      </c>
      <c r="B178" s="271" t="s">
        <v>1105</v>
      </c>
      <c r="C178" s="417">
        <v>150</v>
      </c>
      <c r="D178" s="413">
        <v>120</v>
      </c>
      <c r="E178" s="417">
        <v>5.05</v>
      </c>
      <c r="F178" s="417">
        <v>13.590830233092852</v>
      </c>
      <c r="G178" s="418">
        <v>7.7366000000000001</v>
      </c>
      <c r="H178" s="411">
        <v>5.4237493259877363</v>
      </c>
      <c r="I178" s="411">
        <v>0.43048090710511555</v>
      </c>
      <c r="J178" s="411">
        <v>5.854230233092852</v>
      </c>
      <c r="K178" s="398" t="s">
        <v>932</v>
      </c>
      <c r="L178" s="414"/>
      <c r="M178" s="415"/>
    </row>
    <row r="179" spans="1:13">
      <c r="A179" s="416" t="s">
        <v>1106</v>
      </c>
      <c r="B179" s="271" t="s">
        <v>1106</v>
      </c>
      <c r="C179" s="417">
        <v>150</v>
      </c>
      <c r="D179" s="413">
        <v>220</v>
      </c>
      <c r="E179" s="417">
        <v>5.05</v>
      </c>
      <c r="F179" s="417">
        <v>13.590830233092852</v>
      </c>
      <c r="G179" s="418">
        <v>7.7366000000000001</v>
      </c>
      <c r="H179" s="411">
        <v>5.4237493259877363</v>
      </c>
      <c r="I179" s="411">
        <v>0.43048090710511555</v>
      </c>
      <c r="J179" s="411">
        <v>5.854230233092852</v>
      </c>
      <c r="K179" s="398" t="s">
        <v>932</v>
      </c>
      <c r="L179" s="414"/>
      <c r="M179" s="415"/>
    </row>
    <row r="180" spans="1:13">
      <c r="A180" s="416" t="s">
        <v>1107</v>
      </c>
      <c r="B180" s="271" t="s">
        <v>1107</v>
      </c>
      <c r="C180" s="417">
        <v>150</v>
      </c>
      <c r="D180" s="413">
        <v>534</v>
      </c>
      <c r="E180" s="417">
        <v>5.05</v>
      </c>
      <c r="F180" s="417">
        <v>25.185630233092855</v>
      </c>
      <c r="G180" s="418">
        <v>19.331400000000002</v>
      </c>
      <c r="H180" s="411">
        <v>5.4237493259877363</v>
      </c>
      <c r="I180" s="411">
        <v>0.43048090710511555</v>
      </c>
      <c r="J180" s="411">
        <v>5.854230233092852</v>
      </c>
      <c r="K180" s="398" t="s">
        <v>932</v>
      </c>
      <c r="L180" s="414"/>
      <c r="M180" s="415"/>
    </row>
    <row r="181" spans="1:13">
      <c r="A181" s="416" t="s">
        <v>1108</v>
      </c>
      <c r="B181" s="271" t="s">
        <v>1108</v>
      </c>
      <c r="C181" s="417">
        <v>150</v>
      </c>
      <c r="D181" s="413">
        <v>485</v>
      </c>
      <c r="E181" s="417">
        <v>5.05</v>
      </c>
      <c r="F181" s="417">
        <v>29.053930233092853</v>
      </c>
      <c r="G181" s="418">
        <v>23.1997</v>
      </c>
      <c r="H181" s="411">
        <v>5.4237493259877363</v>
      </c>
      <c r="I181" s="411">
        <v>0.43048090710511555</v>
      </c>
      <c r="J181" s="411">
        <v>5.854230233092852</v>
      </c>
      <c r="K181" s="398" t="s">
        <v>932</v>
      </c>
      <c r="L181" s="414"/>
      <c r="M181" s="415"/>
    </row>
    <row r="182" spans="1:13">
      <c r="A182" s="416" t="s">
        <v>1109</v>
      </c>
      <c r="B182" s="271" t="s">
        <v>1109</v>
      </c>
      <c r="C182" s="417">
        <v>150</v>
      </c>
      <c r="D182" s="413">
        <v>230</v>
      </c>
      <c r="E182" s="417">
        <v>5.05</v>
      </c>
      <c r="F182" s="417">
        <v>16.166330233092854</v>
      </c>
      <c r="G182" s="418">
        <v>10.312100000000001</v>
      </c>
      <c r="H182" s="411">
        <v>5.4237493259877363</v>
      </c>
      <c r="I182" s="411">
        <v>0.43048090710511555</v>
      </c>
      <c r="J182" s="411">
        <v>5.854230233092852</v>
      </c>
      <c r="K182" s="398" t="s">
        <v>932</v>
      </c>
      <c r="L182" s="414"/>
      <c r="M182" s="415"/>
    </row>
    <row r="183" spans="1:13">
      <c r="A183" s="416" t="s">
        <v>1110</v>
      </c>
      <c r="B183" s="271" t="s">
        <v>1110</v>
      </c>
      <c r="C183" s="417">
        <v>150</v>
      </c>
      <c r="D183" s="413">
        <v>384</v>
      </c>
      <c r="E183" s="417">
        <v>5.05</v>
      </c>
      <c r="F183" s="417">
        <v>18.741830233092852</v>
      </c>
      <c r="G183" s="418">
        <v>12.887599999999999</v>
      </c>
      <c r="H183" s="411">
        <v>5.4237493259877363</v>
      </c>
      <c r="I183" s="411">
        <v>0.43048090710511555</v>
      </c>
      <c r="J183" s="411">
        <v>5.854230233092852</v>
      </c>
      <c r="K183" s="398" t="s">
        <v>932</v>
      </c>
      <c r="L183" s="414"/>
      <c r="M183" s="415"/>
    </row>
    <row r="184" spans="1:13">
      <c r="A184" s="416" t="s">
        <v>1111</v>
      </c>
      <c r="B184" s="271" t="s">
        <v>1111</v>
      </c>
      <c r="C184" s="417" t="e">
        <v>#VALUE!</v>
      </c>
      <c r="D184" s="413" t="s">
        <v>542</v>
      </c>
      <c r="E184" s="417">
        <v>5.05</v>
      </c>
      <c r="F184" s="417">
        <v>23.902930233092853</v>
      </c>
      <c r="G184" s="418">
        <v>18.0487</v>
      </c>
      <c r="H184" s="411">
        <v>5.4237493259877363</v>
      </c>
      <c r="I184" s="411">
        <v>0.43048090710511555</v>
      </c>
      <c r="J184" s="411">
        <v>5.854230233092852</v>
      </c>
      <c r="K184" s="398" t="s">
        <v>932</v>
      </c>
      <c r="L184" s="414"/>
      <c r="M184" s="415"/>
    </row>
    <row r="185" spans="1:13">
      <c r="A185" s="416" t="s">
        <v>1112</v>
      </c>
      <c r="B185" s="271" t="s">
        <v>1112</v>
      </c>
      <c r="C185" s="417">
        <v>150</v>
      </c>
      <c r="D185" s="413">
        <v>109</v>
      </c>
      <c r="E185" s="417">
        <v>5.05</v>
      </c>
      <c r="F185" s="417">
        <v>18.741830233092852</v>
      </c>
      <c r="G185" s="418">
        <v>12.887599999999999</v>
      </c>
      <c r="H185" s="411">
        <v>5.4237493259877363</v>
      </c>
      <c r="I185" s="411">
        <v>0.43048090710511555</v>
      </c>
      <c r="J185" s="411">
        <v>5.854230233092852</v>
      </c>
      <c r="K185" s="398" t="s">
        <v>932</v>
      </c>
      <c r="L185" s="414"/>
      <c r="M185" s="415"/>
    </row>
    <row r="186" spans="1:13">
      <c r="A186" s="416" t="s">
        <v>1113</v>
      </c>
      <c r="B186" s="271" t="s">
        <v>1113</v>
      </c>
      <c r="C186" s="417">
        <v>150</v>
      </c>
      <c r="D186" s="413">
        <v>105</v>
      </c>
      <c r="E186" s="417">
        <v>5.05</v>
      </c>
      <c r="F186" s="417">
        <v>13.590830233092852</v>
      </c>
      <c r="G186" s="418">
        <v>7.7366000000000001</v>
      </c>
      <c r="H186" s="411">
        <v>5.4237493259877363</v>
      </c>
      <c r="I186" s="411">
        <v>0.43048090710511555</v>
      </c>
      <c r="J186" s="411">
        <v>5.854230233092852</v>
      </c>
      <c r="K186" s="398" t="s">
        <v>932</v>
      </c>
      <c r="L186" s="414"/>
      <c r="M186" s="415"/>
    </row>
    <row r="187" spans="1:13">
      <c r="A187" s="416" t="s">
        <v>1114</v>
      </c>
      <c r="B187" s="271" t="s">
        <v>1114</v>
      </c>
      <c r="C187" s="417">
        <v>150</v>
      </c>
      <c r="D187" s="413">
        <v>183</v>
      </c>
      <c r="E187" s="417">
        <v>5.05</v>
      </c>
      <c r="F187" s="417">
        <v>29.053930233092853</v>
      </c>
      <c r="G187" s="418">
        <v>23.1997</v>
      </c>
      <c r="H187" s="411">
        <v>5.4237493259877363</v>
      </c>
      <c r="I187" s="411">
        <v>0.43048090710511555</v>
      </c>
      <c r="J187" s="411">
        <v>5.854230233092852</v>
      </c>
      <c r="K187" s="398" t="s">
        <v>932</v>
      </c>
      <c r="L187" s="414"/>
      <c r="M187" s="415"/>
    </row>
    <row r="188" spans="1:13">
      <c r="A188" s="416" t="s">
        <v>1115</v>
      </c>
      <c r="B188" s="271" t="s">
        <v>1115</v>
      </c>
      <c r="C188" s="417">
        <v>150</v>
      </c>
      <c r="D188" s="413">
        <v>41</v>
      </c>
      <c r="E188" s="417">
        <v>5.05</v>
      </c>
      <c r="F188" s="417">
        <v>13.590830233092852</v>
      </c>
      <c r="G188" s="418">
        <v>7.7366000000000001</v>
      </c>
      <c r="H188" s="411">
        <v>5.4237493259877363</v>
      </c>
      <c r="I188" s="411">
        <v>0.43048090710511555</v>
      </c>
      <c r="J188" s="411">
        <v>5.854230233092852</v>
      </c>
      <c r="K188" s="398" t="s">
        <v>932</v>
      </c>
      <c r="L188" s="414"/>
      <c r="M188" s="415"/>
    </row>
    <row r="189" spans="1:13">
      <c r="A189" s="416" t="s">
        <v>1116</v>
      </c>
      <c r="B189" s="271" t="s">
        <v>1116</v>
      </c>
      <c r="C189" s="417">
        <v>150</v>
      </c>
      <c r="D189" s="413">
        <v>115</v>
      </c>
      <c r="E189" s="417">
        <v>5.05</v>
      </c>
      <c r="F189" s="417">
        <v>16.166330233092854</v>
      </c>
      <c r="G189" s="418">
        <v>10.312100000000001</v>
      </c>
      <c r="H189" s="411">
        <v>5.4237493259877363</v>
      </c>
      <c r="I189" s="411">
        <v>0.43048090710511555</v>
      </c>
      <c r="J189" s="411">
        <v>5.854230233092852</v>
      </c>
      <c r="K189" s="398" t="s">
        <v>932</v>
      </c>
      <c r="L189" s="414"/>
      <c r="M189" s="415"/>
    </row>
    <row r="190" spans="1:13">
      <c r="A190" s="416" t="s">
        <v>1117</v>
      </c>
      <c r="B190" s="271" t="s">
        <v>1117</v>
      </c>
      <c r="C190" s="417">
        <v>150</v>
      </c>
      <c r="D190" s="413">
        <v>51</v>
      </c>
      <c r="E190" s="417">
        <v>5.05</v>
      </c>
      <c r="F190" s="417">
        <v>13.590830233092852</v>
      </c>
      <c r="G190" s="418">
        <v>7.7366000000000001</v>
      </c>
      <c r="H190" s="411">
        <v>5.4237493259877363</v>
      </c>
      <c r="I190" s="411">
        <v>0.43048090710511555</v>
      </c>
      <c r="J190" s="411">
        <v>5.854230233092852</v>
      </c>
      <c r="K190" s="398" t="s">
        <v>932</v>
      </c>
      <c r="L190" s="414"/>
      <c r="M190" s="415"/>
    </row>
    <row r="191" spans="1:13">
      <c r="A191" s="416" t="s">
        <v>1118</v>
      </c>
      <c r="B191" s="271" t="s">
        <v>1118</v>
      </c>
      <c r="C191" s="417" t="e">
        <v>#VALUE!</v>
      </c>
      <c r="D191" s="413" t="s">
        <v>542</v>
      </c>
      <c r="E191" s="417">
        <v>5.05</v>
      </c>
      <c r="F191" s="417">
        <v>13.590830233092852</v>
      </c>
      <c r="G191" s="418">
        <v>7.7366000000000001</v>
      </c>
      <c r="H191" s="411">
        <v>5.4237493259877363</v>
      </c>
      <c r="I191" s="411">
        <v>0.43048090710511555</v>
      </c>
      <c r="J191" s="411">
        <v>5.854230233092852</v>
      </c>
      <c r="K191" s="398" t="s">
        <v>932</v>
      </c>
      <c r="L191" s="414"/>
      <c r="M191" s="415"/>
    </row>
    <row r="192" spans="1:13">
      <c r="A192" s="416" t="s">
        <v>1119</v>
      </c>
      <c r="B192" s="271" t="s">
        <v>1119</v>
      </c>
      <c r="C192" s="417">
        <v>150</v>
      </c>
      <c r="D192" s="413">
        <v>227</v>
      </c>
      <c r="E192" s="417">
        <v>5.05</v>
      </c>
      <c r="F192" s="417">
        <v>34.215030233092847</v>
      </c>
      <c r="G192" s="418">
        <v>28.360799999999998</v>
      </c>
      <c r="H192" s="411">
        <v>5.4237493259877363</v>
      </c>
      <c r="I192" s="411">
        <v>0.43048090710511555</v>
      </c>
      <c r="J192" s="411">
        <v>5.854230233092852</v>
      </c>
      <c r="K192" s="398" t="s">
        <v>932</v>
      </c>
      <c r="L192" s="414"/>
      <c r="M192" s="415"/>
    </row>
    <row r="193" spans="1:13">
      <c r="A193" s="416" t="s">
        <v>1120</v>
      </c>
      <c r="B193" s="271" t="s">
        <v>1120</v>
      </c>
      <c r="C193" s="417">
        <v>150</v>
      </c>
      <c r="D193" s="413">
        <v>254</v>
      </c>
      <c r="E193" s="417">
        <v>5.05</v>
      </c>
      <c r="F193" s="417">
        <v>23.902930233092853</v>
      </c>
      <c r="G193" s="418">
        <v>18.0487</v>
      </c>
      <c r="H193" s="411">
        <v>5.4237493259877363</v>
      </c>
      <c r="I193" s="411">
        <v>0.43048090710511555</v>
      </c>
      <c r="J193" s="411">
        <v>5.854230233092852</v>
      </c>
      <c r="K193" s="398" t="s">
        <v>932</v>
      </c>
      <c r="L193" s="414"/>
      <c r="M193" s="415"/>
    </row>
    <row r="194" spans="1:13">
      <c r="A194" s="416" t="s">
        <v>1121</v>
      </c>
      <c r="B194" s="271" t="s">
        <v>1121</v>
      </c>
      <c r="C194" s="417">
        <v>150</v>
      </c>
      <c r="D194" s="413">
        <v>90</v>
      </c>
      <c r="E194" s="417">
        <v>5.05</v>
      </c>
      <c r="F194" s="417">
        <v>16.166330233092854</v>
      </c>
      <c r="G194" s="418">
        <v>10.312100000000001</v>
      </c>
      <c r="H194" s="411">
        <v>5.4237493259877363</v>
      </c>
      <c r="I194" s="411">
        <v>0.43048090710511555</v>
      </c>
      <c r="J194" s="411">
        <v>5.854230233092852</v>
      </c>
      <c r="K194" s="398" t="s">
        <v>932</v>
      </c>
      <c r="L194" s="414"/>
      <c r="M194" s="415"/>
    </row>
    <row r="195" spans="1:13">
      <c r="A195" s="416" t="s">
        <v>1122</v>
      </c>
      <c r="B195" s="271" t="s">
        <v>1122</v>
      </c>
      <c r="C195" s="417" t="e">
        <v>#VALUE!</v>
      </c>
      <c r="D195" s="413" t="s">
        <v>542</v>
      </c>
      <c r="E195" s="417">
        <v>5.05</v>
      </c>
      <c r="F195" s="417" t="e">
        <v>#N/A</v>
      </c>
      <c r="G195" s="418" t="e">
        <v>#N/A</v>
      </c>
      <c r="H195" s="411">
        <v>5.4237493259877363</v>
      </c>
      <c r="I195" s="411">
        <v>0.43048090710511555</v>
      </c>
      <c r="J195" s="411">
        <v>5.854230233092852</v>
      </c>
      <c r="K195" s="398" t="s">
        <v>932</v>
      </c>
      <c r="L195" s="414"/>
      <c r="M195" s="415"/>
    </row>
    <row r="196" spans="1:13">
      <c r="A196" s="416" t="s">
        <v>1123</v>
      </c>
      <c r="B196" s="271" t="s">
        <v>1123</v>
      </c>
      <c r="C196" s="417">
        <v>150</v>
      </c>
      <c r="D196" s="413">
        <v>221</v>
      </c>
      <c r="E196" s="417">
        <v>5.05</v>
      </c>
      <c r="F196" s="417">
        <v>21.317330233092854</v>
      </c>
      <c r="G196" s="418">
        <v>15.463100000000001</v>
      </c>
      <c r="H196" s="411">
        <v>5.4237493259877363</v>
      </c>
      <c r="I196" s="411">
        <v>0.43048090710511555</v>
      </c>
      <c r="J196" s="411">
        <v>5.854230233092852</v>
      </c>
      <c r="K196" s="398" t="s">
        <v>932</v>
      </c>
      <c r="L196" s="414"/>
      <c r="M196" s="415"/>
    </row>
    <row r="197" spans="1:13">
      <c r="A197" s="416" t="s">
        <v>1124</v>
      </c>
      <c r="B197" s="271" t="s">
        <v>1124</v>
      </c>
      <c r="C197" s="417" t="e">
        <v>#VALUE!</v>
      </c>
      <c r="D197" s="413" t="s">
        <v>542</v>
      </c>
      <c r="E197" s="417">
        <v>5.05</v>
      </c>
      <c r="F197" s="417">
        <v>29.053930233092853</v>
      </c>
      <c r="G197" s="418">
        <v>23.1997</v>
      </c>
      <c r="H197" s="411">
        <v>5.4237493259877363</v>
      </c>
      <c r="I197" s="411">
        <v>0.43048090710511555</v>
      </c>
      <c r="J197" s="411">
        <v>5.854230233092852</v>
      </c>
      <c r="K197" s="398" t="s">
        <v>932</v>
      </c>
      <c r="L197" s="414"/>
      <c r="M197" s="415"/>
    </row>
    <row r="198" spans="1:13">
      <c r="A198" s="416" t="s">
        <v>1125</v>
      </c>
      <c r="B198" s="271" t="s">
        <v>1125</v>
      </c>
      <c r="C198" s="417">
        <v>150</v>
      </c>
      <c r="D198" s="413">
        <v>267</v>
      </c>
      <c r="E198" s="417">
        <v>5.05</v>
      </c>
      <c r="F198" s="417">
        <v>25.185630233092855</v>
      </c>
      <c r="G198" s="418">
        <v>19.331400000000002</v>
      </c>
      <c r="H198" s="411">
        <v>5.4237493259877363</v>
      </c>
      <c r="I198" s="411">
        <v>0.43048090710511555</v>
      </c>
      <c r="J198" s="411">
        <v>5.854230233092852</v>
      </c>
      <c r="K198" s="398" t="s">
        <v>932</v>
      </c>
      <c r="L198" s="414"/>
      <c r="M198" s="415"/>
    </row>
    <row r="199" spans="1:13">
      <c r="A199" s="416" t="s">
        <v>1126</v>
      </c>
      <c r="B199" s="271" t="s">
        <v>1126</v>
      </c>
      <c r="C199" s="417">
        <v>150</v>
      </c>
      <c r="D199" s="413">
        <v>151</v>
      </c>
      <c r="E199" s="417">
        <v>5.05</v>
      </c>
      <c r="F199" s="417">
        <v>23.902930233092853</v>
      </c>
      <c r="G199" s="418">
        <v>18.0487</v>
      </c>
      <c r="H199" s="411">
        <v>5.4237493259877363</v>
      </c>
      <c r="I199" s="411">
        <v>0.43048090710511555</v>
      </c>
      <c r="J199" s="411">
        <v>5.854230233092852</v>
      </c>
      <c r="K199" s="398" t="s">
        <v>932</v>
      </c>
      <c r="L199" s="414"/>
      <c r="M199" s="415"/>
    </row>
    <row r="200" spans="1:13">
      <c r="A200" s="416" t="s">
        <v>1127</v>
      </c>
      <c r="B200" s="271" t="s">
        <v>1127</v>
      </c>
      <c r="C200" s="417">
        <v>150</v>
      </c>
      <c r="D200" s="413">
        <v>83</v>
      </c>
      <c r="E200" s="417">
        <v>5.05</v>
      </c>
      <c r="F200" s="417">
        <v>15.136130233092853</v>
      </c>
      <c r="G200" s="418">
        <v>9.2819000000000003</v>
      </c>
      <c r="H200" s="411">
        <v>5.4237493259877363</v>
      </c>
      <c r="I200" s="411">
        <v>0.43048090710511555</v>
      </c>
      <c r="J200" s="411">
        <v>5.854230233092852</v>
      </c>
      <c r="K200" s="398" t="s">
        <v>932</v>
      </c>
      <c r="L200" s="414"/>
      <c r="M200" s="415"/>
    </row>
    <row r="201" spans="1:13">
      <c r="A201" s="416" t="s">
        <v>1128</v>
      </c>
      <c r="B201" s="271" t="s">
        <v>1128</v>
      </c>
      <c r="C201" s="417">
        <v>150</v>
      </c>
      <c r="D201" s="413">
        <v>69</v>
      </c>
      <c r="E201" s="417">
        <v>5.05</v>
      </c>
      <c r="F201" s="417">
        <v>13.590830233092852</v>
      </c>
      <c r="G201" s="418">
        <v>7.7366000000000001</v>
      </c>
      <c r="H201" s="411">
        <v>5.4237493259877363</v>
      </c>
      <c r="I201" s="411">
        <v>0.43048090710511555</v>
      </c>
      <c r="J201" s="411">
        <v>5.854230233092852</v>
      </c>
      <c r="K201" s="398" t="s">
        <v>932</v>
      </c>
      <c r="L201" s="414"/>
      <c r="M201" s="415"/>
    </row>
    <row r="202" spans="1:13">
      <c r="A202" s="416" t="s">
        <v>1129</v>
      </c>
      <c r="B202" s="271" t="s">
        <v>1129</v>
      </c>
      <c r="C202" s="417">
        <v>150</v>
      </c>
      <c r="D202" s="413">
        <v>76</v>
      </c>
      <c r="E202" s="417">
        <v>5.05</v>
      </c>
      <c r="F202" s="417">
        <v>16.166330233092854</v>
      </c>
      <c r="G202" s="418">
        <v>10.312100000000001</v>
      </c>
      <c r="H202" s="411">
        <v>5.4237493259877363</v>
      </c>
      <c r="I202" s="411">
        <v>0.43048090710511555</v>
      </c>
      <c r="J202" s="411">
        <v>5.854230233092852</v>
      </c>
      <c r="K202" s="398" t="s">
        <v>932</v>
      </c>
      <c r="L202" s="414"/>
      <c r="M202" s="415"/>
    </row>
    <row r="203" spans="1:13">
      <c r="A203" s="416" t="s">
        <v>1130</v>
      </c>
      <c r="B203" s="271" t="s">
        <v>1130</v>
      </c>
      <c r="C203" s="417">
        <v>150</v>
      </c>
      <c r="D203" s="413">
        <v>192</v>
      </c>
      <c r="E203" s="417">
        <v>5.05</v>
      </c>
      <c r="F203" s="417">
        <v>18.741830233092852</v>
      </c>
      <c r="G203" s="418">
        <v>12.887599999999999</v>
      </c>
      <c r="H203" s="411">
        <v>5.4237493259877363</v>
      </c>
      <c r="I203" s="411">
        <v>0.43048090710511555</v>
      </c>
      <c r="J203" s="411">
        <v>5.854230233092852</v>
      </c>
      <c r="K203" s="398" t="s">
        <v>932</v>
      </c>
      <c r="L203" s="414"/>
      <c r="M203" s="415"/>
    </row>
    <row r="204" spans="1:13">
      <c r="A204" s="416" t="s">
        <v>1131</v>
      </c>
      <c r="B204" s="271" t="s">
        <v>1131</v>
      </c>
      <c r="C204" s="417" t="e">
        <v>#VALUE!</v>
      </c>
      <c r="D204" s="413" t="s">
        <v>542</v>
      </c>
      <c r="E204" s="417">
        <v>5.05</v>
      </c>
      <c r="F204" s="417">
        <v>23.902930233092853</v>
      </c>
      <c r="G204" s="418">
        <v>18.0487</v>
      </c>
      <c r="H204" s="411">
        <v>5.4237493259877363</v>
      </c>
      <c r="I204" s="411">
        <v>0.43048090710511555</v>
      </c>
      <c r="J204" s="411">
        <v>5.854230233092852</v>
      </c>
      <c r="K204" s="398" t="s">
        <v>932</v>
      </c>
      <c r="L204" s="414"/>
      <c r="M204" s="415"/>
    </row>
    <row r="205" spans="1:13">
      <c r="A205" s="416" t="s">
        <v>1132</v>
      </c>
      <c r="B205" s="271" t="s">
        <v>1132</v>
      </c>
      <c r="C205" s="417">
        <v>150</v>
      </c>
      <c r="D205" s="413">
        <v>132</v>
      </c>
      <c r="E205" s="417">
        <v>5.05</v>
      </c>
      <c r="F205" s="417">
        <v>13.590830233092852</v>
      </c>
      <c r="G205" s="418">
        <v>7.7366000000000001</v>
      </c>
      <c r="H205" s="411">
        <v>5.4237493259877363</v>
      </c>
      <c r="I205" s="411">
        <v>0.43048090710511555</v>
      </c>
      <c r="J205" s="411">
        <v>5.854230233092852</v>
      </c>
      <c r="K205" s="398" t="s">
        <v>932</v>
      </c>
      <c r="L205" s="414"/>
      <c r="M205" s="415"/>
    </row>
    <row r="206" spans="1:13">
      <c r="A206" s="416" t="s">
        <v>1133</v>
      </c>
      <c r="B206" s="271" t="s">
        <v>1133</v>
      </c>
      <c r="C206" s="417">
        <v>150</v>
      </c>
      <c r="D206" s="413">
        <v>266</v>
      </c>
      <c r="E206" s="417">
        <v>5.05</v>
      </c>
      <c r="F206" s="417">
        <v>23.902930233092853</v>
      </c>
      <c r="G206" s="418">
        <v>18.0487</v>
      </c>
      <c r="H206" s="411">
        <v>5.4237493259877363</v>
      </c>
      <c r="I206" s="411">
        <v>0.43048090710511555</v>
      </c>
      <c r="J206" s="411">
        <v>5.854230233092852</v>
      </c>
      <c r="K206" s="398" t="s">
        <v>932</v>
      </c>
      <c r="L206" s="414"/>
      <c r="M206" s="415"/>
    </row>
    <row r="207" spans="1:13">
      <c r="A207" s="416" t="s">
        <v>1134</v>
      </c>
      <c r="B207" s="271" t="s">
        <v>1134</v>
      </c>
      <c r="C207" s="417">
        <v>150</v>
      </c>
      <c r="D207" s="413">
        <v>173</v>
      </c>
      <c r="E207" s="417">
        <v>5.05</v>
      </c>
      <c r="F207" s="417">
        <v>16.166330233092854</v>
      </c>
      <c r="G207" s="418">
        <v>10.312100000000001</v>
      </c>
      <c r="H207" s="411">
        <v>5.4237493259877363</v>
      </c>
      <c r="I207" s="411">
        <v>0.43048090710511555</v>
      </c>
      <c r="J207" s="411">
        <v>5.854230233092852</v>
      </c>
      <c r="K207" s="398" t="s">
        <v>932</v>
      </c>
      <c r="L207" s="414"/>
      <c r="M207" s="415"/>
    </row>
    <row r="208" spans="1:13">
      <c r="A208" s="416" t="s">
        <v>1135</v>
      </c>
      <c r="B208" s="271" t="s">
        <v>1135</v>
      </c>
      <c r="C208" s="417">
        <v>150</v>
      </c>
      <c r="D208" s="413">
        <v>378</v>
      </c>
      <c r="E208" s="417">
        <v>5.05</v>
      </c>
      <c r="F208" s="417">
        <v>34.215030233092847</v>
      </c>
      <c r="G208" s="418">
        <v>28.360799999999998</v>
      </c>
      <c r="H208" s="411">
        <v>5.4237493259877363</v>
      </c>
      <c r="I208" s="411">
        <v>0.43048090710511555</v>
      </c>
      <c r="J208" s="411">
        <v>5.854230233092852</v>
      </c>
      <c r="K208" s="398" t="s">
        <v>932</v>
      </c>
      <c r="L208" s="414"/>
      <c r="M208" s="415"/>
    </row>
    <row r="209" spans="1:13">
      <c r="A209" s="416" t="s">
        <v>1136</v>
      </c>
      <c r="B209" s="271" t="s">
        <v>1136</v>
      </c>
      <c r="C209" s="417" t="e">
        <v>#VALUE!</v>
      </c>
      <c r="D209" s="413" t="s">
        <v>542</v>
      </c>
      <c r="E209" s="417">
        <v>5.05</v>
      </c>
      <c r="F209" s="417" t="e">
        <v>#N/A</v>
      </c>
      <c r="G209" s="418" t="e">
        <v>#N/A</v>
      </c>
      <c r="H209" s="411">
        <v>5.4237493259877363</v>
      </c>
      <c r="I209" s="411">
        <v>0.43048090710511555</v>
      </c>
      <c r="J209" s="411">
        <v>5.854230233092852</v>
      </c>
      <c r="K209" s="398" t="s">
        <v>932</v>
      </c>
      <c r="L209" s="414"/>
      <c r="M209" s="415"/>
    </row>
    <row r="210" spans="1:13">
      <c r="A210" s="416" t="s">
        <v>1137</v>
      </c>
      <c r="B210" s="271" t="s">
        <v>1137</v>
      </c>
      <c r="C210" s="417">
        <v>150</v>
      </c>
      <c r="D210" s="413">
        <v>192</v>
      </c>
      <c r="E210" s="417">
        <v>5.05</v>
      </c>
      <c r="F210" s="417">
        <v>16.166330233092854</v>
      </c>
      <c r="G210" s="418">
        <v>10.312100000000001</v>
      </c>
      <c r="H210" s="411">
        <v>5.4237493259877363</v>
      </c>
      <c r="I210" s="411">
        <v>0.43048090710511555</v>
      </c>
      <c r="J210" s="411">
        <v>5.854230233092852</v>
      </c>
      <c r="K210" s="398" t="s">
        <v>932</v>
      </c>
      <c r="L210" s="414"/>
      <c r="M210" s="415"/>
    </row>
    <row r="211" spans="1:13">
      <c r="A211" s="416" t="s">
        <v>1138</v>
      </c>
      <c r="B211" s="271" t="s">
        <v>1138</v>
      </c>
      <c r="C211" s="417">
        <v>150</v>
      </c>
      <c r="D211" s="413">
        <v>381</v>
      </c>
      <c r="E211" s="417">
        <v>5.05</v>
      </c>
      <c r="F211" s="417">
        <v>23.902930233092853</v>
      </c>
      <c r="G211" s="418">
        <v>18.0487</v>
      </c>
      <c r="H211" s="411">
        <v>5.4237493259877363</v>
      </c>
      <c r="I211" s="411">
        <v>0.43048090710511555</v>
      </c>
      <c r="J211" s="411">
        <v>5.854230233092852</v>
      </c>
      <c r="K211" s="398" t="s">
        <v>932</v>
      </c>
      <c r="L211" s="414"/>
      <c r="M211" s="415"/>
    </row>
    <row r="212" spans="1:13">
      <c r="A212" s="416" t="s">
        <v>1139</v>
      </c>
      <c r="B212" s="271" t="s">
        <v>1139</v>
      </c>
      <c r="C212" s="417" t="e">
        <v>#VALUE!</v>
      </c>
      <c r="D212" s="413" t="s">
        <v>542</v>
      </c>
      <c r="E212" s="417">
        <v>5.05</v>
      </c>
      <c r="F212" s="417">
        <v>13.590830233092852</v>
      </c>
      <c r="G212" s="418">
        <v>7.7366000000000001</v>
      </c>
      <c r="H212" s="411">
        <v>5.4237493259877363</v>
      </c>
      <c r="I212" s="411">
        <v>0.43048090710511555</v>
      </c>
      <c r="J212" s="411">
        <v>5.854230233092852</v>
      </c>
      <c r="K212" s="398" t="s">
        <v>932</v>
      </c>
      <c r="L212" s="414"/>
      <c r="M212" s="415"/>
    </row>
    <row r="213" spans="1:13">
      <c r="A213" s="416" t="s">
        <v>1140</v>
      </c>
      <c r="B213" s="271" t="s">
        <v>1140</v>
      </c>
      <c r="C213" s="417">
        <v>150</v>
      </c>
      <c r="D213" s="413">
        <v>401</v>
      </c>
      <c r="E213" s="417">
        <v>5.05</v>
      </c>
      <c r="F213" s="417">
        <v>25.185630233092855</v>
      </c>
      <c r="G213" s="418">
        <v>19.331400000000002</v>
      </c>
      <c r="H213" s="411">
        <v>5.4237493259877363</v>
      </c>
      <c r="I213" s="411">
        <v>0.43048090710511555</v>
      </c>
      <c r="J213" s="411">
        <v>5.854230233092852</v>
      </c>
      <c r="K213" s="398" t="s">
        <v>932</v>
      </c>
      <c r="L213" s="414"/>
      <c r="M213" s="415"/>
    </row>
    <row r="214" spans="1:13">
      <c r="A214" s="416" t="s">
        <v>1141</v>
      </c>
      <c r="B214" s="271" t="s">
        <v>1141</v>
      </c>
      <c r="C214" s="417">
        <v>150</v>
      </c>
      <c r="D214" s="413">
        <v>143</v>
      </c>
      <c r="E214" s="417">
        <v>5.05</v>
      </c>
      <c r="F214" s="417">
        <v>13.590830233092852</v>
      </c>
      <c r="G214" s="418">
        <v>7.7366000000000001</v>
      </c>
      <c r="H214" s="411">
        <v>5.4237493259877363</v>
      </c>
      <c r="I214" s="411">
        <v>0.43048090710511555</v>
      </c>
      <c r="J214" s="411">
        <v>5.854230233092852</v>
      </c>
      <c r="K214" s="398" t="s">
        <v>932</v>
      </c>
      <c r="L214" s="414"/>
      <c r="M214" s="415"/>
    </row>
    <row r="215" spans="1:13">
      <c r="A215" s="416" t="s">
        <v>1142</v>
      </c>
      <c r="B215" s="271" t="s">
        <v>1142</v>
      </c>
      <c r="C215" s="417">
        <v>150</v>
      </c>
      <c r="D215" s="413">
        <v>332</v>
      </c>
      <c r="E215" s="417">
        <v>5.05</v>
      </c>
      <c r="F215" s="417">
        <v>21.317330233092854</v>
      </c>
      <c r="G215" s="418">
        <v>15.463100000000001</v>
      </c>
      <c r="H215" s="411">
        <v>5.4237493259877363</v>
      </c>
      <c r="I215" s="411">
        <v>0.43048090710511555</v>
      </c>
      <c r="J215" s="411">
        <v>5.854230233092852</v>
      </c>
      <c r="K215" s="398" t="s">
        <v>932</v>
      </c>
      <c r="L215" s="414"/>
      <c r="M215" s="415"/>
    </row>
    <row r="216" spans="1:13">
      <c r="A216" s="416" t="s">
        <v>1143</v>
      </c>
      <c r="B216" s="271" t="s">
        <v>1143</v>
      </c>
      <c r="C216" s="417" t="e">
        <v>#VALUE!</v>
      </c>
      <c r="D216" s="413" t="s">
        <v>542</v>
      </c>
      <c r="E216" s="417">
        <v>5.05</v>
      </c>
      <c r="F216" s="417">
        <v>29.053930233092853</v>
      </c>
      <c r="G216" s="418">
        <v>23.1997</v>
      </c>
      <c r="H216" s="411">
        <v>5.4237493259877363</v>
      </c>
      <c r="I216" s="411">
        <v>0.43048090710511555</v>
      </c>
      <c r="J216" s="411">
        <v>5.854230233092852</v>
      </c>
      <c r="K216" s="398" t="s">
        <v>932</v>
      </c>
      <c r="L216" s="414"/>
      <c r="M216" s="415"/>
    </row>
    <row r="217" spans="1:13">
      <c r="A217" s="416" t="s">
        <v>1144</v>
      </c>
      <c r="B217" s="271" t="s">
        <v>1144</v>
      </c>
      <c r="C217" s="417">
        <v>150</v>
      </c>
      <c r="D217" s="413">
        <v>206</v>
      </c>
      <c r="E217" s="417">
        <v>5.05</v>
      </c>
      <c r="F217" s="417">
        <v>18.741830233092852</v>
      </c>
      <c r="G217" s="418">
        <v>12.887599999999999</v>
      </c>
      <c r="H217" s="411">
        <v>5.4237493259877363</v>
      </c>
      <c r="I217" s="411">
        <v>0.43048090710511555</v>
      </c>
      <c r="J217" s="411">
        <v>5.854230233092852</v>
      </c>
      <c r="K217" s="398" t="s">
        <v>932</v>
      </c>
      <c r="L217" s="414"/>
      <c r="M217" s="415"/>
    </row>
    <row r="218" spans="1:13">
      <c r="A218" s="416" t="s">
        <v>1145</v>
      </c>
      <c r="B218" s="271" t="s">
        <v>1145</v>
      </c>
      <c r="C218" s="417">
        <v>150</v>
      </c>
      <c r="D218" s="413">
        <v>79</v>
      </c>
      <c r="E218" s="417">
        <v>5.05</v>
      </c>
      <c r="F218" s="417">
        <v>13.590830233092852</v>
      </c>
      <c r="G218" s="418">
        <v>7.7366000000000001</v>
      </c>
      <c r="H218" s="411">
        <v>5.4237493259877363</v>
      </c>
      <c r="I218" s="411">
        <v>0.43048090710511555</v>
      </c>
      <c r="J218" s="411">
        <v>5.854230233092852</v>
      </c>
      <c r="K218" s="398" t="s">
        <v>932</v>
      </c>
      <c r="L218" s="414"/>
      <c r="M218" s="415"/>
    </row>
    <row r="219" spans="1:13">
      <c r="A219" s="416" t="s">
        <v>1146</v>
      </c>
      <c r="B219" s="271" t="s">
        <v>1146</v>
      </c>
      <c r="C219" s="417">
        <v>150</v>
      </c>
      <c r="D219" s="413">
        <v>158</v>
      </c>
      <c r="E219" s="417">
        <v>5.05</v>
      </c>
      <c r="F219" s="417">
        <v>15.136130233092853</v>
      </c>
      <c r="G219" s="418">
        <v>9.2819000000000003</v>
      </c>
      <c r="H219" s="411">
        <v>5.4237493259877363</v>
      </c>
      <c r="I219" s="411">
        <v>0.43048090710511555</v>
      </c>
      <c r="J219" s="411">
        <v>5.854230233092852</v>
      </c>
      <c r="K219" s="398" t="s">
        <v>932</v>
      </c>
      <c r="L219" s="414"/>
      <c r="M219" s="415"/>
    </row>
    <row r="220" spans="1:13">
      <c r="A220" s="416" t="s">
        <v>1147</v>
      </c>
      <c r="B220" s="271" t="s">
        <v>1147</v>
      </c>
      <c r="C220" s="417">
        <v>150</v>
      </c>
      <c r="D220" s="413">
        <v>306</v>
      </c>
      <c r="E220" s="417">
        <v>5.05</v>
      </c>
      <c r="F220" s="417">
        <v>29.053930233092853</v>
      </c>
      <c r="G220" s="418">
        <v>23.1997</v>
      </c>
      <c r="H220" s="411">
        <v>5.4237493259877363</v>
      </c>
      <c r="I220" s="411">
        <v>0.43048090710511555</v>
      </c>
      <c r="J220" s="411">
        <v>5.854230233092852</v>
      </c>
      <c r="K220" s="398" t="s">
        <v>932</v>
      </c>
      <c r="L220" s="414"/>
      <c r="M220" s="415"/>
    </row>
    <row r="221" spans="1:13">
      <c r="A221" s="416" t="s">
        <v>1148</v>
      </c>
      <c r="B221" s="271" t="s">
        <v>1148</v>
      </c>
      <c r="C221" s="417">
        <v>150</v>
      </c>
      <c r="D221" s="413">
        <v>98</v>
      </c>
      <c r="E221" s="417">
        <v>5.05</v>
      </c>
      <c r="F221" s="417">
        <v>13.590830233092852</v>
      </c>
      <c r="G221" s="418">
        <v>7.7366000000000001</v>
      </c>
      <c r="H221" s="411">
        <v>5.4237493259877363</v>
      </c>
      <c r="I221" s="411">
        <v>0.43048090710511555</v>
      </c>
      <c r="J221" s="411">
        <v>5.854230233092852</v>
      </c>
      <c r="K221" s="398" t="s">
        <v>932</v>
      </c>
      <c r="L221" s="414"/>
      <c r="M221" s="415"/>
    </row>
    <row r="222" spans="1:13">
      <c r="A222" s="416" t="s">
        <v>1149</v>
      </c>
      <c r="B222" s="271" t="s">
        <v>1149</v>
      </c>
      <c r="C222" s="417">
        <v>150</v>
      </c>
      <c r="D222" s="413">
        <v>145</v>
      </c>
      <c r="E222" s="417">
        <v>5.05</v>
      </c>
      <c r="F222" s="417">
        <v>16.166330233092854</v>
      </c>
      <c r="G222" s="418">
        <v>10.312100000000001</v>
      </c>
      <c r="H222" s="411">
        <v>5.4237493259877363</v>
      </c>
      <c r="I222" s="411">
        <v>0.43048090710511555</v>
      </c>
      <c r="J222" s="411">
        <v>5.854230233092852</v>
      </c>
      <c r="K222" s="398" t="s">
        <v>932</v>
      </c>
      <c r="L222" s="414"/>
      <c r="M222" s="415"/>
    </row>
    <row r="223" spans="1:13">
      <c r="A223" s="416" t="s">
        <v>1150</v>
      </c>
      <c r="B223" s="271" t="s">
        <v>1150</v>
      </c>
      <c r="C223" s="417">
        <v>150</v>
      </c>
      <c r="D223" s="413">
        <v>288</v>
      </c>
      <c r="E223" s="417">
        <v>5.05</v>
      </c>
      <c r="F223" s="417">
        <v>18.741830233092852</v>
      </c>
      <c r="G223" s="418">
        <v>12.887599999999999</v>
      </c>
      <c r="H223" s="411">
        <v>5.4237493259877363</v>
      </c>
      <c r="I223" s="411">
        <v>0.43048090710511555</v>
      </c>
      <c r="J223" s="411">
        <v>5.854230233092852</v>
      </c>
      <c r="K223" s="398" t="s">
        <v>932</v>
      </c>
      <c r="L223" s="414"/>
      <c r="M223" s="415"/>
    </row>
    <row r="224" spans="1:13">
      <c r="A224" s="416" t="s">
        <v>1151</v>
      </c>
      <c r="B224" s="271" t="s">
        <v>1151</v>
      </c>
      <c r="C224" s="417" t="e">
        <v>#VALUE!</v>
      </c>
      <c r="D224" s="413" t="s">
        <v>542</v>
      </c>
      <c r="E224" s="417">
        <v>5.05</v>
      </c>
      <c r="F224" s="417">
        <v>23.902930233092853</v>
      </c>
      <c r="G224" s="418">
        <v>18.0487</v>
      </c>
      <c r="H224" s="411">
        <v>5.4237493259877363</v>
      </c>
      <c r="I224" s="411">
        <v>0.43048090710511555</v>
      </c>
      <c r="J224" s="411">
        <v>5.854230233092852</v>
      </c>
      <c r="K224" s="398" t="s">
        <v>932</v>
      </c>
      <c r="L224" s="414"/>
      <c r="M224" s="415"/>
    </row>
    <row r="225" spans="1:13">
      <c r="A225" s="416" t="s">
        <v>1152</v>
      </c>
      <c r="B225" s="271" t="s">
        <v>1152</v>
      </c>
      <c r="C225" s="417" t="e">
        <v>#VALUE!</v>
      </c>
      <c r="D225" s="413" t="s">
        <v>542</v>
      </c>
      <c r="E225" s="417">
        <v>5.05</v>
      </c>
      <c r="F225" s="417">
        <v>8.5812302330928532</v>
      </c>
      <c r="G225" s="418">
        <v>2.7270000000000003</v>
      </c>
      <c r="H225" s="411">
        <v>5.4237493259877363</v>
      </c>
      <c r="I225" s="411">
        <v>0.43048090710511555</v>
      </c>
      <c r="J225" s="411">
        <v>5.854230233092852</v>
      </c>
      <c r="K225" s="398" t="s">
        <v>932</v>
      </c>
      <c r="L225" s="414"/>
      <c r="M225" s="415"/>
    </row>
    <row r="226" spans="1:13">
      <c r="A226" s="416" t="s">
        <v>1153</v>
      </c>
      <c r="B226" s="271" t="s">
        <v>1153</v>
      </c>
      <c r="C226" s="417" t="e">
        <v>#VALUE!</v>
      </c>
      <c r="D226" s="413" t="s">
        <v>542</v>
      </c>
      <c r="E226" s="417">
        <v>5.05</v>
      </c>
      <c r="F226" s="417">
        <v>8.5812302330928532</v>
      </c>
      <c r="G226" s="418">
        <v>2.7270000000000003</v>
      </c>
      <c r="H226" s="411">
        <v>5.4237493259877363</v>
      </c>
      <c r="I226" s="411">
        <v>0.43048090710511555</v>
      </c>
      <c r="J226" s="411">
        <v>5.854230233092852</v>
      </c>
      <c r="K226" s="398" t="s">
        <v>932</v>
      </c>
      <c r="L226" s="414"/>
      <c r="M226" s="415"/>
    </row>
    <row r="227" spans="1:13">
      <c r="A227" s="416" t="s">
        <v>1154</v>
      </c>
      <c r="B227" s="271" t="s">
        <v>1154</v>
      </c>
      <c r="C227" s="417">
        <v>150</v>
      </c>
      <c r="D227" s="413">
        <v>78</v>
      </c>
      <c r="E227" s="417">
        <v>5.05</v>
      </c>
      <c r="F227" s="417">
        <v>8.5812302330928532</v>
      </c>
      <c r="G227" s="418">
        <v>2.7270000000000003</v>
      </c>
      <c r="H227" s="411">
        <v>5.4237493259877363</v>
      </c>
      <c r="I227" s="411">
        <v>0.43048090710511555</v>
      </c>
      <c r="J227" s="411">
        <v>5.854230233092852</v>
      </c>
      <c r="K227" s="398" t="s">
        <v>932</v>
      </c>
      <c r="L227" s="414"/>
      <c r="M227" s="415"/>
    </row>
    <row r="228" spans="1:13">
      <c r="A228" s="416" t="s">
        <v>1155</v>
      </c>
      <c r="B228" s="271" t="s">
        <v>1155</v>
      </c>
      <c r="C228" s="417">
        <v>150</v>
      </c>
      <c r="D228" s="413">
        <v>94</v>
      </c>
      <c r="E228" s="417">
        <v>5.05</v>
      </c>
      <c r="F228" s="417">
        <v>8.5812302330928532</v>
      </c>
      <c r="G228" s="418">
        <v>2.7270000000000003</v>
      </c>
      <c r="H228" s="411">
        <v>5.4237493259877363</v>
      </c>
      <c r="I228" s="411">
        <v>0.43048090710511555</v>
      </c>
      <c r="J228" s="411">
        <v>5.854230233092852</v>
      </c>
      <c r="K228" s="398" t="s">
        <v>932</v>
      </c>
      <c r="L228" s="414"/>
      <c r="M228" s="415"/>
    </row>
    <row r="229" spans="1:13">
      <c r="A229" s="416" t="s">
        <v>1156</v>
      </c>
      <c r="B229" s="271" t="s">
        <v>1156</v>
      </c>
      <c r="C229" s="417">
        <v>150</v>
      </c>
      <c r="D229" s="413">
        <v>58</v>
      </c>
      <c r="E229" s="417">
        <v>5.05</v>
      </c>
      <c r="F229" s="417">
        <v>8.5812302330928532</v>
      </c>
      <c r="G229" s="418">
        <v>2.7270000000000003</v>
      </c>
      <c r="H229" s="411">
        <v>5.4237493259877363</v>
      </c>
      <c r="I229" s="411">
        <v>0.43048090710511555</v>
      </c>
      <c r="J229" s="411">
        <v>5.854230233092852</v>
      </c>
      <c r="K229" s="398" t="s">
        <v>932</v>
      </c>
      <c r="L229" s="414"/>
      <c r="M229" s="415"/>
    </row>
    <row r="230" spans="1:13">
      <c r="A230" s="416" t="s">
        <v>1157</v>
      </c>
      <c r="B230" s="271" t="s">
        <v>1157</v>
      </c>
      <c r="C230" s="417" t="e">
        <v>#VALUE!</v>
      </c>
      <c r="D230" s="413" t="s">
        <v>542</v>
      </c>
      <c r="E230" s="417">
        <v>5.05</v>
      </c>
      <c r="F230" s="417">
        <v>8.5812302330928532</v>
      </c>
      <c r="G230" s="418">
        <v>2.7270000000000003</v>
      </c>
      <c r="H230" s="411">
        <v>5.4237493259877363</v>
      </c>
      <c r="I230" s="411">
        <v>0.43048090710511555</v>
      </c>
      <c r="J230" s="411">
        <v>5.854230233092852</v>
      </c>
      <c r="K230" s="398" t="s">
        <v>932</v>
      </c>
      <c r="L230" s="414"/>
      <c r="M230" s="415"/>
    </row>
    <row r="231" spans="1:13">
      <c r="A231" s="416" t="s">
        <v>1158</v>
      </c>
      <c r="B231" s="271" t="s">
        <v>1158</v>
      </c>
      <c r="C231" s="417">
        <v>150</v>
      </c>
      <c r="D231" s="413">
        <v>112</v>
      </c>
      <c r="E231" s="417">
        <v>5.05</v>
      </c>
      <c r="F231" s="417">
        <v>8.5812302330928532</v>
      </c>
      <c r="G231" s="418">
        <v>2.7270000000000003</v>
      </c>
      <c r="H231" s="411">
        <v>5.4237493259877363</v>
      </c>
      <c r="I231" s="411">
        <v>0.43048090710511555</v>
      </c>
      <c r="J231" s="411">
        <v>5.854230233092852</v>
      </c>
      <c r="K231" s="398" t="s">
        <v>932</v>
      </c>
      <c r="L231" s="414"/>
      <c r="M231" s="415"/>
    </row>
    <row r="232" spans="1:13">
      <c r="A232" s="416" t="s">
        <v>1159</v>
      </c>
      <c r="B232" s="271" t="s">
        <v>1159</v>
      </c>
      <c r="C232" s="417" t="e">
        <v>#VALUE!</v>
      </c>
      <c r="D232" s="413" t="s">
        <v>542</v>
      </c>
      <c r="E232" s="417">
        <v>5.05</v>
      </c>
      <c r="F232" s="417">
        <v>8.5812302330928532</v>
      </c>
      <c r="G232" s="418">
        <v>2.7270000000000003</v>
      </c>
      <c r="H232" s="411">
        <v>5.4237493259877363</v>
      </c>
      <c r="I232" s="411">
        <v>0.43048090710511555</v>
      </c>
      <c r="J232" s="411">
        <v>5.854230233092852</v>
      </c>
      <c r="K232" s="398" t="s">
        <v>932</v>
      </c>
      <c r="L232" s="414"/>
      <c r="M232" s="415"/>
    </row>
    <row r="233" spans="1:13">
      <c r="A233" s="416" t="s">
        <v>1160</v>
      </c>
      <c r="B233" s="271" t="s">
        <v>1160</v>
      </c>
      <c r="C233" s="417">
        <v>150</v>
      </c>
      <c r="D233" s="413">
        <v>105</v>
      </c>
      <c r="E233" s="417">
        <v>5.05</v>
      </c>
      <c r="F233" s="417">
        <v>8.5812302330928532</v>
      </c>
      <c r="G233" s="418">
        <v>2.7270000000000003</v>
      </c>
      <c r="H233" s="411">
        <v>5.4237493259877363</v>
      </c>
      <c r="I233" s="411">
        <v>0.43048090710511555</v>
      </c>
      <c r="J233" s="411">
        <v>5.854230233092852</v>
      </c>
      <c r="K233" s="398" t="s">
        <v>932</v>
      </c>
      <c r="L233" s="414"/>
      <c r="M233" s="415"/>
    </row>
    <row r="234" spans="1:13">
      <c r="A234" s="416" t="s">
        <v>1161</v>
      </c>
      <c r="B234" s="271" t="s">
        <v>1161</v>
      </c>
      <c r="C234" s="417">
        <v>150</v>
      </c>
      <c r="D234" s="413">
        <v>69</v>
      </c>
      <c r="E234" s="417">
        <v>5.05</v>
      </c>
      <c r="F234" s="417">
        <v>8.5812302330928532</v>
      </c>
      <c r="G234" s="418">
        <v>2.7270000000000003</v>
      </c>
      <c r="H234" s="411">
        <v>5.4237493259877363</v>
      </c>
      <c r="I234" s="411">
        <v>0.43048090710511555</v>
      </c>
      <c r="J234" s="411">
        <v>5.854230233092852</v>
      </c>
      <c r="K234" s="398" t="s">
        <v>932</v>
      </c>
      <c r="L234" s="414"/>
      <c r="M234" s="415"/>
    </row>
    <row r="235" spans="1:13">
      <c r="A235" s="416" t="s">
        <v>1162</v>
      </c>
      <c r="B235" s="271" t="s">
        <v>1162</v>
      </c>
      <c r="C235" s="417">
        <v>150</v>
      </c>
      <c r="D235" s="413">
        <v>47</v>
      </c>
      <c r="E235" s="417">
        <v>5.05</v>
      </c>
      <c r="F235" s="417">
        <v>8.5812302330928532</v>
      </c>
      <c r="G235" s="418">
        <v>2.7270000000000003</v>
      </c>
      <c r="H235" s="411">
        <v>5.4237493259877363</v>
      </c>
      <c r="I235" s="411">
        <v>0.43048090710511555</v>
      </c>
      <c r="J235" s="411">
        <v>5.854230233092852</v>
      </c>
      <c r="K235" s="398" t="s">
        <v>932</v>
      </c>
      <c r="L235" s="414"/>
      <c r="M235" s="415"/>
    </row>
    <row r="236" spans="1:13">
      <c r="A236" s="416" t="s">
        <v>1163</v>
      </c>
      <c r="B236" s="271" t="s">
        <v>1163</v>
      </c>
      <c r="C236" s="417">
        <v>150</v>
      </c>
      <c r="D236" s="413">
        <v>35</v>
      </c>
      <c r="E236" s="417">
        <v>5.05</v>
      </c>
      <c r="F236" s="417">
        <v>8.5812302330928532</v>
      </c>
      <c r="G236" s="418">
        <v>2.7270000000000003</v>
      </c>
      <c r="H236" s="411">
        <v>5.4237493259877363</v>
      </c>
      <c r="I236" s="411">
        <v>0.43048090710511555</v>
      </c>
      <c r="J236" s="411">
        <v>5.854230233092852</v>
      </c>
      <c r="K236" s="398" t="s">
        <v>932</v>
      </c>
      <c r="L236" s="414"/>
      <c r="M236" s="415"/>
    </row>
    <row r="237" spans="1:13">
      <c r="A237" s="416" t="s">
        <v>1164</v>
      </c>
      <c r="B237" s="271" t="s">
        <v>1164</v>
      </c>
      <c r="C237" s="417" t="e">
        <v>#VALUE!</v>
      </c>
      <c r="D237" s="413" t="s">
        <v>542</v>
      </c>
      <c r="E237" s="417">
        <v>5.05</v>
      </c>
      <c r="F237" s="417">
        <v>8.5812302330928532</v>
      </c>
      <c r="G237" s="418">
        <v>2.7270000000000003</v>
      </c>
      <c r="H237" s="411">
        <v>5.4237493259877363</v>
      </c>
      <c r="I237" s="411">
        <v>0.43048090710511555</v>
      </c>
      <c r="J237" s="411">
        <v>5.854230233092852</v>
      </c>
      <c r="K237" s="398" t="s">
        <v>932</v>
      </c>
      <c r="L237" s="414"/>
      <c r="M237" s="415"/>
    </row>
    <row r="238" spans="1:13">
      <c r="A238" s="416" t="s">
        <v>1165</v>
      </c>
      <c r="B238" s="271" t="s">
        <v>1165</v>
      </c>
      <c r="C238" s="417" t="e">
        <v>#VALUE!</v>
      </c>
      <c r="D238" s="413" t="s">
        <v>542</v>
      </c>
      <c r="E238" s="417">
        <v>5.05</v>
      </c>
      <c r="F238" s="417">
        <v>8.5812302330928532</v>
      </c>
      <c r="G238" s="418">
        <v>2.7270000000000003</v>
      </c>
      <c r="H238" s="411">
        <v>5.4237493259877363</v>
      </c>
      <c r="I238" s="411">
        <v>0.43048090710511555</v>
      </c>
      <c r="J238" s="411">
        <v>5.854230233092852</v>
      </c>
      <c r="K238" s="398" t="s">
        <v>932</v>
      </c>
      <c r="L238" s="414"/>
      <c r="M238" s="415"/>
    </row>
    <row r="239" spans="1:13">
      <c r="A239" s="416" t="s">
        <v>1166</v>
      </c>
      <c r="B239" s="271" t="s">
        <v>1166</v>
      </c>
      <c r="C239" s="417" t="e">
        <v>#VALUE!</v>
      </c>
      <c r="D239" s="413" t="s">
        <v>542</v>
      </c>
      <c r="E239" s="417">
        <v>5.05</v>
      </c>
      <c r="F239" s="417">
        <v>8.5812302330928532</v>
      </c>
      <c r="G239" s="418">
        <v>2.7270000000000003</v>
      </c>
      <c r="H239" s="411">
        <v>5.4237493259877363</v>
      </c>
      <c r="I239" s="411">
        <v>0.43048090710511555</v>
      </c>
      <c r="J239" s="411">
        <v>5.854230233092852</v>
      </c>
      <c r="K239" s="398" t="s">
        <v>932</v>
      </c>
      <c r="L239" s="414"/>
      <c r="M239" s="415"/>
    </row>
    <row r="240" spans="1:13">
      <c r="A240" s="416" t="s">
        <v>1167</v>
      </c>
      <c r="B240" s="271" t="s">
        <v>1167</v>
      </c>
      <c r="C240" s="417">
        <v>150</v>
      </c>
      <c r="D240" s="413">
        <v>52</v>
      </c>
      <c r="E240" s="417">
        <v>5.05</v>
      </c>
      <c r="F240" s="417">
        <v>8.5812302330928532</v>
      </c>
      <c r="G240" s="418">
        <v>2.7270000000000003</v>
      </c>
      <c r="H240" s="411">
        <v>5.4237493259877363</v>
      </c>
      <c r="I240" s="411">
        <v>0.43048090710511555</v>
      </c>
      <c r="J240" s="411">
        <v>5.854230233092852</v>
      </c>
      <c r="K240" s="398" t="s">
        <v>932</v>
      </c>
      <c r="L240" s="414"/>
      <c r="M240" s="415"/>
    </row>
    <row r="241" spans="1:13">
      <c r="A241" s="416" t="s">
        <v>1168</v>
      </c>
      <c r="B241" s="271" t="s">
        <v>1168</v>
      </c>
      <c r="C241" s="417" t="e">
        <v>#VALUE!</v>
      </c>
      <c r="D241" s="413" t="s">
        <v>542</v>
      </c>
      <c r="E241" s="417">
        <v>5.05</v>
      </c>
      <c r="F241" s="417">
        <v>8.5812302330928532</v>
      </c>
      <c r="G241" s="418">
        <v>2.7270000000000003</v>
      </c>
      <c r="H241" s="411">
        <v>5.4237493259877363</v>
      </c>
      <c r="I241" s="411">
        <v>0.43048090710511555</v>
      </c>
      <c r="J241" s="411">
        <v>5.854230233092852</v>
      </c>
      <c r="K241" s="398" t="s">
        <v>932</v>
      </c>
      <c r="L241" s="414"/>
      <c r="M241" s="415"/>
    </row>
    <row r="242" spans="1:13">
      <c r="A242" s="416" t="s">
        <v>1169</v>
      </c>
      <c r="B242" s="271" t="s">
        <v>1169</v>
      </c>
      <c r="C242" s="417" t="e">
        <v>#VALUE!</v>
      </c>
      <c r="D242" s="413" t="s">
        <v>542</v>
      </c>
      <c r="E242" s="417">
        <v>5.05</v>
      </c>
      <c r="F242" s="417">
        <v>8.5812302330928532</v>
      </c>
      <c r="G242" s="418">
        <v>2.7270000000000003</v>
      </c>
      <c r="H242" s="411">
        <v>5.4237493259877363</v>
      </c>
      <c r="I242" s="411">
        <v>0.43048090710511555</v>
      </c>
      <c r="J242" s="411">
        <v>5.854230233092852</v>
      </c>
      <c r="K242" s="398" t="s">
        <v>932</v>
      </c>
      <c r="L242" s="414"/>
      <c r="M242" s="415"/>
    </row>
    <row r="243" spans="1:13">
      <c r="A243" s="416" t="s">
        <v>1170</v>
      </c>
      <c r="B243" s="271" t="s">
        <v>1170</v>
      </c>
      <c r="C243" s="417" t="e">
        <v>#VALUE!</v>
      </c>
      <c r="D243" s="413" t="s">
        <v>542</v>
      </c>
      <c r="E243" s="417">
        <v>5.05</v>
      </c>
      <c r="F243" s="417">
        <v>8.5812302330928532</v>
      </c>
      <c r="G243" s="418">
        <v>2.7270000000000003</v>
      </c>
      <c r="H243" s="411">
        <v>5.4237493259877363</v>
      </c>
      <c r="I243" s="411">
        <v>0.43048090710511555</v>
      </c>
      <c r="J243" s="411">
        <v>5.854230233092852</v>
      </c>
      <c r="K243" s="398" t="s">
        <v>932</v>
      </c>
      <c r="L243" s="414"/>
      <c r="M243" s="415"/>
    </row>
    <row r="244" spans="1:13">
      <c r="A244" s="416" t="s">
        <v>1171</v>
      </c>
      <c r="B244" s="271" t="s">
        <v>1171</v>
      </c>
      <c r="C244" s="417">
        <v>150</v>
      </c>
      <c r="D244" s="413">
        <v>65</v>
      </c>
      <c r="E244" s="417">
        <v>5.05</v>
      </c>
      <c r="F244" s="417">
        <v>8.5812302330928532</v>
      </c>
      <c r="G244" s="418">
        <v>2.7270000000000003</v>
      </c>
      <c r="H244" s="411">
        <v>5.4237493259877363</v>
      </c>
      <c r="I244" s="411">
        <v>0.43048090710511555</v>
      </c>
      <c r="J244" s="411">
        <v>5.854230233092852</v>
      </c>
      <c r="K244" s="398" t="s">
        <v>932</v>
      </c>
      <c r="L244" s="414"/>
      <c r="M244" s="415"/>
    </row>
    <row r="245" spans="1:13" s="420" customFormat="1" ht="15.75">
      <c r="A245" s="419" t="s">
        <v>1172</v>
      </c>
      <c r="B245" s="420" t="s">
        <v>151</v>
      </c>
      <c r="C245" s="421">
        <v>175</v>
      </c>
      <c r="D245" s="422">
        <v>10</v>
      </c>
      <c r="E245" s="422">
        <v>50.5</v>
      </c>
      <c r="F245" s="421">
        <v>11.817</v>
      </c>
      <c r="G245" s="423">
        <v>11.817</v>
      </c>
      <c r="H245" s="422"/>
      <c r="I245" s="422"/>
      <c r="J245" s="422"/>
      <c r="K245" s="424" t="s">
        <v>859</v>
      </c>
      <c r="L245" s="425"/>
      <c r="M245" s="426"/>
    </row>
    <row r="246" spans="1:13" s="420" customFormat="1" ht="15.75">
      <c r="A246" s="419" t="s">
        <v>1173</v>
      </c>
      <c r="B246" s="420" t="s">
        <v>152</v>
      </c>
      <c r="C246" s="421">
        <v>175</v>
      </c>
      <c r="D246" s="422">
        <v>0</v>
      </c>
      <c r="E246" s="422">
        <v>50.5</v>
      </c>
      <c r="F246" s="421">
        <v>30.451499999999999</v>
      </c>
      <c r="G246" s="423">
        <v>30.451499999999999</v>
      </c>
      <c r="H246" s="422"/>
      <c r="I246" s="422"/>
      <c r="J246" s="422"/>
      <c r="K246" s="424" t="s">
        <v>859</v>
      </c>
      <c r="L246" s="425"/>
      <c r="M246" s="426"/>
    </row>
    <row r="247" spans="1:13" s="420" customFormat="1" ht="15.75">
      <c r="A247" s="419" t="s">
        <v>1174</v>
      </c>
      <c r="B247" s="420" t="s">
        <v>1175</v>
      </c>
      <c r="C247" s="421">
        <v>0</v>
      </c>
      <c r="D247" s="422">
        <v>10</v>
      </c>
      <c r="E247" s="422">
        <v>25.25</v>
      </c>
      <c r="F247" s="421">
        <v>11.817</v>
      </c>
      <c r="G247" s="423">
        <v>11.817</v>
      </c>
      <c r="H247" s="422"/>
      <c r="I247" s="422"/>
      <c r="J247" s="422"/>
      <c r="K247" s="424" t="s">
        <v>859</v>
      </c>
      <c r="L247" s="425"/>
      <c r="M247" s="426"/>
    </row>
    <row r="248" spans="1:13" s="420" customFormat="1" ht="15.75">
      <c r="A248" s="419" t="s">
        <v>1176</v>
      </c>
      <c r="B248" s="420" t="s">
        <v>1177</v>
      </c>
      <c r="C248" s="421">
        <v>0</v>
      </c>
      <c r="D248" s="422">
        <v>0</v>
      </c>
      <c r="E248" s="422">
        <v>25.25</v>
      </c>
      <c r="F248" s="421">
        <v>30.451499999999999</v>
      </c>
      <c r="G248" s="423">
        <v>30.451499999999999</v>
      </c>
      <c r="H248" s="422"/>
      <c r="I248" s="422"/>
      <c r="J248" s="422"/>
      <c r="K248" s="424" t="s">
        <v>859</v>
      </c>
      <c r="L248" s="425"/>
      <c r="M248" s="426"/>
    </row>
    <row r="249" spans="1:13" s="420" customFormat="1" ht="15.75">
      <c r="A249" s="419" t="s">
        <v>1178</v>
      </c>
      <c r="B249" s="420" t="s">
        <v>158</v>
      </c>
      <c r="C249" s="421">
        <v>0</v>
      </c>
      <c r="D249" s="422">
        <v>0</v>
      </c>
      <c r="E249" s="422">
        <v>25.25</v>
      </c>
      <c r="F249" s="421">
        <v>4.8358800000000004</v>
      </c>
      <c r="G249" s="423">
        <v>4.8358800000000004</v>
      </c>
      <c r="H249" s="422"/>
      <c r="I249" s="422"/>
      <c r="J249" s="422"/>
      <c r="K249" s="424" t="s">
        <v>859</v>
      </c>
      <c r="L249" s="425"/>
      <c r="M249" s="426"/>
    </row>
    <row r="250" spans="1:13" s="420" customFormat="1" ht="15.75">
      <c r="A250" s="419" t="s">
        <v>1179</v>
      </c>
      <c r="B250" s="420" t="s">
        <v>151</v>
      </c>
      <c r="C250" s="421">
        <v>175</v>
      </c>
      <c r="D250" s="422">
        <v>10</v>
      </c>
      <c r="E250" s="422">
        <v>49.49</v>
      </c>
      <c r="F250" s="427">
        <v>10.5747</v>
      </c>
      <c r="G250" s="423">
        <v>10.5747</v>
      </c>
      <c r="H250" s="422"/>
      <c r="I250" s="422"/>
      <c r="J250" s="422"/>
      <c r="K250" s="424" t="s">
        <v>859</v>
      </c>
      <c r="L250" s="425"/>
      <c r="M250" s="426"/>
    </row>
    <row r="251" spans="1:13" s="420" customFormat="1" ht="15.75">
      <c r="A251" s="419" t="s">
        <v>1180</v>
      </c>
      <c r="B251" s="420" t="s">
        <v>152</v>
      </c>
      <c r="C251" s="421">
        <v>175</v>
      </c>
      <c r="D251" s="422">
        <v>0</v>
      </c>
      <c r="E251" s="422">
        <v>49.49</v>
      </c>
      <c r="F251" s="427">
        <v>22.321000000000002</v>
      </c>
      <c r="G251" s="423">
        <v>22.321000000000002</v>
      </c>
      <c r="H251" s="422"/>
      <c r="I251" s="422"/>
      <c r="J251" s="422"/>
      <c r="K251" s="424" t="s">
        <v>859</v>
      </c>
      <c r="L251" s="425"/>
      <c r="M251" s="426"/>
    </row>
    <row r="252" spans="1:13" s="420" customFormat="1" ht="15.75">
      <c r="A252" s="419" t="s">
        <v>1181</v>
      </c>
      <c r="B252" s="420" t="s">
        <v>1175</v>
      </c>
      <c r="C252" s="421">
        <v>0</v>
      </c>
      <c r="D252" s="422">
        <v>10</v>
      </c>
      <c r="E252" s="422">
        <v>25.25</v>
      </c>
      <c r="F252" s="427">
        <v>10.5747</v>
      </c>
      <c r="G252" s="423">
        <v>10.5747</v>
      </c>
      <c r="H252" s="422"/>
      <c r="I252" s="422"/>
      <c r="J252" s="422"/>
      <c r="K252" s="424" t="s">
        <v>859</v>
      </c>
      <c r="L252" s="425"/>
      <c r="M252" s="426"/>
    </row>
    <row r="253" spans="1:13" s="420" customFormat="1" ht="15.75">
      <c r="A253" s="419" t="s">
        <v>1182</v>
      </c>
      <c r="B253" s="420" t="s">
        <v>1177</v>
      </c>
      <c r="C253" s="421">
        <v>0</v>
      </c>
      <c r="D253" s="422">
        <v>0</v>
      </c>
      <c r="E253" s="422">
        <v>25.25</v>
      </c>
      <c r="F253" s="427">
        <v>22.321000000000002</v>
      </c>
      <c r="G253" s="423">
        <v>22.321000000000002</v>
      </c>
      <c r="H253" s="422"/>
      <c r="I253" s="422"/>
      <c r="J253" s="422"/>
      <c r="K253" s="424" t="s">
        <v>859</v>
      </c>
      <c r="L253" s="425"/>
      <c r="M253" s="426"/>
    </row>
    <row r="254" spans="1:13" s="420" customFormat="1" ht="15.75">
      <c r="A254" s="419" t="s">
        <v>1183</v>
      </c>
      <c r="B254" s="420" t="s">
        <v>158</v>
      </c>
      <c r="C254" s="421">
        <v>0</v>
      </c>
      <c r="D254" s="422">
        <v>0</v>
      </c>
      <c r="E254" s="422">
        <v>25.25</v>
      </c>
      <c r="F254" s="427">
        <v>3.0097999999999998</v>
      </c>
      <c r="G254" s="423">
        <v>3.0097999999999998</v>
      </c>
      <c r="H254" s="422"/>
      <c r="I254" s="422"/>
      <c r="J254" s="422"/>
      <c r="K254" s="424" t="s">
        <v>859</v>
      </c>
      <c r="L254" s="425"/>
      <c r="M254" s="426"/>
    </row>
    <row r="255" spans="1:13">
      <c r="A255" s="428" t="s">
        <v>1184</v>
      </c>
      <c r="B255" s="380"/>
      <c r="C255" s="410">
        <v>335</v>
      </c>
      <c r="D255" s="422"/>
      <c r="E255" s="354">
        <v>74.739999999999995</v>
      </c>
      <c r="F255" s="417"/>
      <c r="G255" s="423"/>
      <c r="H255" s="356"/>
      <c r="I255" s="356"/>
      <c r="J255" s="356"/>
      <c r="K255" s="398" t="s">
        <v>865</v>
      </c>
      <c r="L255" s="414"/>
      <c r="M255" s="415"/>
    </row>
    <row r="256" spans="1:13">
      <c r="A256" s="428" t="s">
        <v>1185</v>
      </c>
      <c r="B256" s="380"/>
      <c r="C256" s="410">
        <v>650</v>
      </c>
      <c r="D256" s="354"/>
      <c r="E256" s="354">
        <v>417.76912800000002</v>
      </c>
      <c r="F256" s="417"/>
      <c r="G256" s="376"/>
      <c r="H256" s="356"/>
      <c r="I256" s="356"/>
      <c r="J256" s="356"/>
      <c r="K256" s="398" t="s">
        <v>865</v>
      </c>
      <c r="L256" s="414"/>
      <c r="M256" s="415"/>
    </row>
    <row r="257" spans="1:13">
      <c r="A257" s="428" t="s">
        <v>139</v>
      </c>
      <c r="B257" s="380"/>
      <c r="C257" s="410">
        <v>700</v>
      </c>
      <c r="D257" s="354"/>
      <c r="E257" s="354">
        <v>442.37272800000005</v>
      </c>
      <c r="F257" s="417"/>
      <c r="G257" s="376"/>
      <c r="H257" s="356"/>
      <c r="I257" s="356"/>
      <c r="J257" s="356"/>
      <c r="K257" s="398" t="s">
        <v>865</v>
      </c>
      <c r="L257" s="414"/>
      <c r="M257" s="415"/>
    </row>
    <row r="258" spans="1:13">
      <c r="A258" s="428" t="s">
        <v>1186</v>
      </c>
      <c r="B258" s="380"/>
      <c r="C258" s="410">
        <v>0</v>
      </c>
      <c r="D258" s="354"/>
      <c r="E258" s="354">
        <v>0</v>
      </c>
      <c r="F258" s="417"/>
      <c r="G258" s="376"/>
      <c r="H258" s="356"/>
      <c r="I258" s="356"/>
      <c r="J258" s="356"/>
      <c r="K258" s="398" t="s">
        <v>865</v>
      </c>
      <c r="L258" s="414"/>
      <c r="M258" s="415"/>
    </row>
    <row r="259" spans="1:13">
      <c r="A259" s="428" t="s">
        <v>1187</v>
      </c>
      <c r="B259" s="380" t="s">
        <v>141</v>
      </c>
      <c r="C259" s="410"/>
      <c r="D259" s="354">
        <v>5</v>
      </c>
      <c r="E259" s="354"/>
      <c r="F259" s="417">
        <v>4.1810842219512621</v>
      </c>
      <c r="G259" s="376">
        <v>4.1810842219512621</v>
      </c>
      <c r="H259" s="354"/>
      <c r="I259" s="354"/>
      <c r="J259" s="354"/>
      <c r="K259" s="398" t="s">
        <v>867</v>
      </c>
      <c r="L259" s="429"/>
      <c r="M259" s="430"/>
    </row>
    <row r="260" spans="1:13">
      <c r="A260" s="428" t="s">
        <v>1188</v>
      </c>
      <c r="B260" s="380" t="s">
        <v>142</v>
      </c>
      <c r="C260" s="410"/>
      <c r="D260" s="354">
        <v>10</v>
      </c>
      <c r="E260" s="354"/>
      <c r="F260" s="417">
        <v>5.2028269165511203</v>
      </c>
      <c r="G260" s="376">
        <v>5.2028269165511203</v>
      </c>
      <c r="H260" s="354"/>
      <c r="I260" s="354"/>
      <c r="J260" s="354"/>
      <c r="K260" s="398" t="s">
        <v>867</v>
      </c>
      <c r="L260" s="414"/>
      <c r="M260" s="415"/>
    </row>
    <row r="261" spans="1:13">
      <c r="A261" s="436" t="s">
        <v>869</v>
      </c>
      <c r="B261" s="380" t="s">
        <v>34</v>
      </c>
      <c r="C261" s="410"/>
      <c r="D261" s="354">
        <v>20</v>
      </c>
      <c r="E261" s="354"/>
      <c r="F261" s="417">
        <v>5.2028269165511203</v>
      </c>
      <c r="G261" s="376">
        <v>5.2028269165511203</v>
      </c>
      <c r="H261" s="354"/>
      <c r="I261" s="354"/>
      <c r="J261" s="354"/>
      <c r="K261" s="398" t="s">
        <v>867</v>
      </c>
      <c r="L261" s="414"/>
      <c r="M261" s="415"/>
    </row>
    <row r="262" spans="1:13">
      <c r="A262" s="428" t="s">
        <v>1189</v>
      </c>
      <c r="B262" s="380" t="s">
        <v>141</v>
      </c>
      <c r="C262" s="354"/>
      <c r="D262" s="354">
        <v>0</v>
      </c>
      <c r="E262" s="354"/>
      <c r="F262" s="417">
        <v>0</v>
      </c>
      <c r="G262" s="376">
        <v>0</v>
      </c>
      <c r="H262" s="356"/>
      <c r="I262" s="356"/>
      <c r="J262" s="356"/>
      <c r="K262" s="398" t="s">
        <v>1190</v>
      </c>
      <c r="L262" s="414"/>
      <c r="M262" s="415"/>
    </row>
    <row r="263" spans="1:13">
      <c r="A263" s="428" t="s">
        <v>1191</v>
      </c>
      <c r="B263" s="380" t="s">
        <v>142</v>
      </c>
      <c r="C263" s="354"/>
      <c r="D263" s="354">
        <v>30</v>
      </c>
      <c r="E263" s="354"/>
      <c r="F263" s="417">
        <v>8.4536999999999995</v>
      </c>
      <c r="G263" s="376">
        <v>8.4536999999999995</v>
      </c>
      <c r="H263" s="356"/>
      <c r="I263" s="356"/>
      <c r="J263" s="356"/>
      <c r="K263" s="398" t="s">
        <v>1190</v>
      </c>
      <c r="L263" s="414"/>
      <c r="M263" s="415"/>
    </row>
    <row r="264" spans="1:13" ht="15.75" thickBot="1">
      <c r="A264" s="428" t="s">
        <v>1192</v>
      </c>
      <c r="B264" s="380" t="s">
        <v>34</v>
      </c>
      <c r="C264" s="354"/>
      <c r="D264" s="354">
        <v>40</v>
      </c>
      <c r="E264" s="354"/>
      <c r="F264" s="417">
        <v>8.4536999999999995</v>
      </c>
      <c r="G264" s="376">
        <v>8.4536999999999995</v>
      </c>
      <c r="H264" s="356"/>
      <c r="I264" s="356"/>
      <c r="J264" s="356"/>
      <c r="K264" s="398" t="s">
        <v>1190</v>
      </c>
      <c r="L264" s="414"/>
      <c r="M264" s="415"/>
    </row>
    <row r="265" spans="1:13">
      <c r="A265" s="431" t="s">
        <v>1193</v>
      </c>
      <c r="B265" s="432"/>
      <c r="C265" s="433">
        <v>100</v>
      </c>
      <c r="D265" s="433">
        <v>10</v>
      </c>
      <c r="E265" s="433">
        <v>5.05</v>
      </c>
      <c r="F265" s="417">
        <v>9.09E-5</v>
      </c>
      <c r="G265" s="376">
        <v>9.09E-5</v>
      </c>
      <c r="H265" s="354">
        <v>0</v>
      </c>
      <c r="I265" s="354">
        <v>0</v>
      </c>
      <c r="J265" s="411">
        <v>0</v>
      </c>
      <c r="K265" s="398" t="s">
        <v>1194</v>
      </c>
      <c r="L265" s="414"/>
      <c r="M265" s="415"/>
    </row>
    <row r="266" spans="1:13">
      <c r="A266" s="434" t="s">
        <v>1195</v>
      </c>
      <c r="B266" s="432"/>
      <c r="C266" s="433">
        <v>100</v>
      </c>
      <c r="D266" s="433">
        <v>18</v>
      </c>
      <c r="E266" s="433">
        <v>5.05</v>
      </c>
      <c r="F266" s="417">
        <v>9.09E-5</v>
      </c>
      <c r="G266" s="376">
        <v>9.09E-5</v>
      </c>
      <c r="H266" s="354">
        <v>0</v>
      </c>
      <c r="I266" s="354">
        <v>0</v>
      </c>
      <c r="J266" s="411">
        <v>0</v>
      </c>
      <c r="K266" s="398" t="s">
        <v>1194</v>
      </c>
      <c r="L266" s="414"/>
      <c r="M266" s="415"/>
    </row>
    <row r="267" spans="1:13">
      <c r="A267" s="434" t="s">
        <v>1196</v>
      </c>
      <c r="B267" s="432"/>
      <c r="C267" s="433">
        <v>100</v>
      </c>
      <c r="D267" s="433">
        <v>30</v>
      </c>
      <c r="E267" s="433">
        <v>5.05</v>
      </c>
      <c r="F267" s="417">
        <v>9.09E-5</v>
      </c>
      <c r="G267" s="376">
        <v>9.09E-5</v>
      </c>
      <c r="H267" s="354">
        <v>0</v>
      </c>
      <c r="I267" s="354">
        <v>0</v>
      </c>
      <c r="J267" s="411">
        <v>0</v>
      </c>
      <c r="K267" s="398" t="s">
        <v>1194</v>
      </c>
      <c r="L267" s="414"/>
      <c r="M267" s="415"/>
    </row>
    <row r="268" spans="1:13">
      <c r="A268" s="434" t="s">
        <v>1197</v>
      </c>
      <c r="B268" s="432"/>
      <c r="C268" s="433">
        <v>100</v>
      </c>
      <c r="D268" s="433">
        <v>45</v>
      </c>
      <c r="E268" s="433">
        <v>5.05</v>
      </c>
      <c r="F268" s="417">
        <v>9.09E-5</v>
      </c>
      <c r="G268" s="376">
        <v>9.09E-5</v>
      </c>
      <c r="H268" s="354">
        <v>0</v>
      </c>
      <c r="I268" s="354">
        <v>0</v>
      </c>
      <c r="J268" s="411">
        <v>0</v>
      </c>
      <c r="K268" s="398" t="s">
        <v>1194</v>
      </c>
      <c r="L268" s="414"/>
      <c r="M268" s="415"/>
    </row>
    <row r="269" spans="1:13">
      <c r="A269" s="434" t="s">
        <v>1198</v>
      </c>
      <c r="B269" s="432"/>
      <c r="C269" s="433">
        <v>100</v>
      </c>
      <c r="D269" s="433">
        <v>60</v>
      </c>
      <c r="E269" s="433">
        <v>5.05</v>
      </c>
      <c r="F269" s="417">
        <v>8.1670809071051149</v>
      </c>
      <c r="G269" s="376">
        <v>7.7366000000000001</v>
      </c>
      <c r="H269" s="354">
        <v>0</v>
      </c>
      <c r="I269" s="354">
        <v>0.43048090710511555</v>
      </c>
      <c r="J269" s="411">
        <v>0.43048090710511555</v>
      </c>
      <c r="K269" s="398" t="s">
        <v>1194</v>
      </c>
      <c r="L269" s="414"/>
      <c r="M269" s="415"/>
    </row>
    <row r="270" spans="1:13">
      <c r="A270" s="434" t="s">
        <v>1199</v>
      </c>
      <c r="B270" s="432"/>
      <c r="C270" s="433">
        <v>100</v>
      </c>
      <c r="D270" s="433">
        <v>70</v>
      </c>
      <c r="E270" s="433">
        <v>5.05</v>
      </c>
      <c r="F270" s="417">
        <v>9.1972809071051156</v>
      </c>
      <c r="G270" s="376">
        <v>8.7667999999999999</v>
      </c>
      <c r="H270" s="354">
        <v>0</v>
      </c>
      <c r="I270" s="354">
        <v>0.43048090710511555</v>
      </c>
      <c r="J270" s="411">
        <v>0.43048090710511555</v>
      </c>
      <c r="K270" s="398" t="s">
        <v>1194</v>
      </c>
      <c r="L270" s="414"/>
      <c r="M270" s="415"/>
    </row>
    <row r="271" spans="1:13">
      <c r="A271" s="434" t="s">
        <v>1200</v>
      </c>
      <c r="B271" s="432"/>
      <c r="C271" s="433">
        <v>100</v>
      </c>
      <c r="D271" s="433">
        <v>85</v>
      </c>
      <c r="E271" s="433">
        <v>5.05</v>
      </c>
      <c r="F271" s="417">
        <v>10.742580907105117</v>
      </c>
      <c r="G271" s="376">
        <v>10.312100000000001</v>
      </c>
      <c r="H271" s="354">
        <v>0</v>
      </c>
      <c r="I271" s="354">
        <v>0.43048090710511555</v>
      </c>
      <c r="J271" s="411">
        <v>0.43048090710511555</v>
      </c>
      <c r="K271" s="398" t="s">
        <v>1194</v>
      </c>
      <c r="L271" s="414"/>
      <c r="M271" s="415"/>
    </row>
    <row r="272" spans="1:13">
      <c r="A272" s="434" t="s">
        <v>1201</v>
      </c>
      <c r="B272" s="432"/>
      <c r="C272" s="433">
        <v>100</v>
      </c>
      <c r="D272" s="433">
        <v>105</v>
      </c>
      <c r="E272" s="433">
        <v>5.05</v>
      </c>
      <c r="F272" s="417">
        <v>13.318080907105115</v>
      </c>
      <c r="G272" s="376">
        <v>12.887599999999999</v>
      </c>
      <c r="H272" s="354">
        <v>0</v>
      </c>
      <c r="I272" s="354">
        <v>0.43048090710511555</v>
      </c>
      <c r="J272" s="411">
        <v>0.43048090710511555</v>
      </c>
      <c r="K272" s="398" t="s">
        <v>1194</v>
      </c>
      <c r="L272" s="414"/>
      <c r="M272" s="415"/>
    </row>
    <row r="273" spans="1:13">
      <c r="A273" s="434" t="s">
        <v>1202</v>
      </c>
      <c r="B273" s="432"/>
      <c r="C273" s="433">
        <v>100</v>
      </c>
      <c r="D273" s="433">
        <v>138</v>
      </c>
      <c r="E273" s="433">
        <v>5.05</v>
      </c>
      <c r="F273" s="417">
        <v>15.893580907105116</v>
      </c>
      <c r="G273" s="376">
        <v>15.463100000000001</v>
      </c>
      <c r="H273" s="354">
        <v>0</v>
      </c>
      <c r="I273" s="354">
        <v>0.43048090710511555</v>
      </c>
      <c r="J273" s="411">
        <v>0.43048090710511555</v>
      </c>
      <c r="K273" s="398" t="s">
        <v>1194</v>
      </c>
      <c r="L273" s="414"/>
      <c r="M273" s="415"/>
    </row>
    <row r="274" spans="1:13">
      <c r="A274" s="434" t="s">
        <v>1203</v>
      </c>
      <c r="B274" s="432"/>
      <c r="C274" s="433">
        <v>100</v>
      </c>
      <c r="D274" s="433">
        <v>170</v>
      </c>
      <c r="E274" s="433">
        <v>5.05</v>
      </c>
      <c r="F274" s="417">
        <v>18.479180907105114</v>
      </c>
      <c r="G274" s="376">
        <v>18.0487</v>
      </c>
      <c r="H274" s="354">
        <v>0</v>
      </c>
      <c r="I274" s="354">
        <v>0.43048090710511555</v>
      </c>
      <c r="J274" s="411">
        <v>0.43048090710511555</v>
      </c>
      <c r="K274" s="398" t="s">
        <v>1194</v>
      </c>
      <c r="L274" s="414"/>
      <c r="M274" s="415"/>
    </row>
    <row r="275" spans="1:13">
      <c r="A275" s="434" t="s">
        <v>1204</v>
      </c>
      <c r="B275" s="432"/>
      <c r="C275" s="433">
        <v>100</v>
      </c>
      <c r="D275" s="433">
        <v>30</v>
      </c>
      <c r="E275" s="433">
        <v>5.05</v>
      </c>
      <c r="F275" s="417">
        <v>9.09E-5</v>
      </c>
      <c r="G275" s="376">
        <v>9.09E-5</v>
      </c>
      <c r="H275" s="354">
        <v>0</v>
      </c>
      <c r="I275" s="354">
        <v>0</v>
      </c>
      <c r="J275" s="411">
        <v>0</v>
      </c>
      <c r="K275" s="398" t="s">
        <v>1194</v>
      </c>
      <c r="L275" s="414"/>
      <c r="M275" s="415"/>
    </row>
    <row r="276" spans="1:13">
      <c r="A276" s="434" t="s">
        <v>1205</v>
      </c>
      <c r="B276" s="432"/>
      <c r="C276" s="433">
        <v>100</v>
      </c>
      <c r="D276" s="433">
        <v>45</v>
      </c>
      <c r="E276" s="433">
        <v>5.05</v>
      </c>
      <c r="F276" s="417">
        <v>9.09E-5</v>
      </c>
      <c r="G276" s="376">
        <v>9.09E-5</v>
      </c>
      <c r="H276" s="354">
        <v>0</v>
      </c>
      <c r="I276" s="354">
        <v>0</v>
      </c>
      <c r="J276" s="411">
        <v>0</v>
      </c>
      <c r="K276" s="398" t="s">
        <v>1194</v>
      </c>
      <c r="L276" s="414"/>
      <c r="M276" s="415"/>
    </row>
    <row r="277" spans="1:13">
      <c r="A277" s="434" t="s">
        <v>1206</v>
      </c>
      <c r="B277" s="432"/>
      <c r="C277" s="433">
        <v>100</v>
      </c>
      <c r="D277" s="433">
        <v>70</v>
      </c>
      <c r="E277" s="433">
        <v>5.05</v>
      </c>
      <c r="F277" s="417">
        <v>9.1972809071051156</v>
      </c>
      <c r="G277" s="376">
        <v>8.7667999999999999</v>
      </c>
      <c r="H277" s="354">
        <v>0</v>
      </c>
      <c r="I277" s="354">
        <v>0.43048090710511555</v>
      </c>
      <c r="J277" s="411">
        <v>0.43048090710511555</v>
      </c>
      <c r="K277" s="398" t="s">
        <v>1194</v>
      </c>
      <c r="L277" s="414"/>
      <c r="M277" s="415"/>
    </row>
    <row r="278" spans="1:13">
      <c r="A278" s="434" t="s">
        <v>1207</v>
      </c>
      <c r="B278" s="432"/>
      <c r="C278" s="433">
        <v>100</v>
      </c>
      <c r="D278" s="433">
        <v>85</v>
      </c>
      <c r="E278" s="433">
        <v>5.05</v>
      </c>
      <c r="F278" s="417">
        <v>10.742580907105117</v>
      </c>
      <c r="G278" s="376">
        <v>10.312100000000001</v>
      </c>
      <c r="H278" s="354">
        <v>0</v>
      </c>
      <c r="I278" s="354">
        <v>0.43048090710511555</v>
      </c>
      <c r="J278" s="411">
        <v>0.43048090710511555</v>
      </c>
      <c r="K278" s="398" t="s">
        <v>1194</v>
      </c>
      <c r="L278" s="414"/>
      <c r="M278" s="415"/>
    </row>
    <row r="279" spans="1:13">
      <c r="A279" s="434" t="s">
        <v>1208</v>
      </c>
      <c r="B279" s="432"/>
      <c r="C279" s="433">
        <v>100</v>
      </c>
      <c r="D279" s="433">
        <v>10</v>
      </c>
      <c r="E279" s="433">
        <v>5.05</v>
      </c>
      <c r="F279" s="417">
        <v>9.09E-5</v>
      </c>
      <c r="G279" s="376">
        <v>9.09E-5</v>
      </c>
      <c r="H279" s="354">
        <v>0</v>
      </c>
      <c r="I279" s="354">
        <v>0</v>
      </c>
      <c r="J279" s="411">
        <v>0</v>
      </c>
      <c r="K279" s="398" t="s">
        <v>1194</v>
      </c>
      <c r="L279" s="414"/>
      <c r="M279" s="415"/>
    </row>
    <row r="280" spans="1:13">
      <c r="A280" s="434" t="s">
        <v>1209</v>
      </c>
      <c r="B280" s="432"/>
      <c r="C280" s="433">
        <v>100</v>
      </c>
      <c r="D280" s="433">
        <v>18</v>
      </c>
      <c r="E280" s="433">
        <v>5.05</v>
      </c>
      <c r="F280" s="417">
        <v>9.09E-5</v>
      </c>
      <c r="G280" s="376">
        <v>9.09E-5</v>
      </c>
      <c r="H280" s="354">
        <v>0</v>
      </c>
      <c r="I280" s="354">
        <v>0</v>
      </c>
      <c r="J280" s="411">
        <v>0</v>
      </c>
      <c r="K280" s="398" t="s">
        <v>1194</v>
      </c>
      <c r="L280" s="414"/>
      <c r="M280" s="415"/>
    </row>
    <row r="281" spans="1:13">
      <c r="A281" s="434" t="s">
        <v>1210</v>
      </c>
      <c r="B281" s="432"/>
      <c r="C281" s="433">
        <v>100</v>
      </c>
      <c r="D281" s="433">
        <v>30</v>
      </c>
      <c r="E281" s="433">
        <v>5.05</v>
      </c>
      <c r="F281" s="417">
        <v>9.09E-5</v>
      </c>
      <c r="G281" s="376">
        <v>9.09E-5</v>
      </c>
      <c r="H281" s="354">
        <v>0</v>
      </c>
      <c r="I281" s="354">
        <v>0</v>
      </c>
      <c r="J281" s="411">
        <v>0</v>
      </c>
      <c r="K281" s="398" t="s">
        <v>1194</v>
      </c>
      <c r="L281" s="414"/>
      <c r="M281" s="415"/>
    </row>
    <row r="282" spans="1:13">
      <c r="A282" s="434" t="s">
        <v>1211</v>
      </c>
      <c r="B282" s="432"/>
      <c r="C282" s="433">
        <v>100</v>
      </c>
      <c r="D282" s="433">
        <v>45</v>
      </c>
      <c r="E282" s="433">
        <v>5.05</v>
      </c>
      <c r="F282" s="417">
        <v>9.09E-5</v>
      </c>
      <c r="G282" s="376">
        <v>9.09E-5</v>
      </c>
      <c r="H282" s="354">
        <v>0</v>
      </c>
      <c r="I282" s="354">
        <v>0</v>
      </c>
      <c r="J282" s="411">
        <v>0</v>
      </c>
      <c r="K282" s="398" t="s">
        <v>1194</v>
      </c>
      <c r="L282" s="414"/>
      <c r="M282" s="415"/>
    </row>
    <row r="283" spans="1:13">
      <c r="A283" s="434" t="s">
        <v>1212</v>
      </c>
      <c r="B283" s="432"/>
      <c r="C283" s="433">
        <v>100</v>
      </c>
      <c r="D283" s="433">
        <v>60</v>
      </c>
      <c r="E283" s="433">
        <v>5.05</v>
      </c>
      <c r="F283" s="417">
        <v>8.1670809071051149</v>
      </c>
      <c r="G283" s="376">
        <v>7.7366000000000001</v>
      </c>
      <c r="H283" s="354">
        <v>0</v>
      </c>
      <c r="I283" s="354">
        <v>0.43048090710511555</v>
      </c>
      <c r="J283" s="411">
        <v>0.43048090710511555</v>
      </c>
      <c r="K283" s="398" t="s">
        <v>1194</v>
      </c>
      <c r="L283" s="414"/>
      <c r="M283" s="415"/>
    </row>
    <row r="284" spans="1:13">
      <c r="A284" s="434" t="s">
        <v>1213</v>
      </c>
      <c r="B284" s="432"/>
      <c r="C284" s="433">
        <v>100</v>
      </c>
      <c r="D284" s="433">
        <v>70</v>
      </c>
      <c r="E284" s="433">
        <v>5.05</v>
      </c>
      <c r="F284" s="417">
        <v>9.1972809071051156</v>
      </c>
      <c r="G284" s="376">
        <v>8.7667999999999999</v>
      </c>
      <c r="H284" s="354">
        <v>0</v>
      </c>
      <c r="I284" s="354">
        <v>0.43048090710511555</v>
      </c>
      <c r="J284" s="411">
        <v>0.43048090710511555</v>
      </c>
      <c r="K284" s="398" t="s">
        <v>1194</v>
      </c>
      <c r="L284" s="414"/>
      <c r="M284" s="415"/>
    </row>
    <row r="285" spans="1:13">
      <c r="A285" s="434" t="s">
        <v>1214</v>
      </c>
      <c r="B285" s="432"/>
      <c r="C285" s="433">
        <v>100</v>
      </c>
      <c r="D285" s="433">
        <v>85</v>
      </c>
      <c r="E285" s="433">
        <v>5.05</v>
      </c>
      <c r="F285" s="417">
        <v>10.742580907105117</v>
      </c>
      <c r="G285" s="376">
        <v>10.312100000000001</v>
      </c>
      <c r="H285" s="354">
        <v>0</v>
      </c>
      <c r="I285" s="354">
        <v>0.43048090710511555</v>
      </c>
      <c r="J285" s="411">
        <v>0.43048090710511555</v>
      </c>
      <c r="K285" s="398" t="s">
        <v>1194</v>
      </c>
      <c r="L285" s="414"/>
      <c r="M285" s="415"/>
    </row>
    <row r="286" spans="1:13">
      <c r="A286" s="434" t="s">
        <v>1215</v>
      </c>
      <c r="B286" s="432"/>
      <c r="C286" s="433">
        <v>100</v>
      </c>
      <c r="D286" s="433">
        <v>105</v>
      </c>
      <c r="E286" s="433">
        <v>5.05</v>
      </c>
      <c r="F286" s="417">
        <v>13.318080907105115</v>
      </c>
      <c r="G286" s="376">
        <v>12.887599999999999</v>
      </c>
      <c r="H286" s="354">
        <v>0</v>
      </c>
      <c r="I286" s="354">
        <v>0.43048090710511555</v>
      </c>
      <c r="J286" s="411">
        <v>0.43048090710511555</v>
      </c>
      <c r="K286" s="398" t="s">
        <v>1194</v>
      </c>
      <c r="L286" s="414"/>
      <c r="M286" s="415"/>
    </row>
    <row r="287" spans="1:13">
      <c r="A287" s="434" t="s">
        <v>1216</v>
      </c>
      <c r="B287" s="432"/>
      <c r="C287" s="433">
        <v>100</v>
      </c>
      <c r="D287" s="433">
        <v>138</v>
      </c>
      <c r="E287" s="433">
        <v>5.05</v>
      </c>
      <c r="F287" s="417">
        <v>15.893580907105116</v>
      </c>
      <c r="G287" s="376">
        <v>15.463100000000001</v>
      </c>
      <c r="H287" s="354">
        <v>0</v>
      </c>
      <c r="I287" s="354">
        <v>0.43048090710511555</v>
      </c>
      <c r="J287" s="411">
        <v>0.43048090710511555</v>
      </c>
      <c r="K287" s="398" t="s">
        <v>1194</v>
      </c>
      <c r="L287" s="414"/>
      <c r="M287" s="415"/>
    </row>
    <row r="288" spans="1:13">
      <c r="A288" s="434" t="s">
        <v>1217</v>
      </c>
      <c r="B288" s="432"/>
      <c r="C288" s="433">
        <v>100</v>
      </c>
      <c r="D288" s="433">
        <v>170</v>
      </c>
      <c r="E288" s="433">
        <v>5.05</v>
      </c>
      <c r="F288" s="417">
        <v>18.479180907105114</v>
      </c>
      <c r="G288" s="376">
        <v>18.0487</v>
      </c>
      <c r="H288" s="354">
        <v>0</v>
      </c>
      <c r="I288" s="354">
        <v>0.43048090710511555</v>
      </c>
      <c r="J288" s="411">
        <v>0.43048090710511555</v>
      </c>
      <c r="K288" s="398" t="s">
        <v>1194</v>
      </c>
      <c r="L288" s="414"/>
      <c r="M288" s="415"/>
    </row>
    <row r="289" spans="1:13">
      <c r="A289" s="434" t="s">
        <v>1218</v>
      </c>
      <c r="B289" s="432"/>
      <c r="C289" s="433">
        <v>100</v>
      </c>
      <c r="D289" s="433">
        <v>30</v>
      </c>
      <c r="E289" s="433">
        <v>5.05</v>
      </c>
      <c r="F289" s="417">
        <v>9.09E-5</v>
      </c>
      <c r="G289" s="376">
        <v>9.09E-5</v>
      </c>
      <c r="H289" s="354">
        <v>0</v>
      </c>
      <c r="I289" s="354">
        <v>0</v>
      </c>
      <c r="J289" s="411">
        <v>0</v>
      </c>
      <c r="K289" s="398" t="s">
        <v>1194</v>
      </c>
      <c r="L289" s="414"/>
      <c r="M289" s="415"/>
    </row>
    <row r="290" spans="1:13">
      <c r="A290" s="434" t="s">
        <v>1219</v>
      </c>
      <c r="B290" s="432"/>
      <c r="C290" s="433">
        <v>100</v>
      </c>
      <c r="D290" s="433">
        <v>45</v>
      </c>
      <c r="E290" s="433">
        <v>5.05</v>
      </c>
      <c r="F290" s="417">
        <v>9.09E-5</v>
      </c>
      <c r="G290" s="376">
        <v>9.09E-5</v>
      </c>
      <c r="H290" s="354">
        <v>0</v>
      </c>
      <c r="I290" s="354">
        <v>0</v>
      </c>
      <c r="J290" s="411">
        <v>0</v>
      </c>
      <c r="K290" s="398" t="s">
        <v>1194</v>
      </c>
      <c r="L290" s="414"/>
      <c r="M290" s="415"/>
    </row>
    <row r="291" spans="1:13">
      <c r="A291" s="434" t="s">
        <v>1220</v>
      </c>
      <c r="B291" s="432"/>
      <c r="C291" s="433">
        <v>100</v>
      </c>
      <c r="D291" s="433">
        <v>70</v>
      </c>
      <c r="E291" s="433">
        <v>5.05</v>
      </c>
      <c r="F291" s="417">
        <v>9.1972809071051156</v>
      </c>
      <c r="G291" s="376">
        <v>8.7667999999999999</v>
      </c>
      <c r="H291" s="354">
        <v>0</v>
      </c>
      <c r="I291" s="354">
        <v>0.43048090710511555</v>
      </c>
      <c r="J291" s="411">
        <v>0.43048090710511555</v>
      </c>
      <c r="K291" s="398" t="s">
        <v>1194</v>
      </c>
      <c r="L291" s="414"/>
      <c r="M291" s="415"/>
    </row>
    <row r="292" spans="1:13">
      <c r="A292" s="434" t="s">
        <v>1221</v>
      </c>
      <c r="B292" s="432"/>
      <c r="C292" s="433">
        <v>100</v>
      </c>
      <c r="D292" s="433">
        <v>85</v>
      </c>
      <c r="E292" s="433">
        <v>5.05</v>
      </c>
      <c r="F292" s="417">
        <v>10.742580907105117</v>
      </c>
      <c r="G292" s="376">
        <v>10.312100000000001</v>
      </c>
      <c r="H292" s="354">
        <v>0</v>
      </c>
      <c r="I292" s="354">
        <v>0.43048090710511555</v>
      </c>
      <c r="J292" s="411">
        <v>0.43048090710511555</v>
      </c>
      <c r="K292" s="398" t="s">
        <v>1194</v>
      </c>
      <c r="L292" s="414"/>
      <c r="M292" s="415"/>
    </row>
    <row r="293" spans="1:13">
      <c r="A293" s="434" t="s">
        <v>1222</v>
      </c>
      <c r="B293" s="432"/>
      <c r="C293" s="433">
        <v>100</v>
      </c>
      <c r="D293" s="433">
        <v>10</v>
      </c>
      <c r="E293" s="433">
        <v>5.05</v>
      </c>
      <c r="F293" s="417">
        <v>9.09E-5</v>
      </c>
      <c r="G293" s="376">
        <v>9.09E-5</v>
      </c>
      <c r="H293" s="354">
        <v>0</v>
      </c>
      <c r="I293" s="354">
        <v>0</v>
      </c>
      <c r="J293" s="411">
        <v>0</v>
      </c>
      <c r="K293" s="398" t="s">
        <v>1194</v>
      </c>
      <c r="L293" s="414"/>
      <c r="M293" s="415"/>
    </row>
    <row r="294" spans="1:13">
      <c r="A294" s="434" t="s">
        <v>1223</v>
      </c>
      <c r="B294" s="432"/>
      <c r="C294" s="433">
        <v>100</v>
      </c>
      <c r="D294" s="433">
        <v>18</v>
      </c>
      <c r="E294" s="433">
        <v>5.05</v>
      </c>
      <c r="F294" s="417">
        <v>9.09E-5</v>
      </c>
      <c r="G294" s="376">
        <v>9.09E-5</v>
      </c>
      <c r="H294" s="354">
        <v>0</v>
      </c>
      <c r="I294" s="354">
        <v>0</v>
      </c>
      <c r="J294" s="411">
        <v>0</v>
      </c>
      <c r="K294" s="398" t="s">
        <v>1194</v>
      </c>
      <c r="L294" s="414"/>
      <c r="M294" s="415"/>
    </row>
    <row r="295" spans="1:13">
      <c r="A295" s="434" t="s">
        <v>1224</v>
      </c>
      <c r="B295" s="432"/>
      <c r="C295" s="433">
        <v>100</v>
      </c>
      <c r="D295" s="433">
        <v>30</v>
      </c>
      <c r="E295" s="433">
        <v>5.05</v>
      </c>
      <c r="F295" s="417">
        <v>9.09E-5</v>
      </c>
      <c r="G295" s="376">
        <v>9.09E-5</v>
      </c>
      <c r="H295" s="354">
        <v>0</v>
      </c>
      <c r="I295" s="354">
        <v>0</v>
      </c>
      <c r="J295" s="411">
        <v>0</v>
      </c>
      <c r="K295" s="398" t="s">
        <v>1194</v>
      </c>
      <c r="L295" s="414"/>
      <c r="M295" s="415"/>
    </row>
    <row r="296" spans="1:13">
      <c r="A296" s="434" t="s">
        <v>1225</v>
      </c>
      <c r="B296" s="432"/>
      <c r="C296" s="433">
        <v>100</v>
      </c>
      <c r="D296" s="433">
        <v>45</v>
      </c>
      <c r="E296" s="433">
        <v>5.05</v>
      </c>
      <c r="F296" s="417">
        <v>9.09E-5</v>
      </c>
      <c r="G296" s="376">
        <v>9.09E-5</v>
      </c>
      <c r="H296" s="354">
        <v>0</v>
      </c>
      <c r="I296" s="354">
        <v>0</v>
      </c>
      <c r="J296" s="411">
        <v>0</v>
      </c>
      <c r="K296" s="398" t="s">
        <v>1194</v>
      </c>
      <c r="L296" s="414"/>
      <c r="M296" s="415"/>
    </row>
    <row r="297" spans="1:13">
      <c r="A297" s="434" t="s">
        <v>1226</v>
      </c>
      <c r="B297" s="432"/>
      <c r="C297" s="433">
        <v>100</v>
      </c>
      <c r="D297" s="433">
        <v>60</v>
      </c>
      <c r="E297" s="433">
        <v>5.05</v>
      </c>
      <c r="F297" s="417">
        <v>8.1670809071051149</v>
      </c>
      <c r="G297" s="376">
        <v>7.7366000000000001</v>
      </c>
      <c r="H297" s="354">
        <v>0</v>
      </c>
      <c r="I297" s="354">
        <v>0.43048090710511555</v>
      </c>
      <c r="J297" s="411">
        <v>0.43048090710511555</v>
      </c>
      <c r="K297" s="398" t="s">
        <v>1194</v>
      </c>
      <c r="L297" s="414"/>
      <c r="M297" s="415"/>
    </row>
    <row r="298" spans="1:13">
      <c r="A298" s="434" t="s">
        <v>1227</v>
      </c>
      <c r="B298" s="432"/>
      <c r="C298" s="433">
        <v>100</v>
      </c>
      <c r="D298" s="433">
        <v>70</v>
      </c>
      <c r="E298" s="433">
        <v>5.05</v>
      </c>
      <c r="F298" s="417">
        <v>9.1972809071051156</v>
      </c>
      <c r="G298" s="376">
        <v>8.7667999999999999</v>
      </c>
      <c r="H298" s="354">
        <v>0</v>
      </c>
      <c r="I298" s="354">
        <v>0.43048090710511555</v>
      </c>
      <c r="J298" s="411">
        <v>0.43048090710511555</v>
      </c>
      <c r="K298" s="398" t="s">
        <v>1194</v>
      </c>
      <c r="L298" s="414"/>
      <c r="M298" s="415"/>
    </row>
    <row r="299" spans="1:13">
      <c r="A299" s="434" t="s">
        <v>1228</v>
      </c>
      <c r="B299" s="432"/>
      <c r="C299" s="433">
        <v>100</v>
      </c>
      <c r="D299" s="433">
        <v>85</v>
      </c>
      <c r="E299" s="433">
        <v>5.05</v>
      </c>
      <c r="F299" s="417">
        <v>10.742580907105117</v>
      </c>
      <c r="G299" s="376">
        <v>10.312100000000001</v>
      </c>
      <c r="H299" s="354">
        <v>0</v>
      </c>
      <c r="I299" s="354">
        <v>0.43048090710511555</v>
      </c>
      <c r="J299" s="411">
        <v>0.43048090710511555</v>
      </c>
      <c r="K299" s="398" t="s">
        <v>1194</v>
      </c>
      <c r="L299" s="414"/>
      <c r="M299" s="415"/>
    </row>
    <row r="300" spans="1:13">
      <c r="A300" s="434" t="s">
        <v>1229</v>
      </c>
      <c r="B300" s="432"/>
      <c r="C300" s="433">
        <v>100</v>
      </c>
      <c r="D300" s="433">
        <v>105</v>
      </c>
      <c r="E300" s="433">
        <v>5.05</v>
      </c>
      <c r="F300" s="417">
        <v>13.318080907105115</v>
      </c>
      <c r="G300" s="376">
        <v>12.887599999999999</v>
      </c>
      <c r="H300" s="354">
        <v>0</v>
      </c>
      <c r="I300" s="354">
        <v>0.43048090710511555</v>
      </c>
      <c r="J300" s="411">
        <v>0.43048090710511555</v>
      </c>
      <c r="K300" s="398" t="s">
        <v>1194</v>
      </c>
      <c r="L300" s="414"/>
      <c r="M300" s="415"/>
    </row>
    <row r="301" spans="1:13">
      <c r="A301" s="434" t="s">
        <v>1230</v>
      </c>
      <c r="B301" s="432"/>
      <c r="C301" s="433">
        <v>100</v>
      </c>
      <c r="D301" s="433">
        <v>138</v>
      </c>
      <c r="E301" s="433">
        <v>5.05</v>
      </c>
      <c r="F301" s="417">
        <v>15.893580907105116</v>
      </c>
      <c r="G301" s="376">
        <v>15.463100000000001</v>
      </c>
      <c r="H301" s="354">
        <v>0</v>
      </c>
      <c r="I301" s="354">
        <v>0.43048090710511555</v>
      </c>
      <c r="J301" s="411">
        <v>0.43048090710511555</v>
      </c>
      <c r="K301" s="398" t="s">
        <v>1194</v>
      </c>
      <c r="L301" s="414"/>
      <c r="M301" s="415"/>
    </row>
    <row r="302" spans="1:13">
      <c r="A302" s="434" t="s">
        <v>1231</v>
      </c>
      <c r="B302" s="432"/>
      <c r="C302" s="433">
        <v>100</v>
      </c>
      <c r="D302" s="433">
        <v>170</v>
      </c>
      <c r="E302" s="433">
        <v>5.05</v>
      </c>
      <c r="F302" s="417">
        <v>18.479180907105114</v>
      </c>
      <c r="G302" s="376">
        <v>18.0487</v>
      </c>
      <c r="H302" s="354">
        <v>0</v>
      </c>
      <c r="I302" s="354">
        <v>0.43048090710511555</v>
      </c>
      <c r="J302" s="411">
        <v>0.43048090710511555</v>
      </c>
      <c r="K302" s="398" t="s">
        <v>1194</v>
      </c>
      <c r="L302" s="414"/>
      <c r="M302" s="415"/>
    </row>
    <row r="303" spans="1:13">
      <c r="A303" s="434" t="s">
        <v>1232</v>
      </c>
      <c r="B303" s="432"/>
      <c r="C303" s="433">
        <v>100</v>
      </c>
      <c r="D303" s="433">
        <v>30</v>
      </c>
      <c r="E303" s="433">
        <v>5.05</v>
      </c>
      <c r="F303" s="417">
        <v>9.09E-5</v>
      </c>
      <c r="G303" s="376">
        <v>9.09E-5</v>
      </c>
      <c r="H303" s="354">
        <v>0</v>
      </c>
      <c r="I303" s="354">
        <v>0</v>
      </c>
      <c r="J303" s="411">
        <v>0</v>
      </c>
      <c r="K303" s="398" t="s">
        <v>1194</v>
      </c>
      <c r="L303" s="414"/>
      <c r="M303" s="415"/>
    </row>
    <row r="304" spans="1:13">
      <c r="A304" s="434" t="s">
        <v>1233</v>
      </c>
      <c r="B304" s="432"/>
      <c r="C304" s="433">
        <v>100</v>
      </c>
      <c r="D304" s="433">
        <v>45</v>
      </c>
      <c r="E304" s="433">
        <v>5.05</v>
      </c>
      <c r="F304" s="417">
        <v>9.09E-5</v>
      </c>
      <c r="G304" s="376">
        <v>9.09E-5</v>
      </c>
      <c r="H304" s="354">
        <v>0</v>
      </c>
      <c r="I304" s="354">
        <v>0</v>
      </c>
      <c r="J304" s="411">
        <v>0</v>
      </c>
      <c r="K304" s="398" t="s">
        <v>1194</v>
      </c>
      <c r="L304" s="414"/>
      <c r="M304" s="415"/>
    </row>
    <row r="305" spans="1:13">
      <c r="A305" s="434" t="s">
        <v>1234</v>
      </c>
      <c r="B305" s="432"/>
      <c r="C305" s="433">
        <v>100</v>
      </c>
      <c r="D305" s="433">
        <v>70</v>
      </c>
      <c r="E305" s="433">
        <v>5.05</v>
      </c>
      <c r="F305" s="417">
        <v>9.1972809071051156</v>
      </c>
      <c r="G305" s="376">
        <v>8.7667999999999999</v>
      </c>
      <c r="H305" s="354">
        <v>0</v>
      </c>
      <c r="I305" s="354">
        <v>0.43048090710511555</v>
      </c>
      <c r="J305" s="411">
        <v>0.43048090710511555</v>
      </c>
      <c r="K305" s="398" t="s">
        <v>1194</v>
      </c>
      <c r="L305" s="414"/>
      <c r="M305" s="415"/>
    </row>
    <row r="306" spans="1:13">
      <c r="A306" s="434" t="s">
        <v>1235</v>
      </c>
      <c r="B306" s="432"/>
      <c r="C306" s="433">
        <v>100</v>
      </c>
      <c r="D306" s="433">
        <v>85</v>
      </c>
      <c r="E306" s="433">
        <v>5.05</v>
      </c>
      <c r="F306" s="417">
        <v>10.742580907105117</v>
      </c>
      <c r="G306" s="376">
        <v>10.312100000000001</v>
      </c>
      <c r="H306" s="354">
        <v>0</v>
      </c>
      <c r="I306" s="354">
        <v>0.43048090710511555</v>
      </c>
      <c r="J306" s="411">
        <v>0.43048090710511555</v>
      </c>
      <c r="K306" s="398" t="s">
        <v>1194</v>
      </c>
      <c r="L306" s="414"/>
      <c r="M306" s="415"/>
    </row>
  </sheetData>
  <autoFilter ref="A3:M306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A265FEE7AF8A4A85BA987F87A668A3" ma:contentTypeVersion="3" ma:contentTypeDescription="Een nieuw document maken." ma:contentTypeScope="" ma:versionID="2389522682df8598d8cc17e026077c1c">
  <xsd:schema xmlns:xsd="http://www.w3.org/2001/XMLSchema" xmlns:xs="http://www.w3.org/2001/XMLSchema" xmlns:p="http://schemas.microsoft.com/office/2006/metadata/properties" xmlns:ns2="a4debd42-5631-4e86-8b39-4703e1e52874" targetNamespace="http://schemas.microsoft.com/office/2006/metadata/properties" ma:root="true" ma:fieldsID="3956e250912dbc8cd356e02703428c88" ns2:_="">
    <xsd:import namespace="a4debd42-5631-4e86-8b39-4703e1e52874"/>
    <xsd:element name="properties">
      <xsd:complexType>
        <xsd:sequence>
          <xsd:element name="documentManagement">
            <xsd:complexType>
              <xsd:all>
                <xsd:element ref="ns2:BusinessLine" minOccurs="0"/>
                <xsd:element ref="ns2:Versie_x0020_van_x0020_Rele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ebd42-5631-4e86-8b39-4703e1e52874" elementFormDefault="qualified">
    <xsd:import namespace="http://schemas.microsoft.com/office/2006/documentManagement/types"/>
    <xsd:import namespace="http://schemas.microsoft.com/office/infopath/2007/PartnerControls"/>
    <xsd:element name="BusinessLine" ma:index="8" nillable="true" ma:displayName="BusinessLine" ma:default="KPN ÉÉN GZ" ma:description="Binnen welke BusinessLine valt het document" ma:format="Dropdown" ma:internalName="BusinessLine">
      <xsd:simpleType>
        <xsd:restriction base="dms:Choice">
          <xsd:enumeration value="KPN ÉÉN GZ"/>
          <xsd:enumeration value="Data"/>
          <xsd:enumeration value="Spraak"/>
          <xsd:enumeration value="SWOL"/>
          <xsd:enumeration value="Combined Usage"/>
          <xsd:enumeration value="VoiP"/>
          <xsd:enumeration value="Mobiel"/>
          <xsd:enumeration value="KPN ÉÉN MKB"/>
        </xsd:restriction>
      </xsd:simpleType>
    </xsd:element>
    <xsd:element name="Versie_x0020_van_x0020_Release" ma:index="9" nillable="true" ma:displayName="Versie van Release" ma:description="Hier geef je de beoogde release versie op." ma:internalName="Versie_x0020_van_x0020_Release">
      <xsd:simpleType>
        <xsd:restriction base="dms:Text">
          <xsd:maxLength value="255"/>
        </xsd:restriction>
      </xsd:simpleType>
    </xsd:element>
    <xsd:element name="Status" ma:index="10" ma:displayName="Status" ma:default="Ontwikkeling" ma:description="Hier kun je de status aangeven van het document." ma:format="Dropdown" ma:internalName="Status">
      <xsd:simpleType>
        <xsd:restriction base="dms:Choice">
          <xsd:enumeration value="Ontwikkeling"/>
          <xsd:enumeration value="Gereed voor 2e Man"/>
          <xsd:enumeration value="2e Man Akkoord"/>
          <xsd:enumeration value="Releas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Line xmlns="a4debd42-5631-4e86-8b39-4703e1e52874">Data</BusinessLine>
    <Versie_x0020_van_x0020_Release xmlns="a4debd42-5631-4e86-8b39-4703e1e52874" xsi:nil="true"/>
    <Status xmlns="a4debd42-5631-4e86-8b39-4703e1e52874">2e Man Akkoord</Status>
  </documentManagement>
</p:properties>
</file>

<file path=customXml/itemProps1.xml><?xml version="1.0" encoding="utf-8"?>
<ds:datastoreItem xmlns:ds="http://schemas.openxmlformats.org/officeDocument/2006/customXml" ds:itemID="{984D11E6-8A4D-4963-BEA1-98C5BBFE0A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debd42-5631-4e86-8b39-4703e1e528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988031-9369-4FAA-9CC7-EC67FF53090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46DE6B4-1184-4677-A7AB-1F173ED11E42}">
  <ds:schemaRefs>
    <ds:schemaRef ds:uri="a4debd42-5631-4e86-8b39-4703e1e52874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Voorblad</vt:lpstr>
      <vt:lpstr>EDC minus lijst ULL</vt:lpstr>
      <vt:lpstr>Parameters ULL</vt:lpstr>
      <vt:lpstr>collocatie</vt:lpstr>
      <vt:lpstr>Inkoop tarief elementen</vt:lpstr>
      <vt:lpstr>Annex 4 VULA</vt:lpstr>
      <vt:lpstr>inkoop VULA</vt:lpstr>
      <vt:lpstr>inkoop MDF SDSL</vt:lpstr>
      <vt:lpstr>inkoop MDF VDSL</vt:lpstr>
      <vt:lpstr>inkoop ODF FTTH</vt:lpstr>
      <vt:lpstr>inkoop ULL tbv Epacity</vt:lpstr>
      <vt:lpstr>Parameters</vt:lpstr>
      <vt:lpstr>Distributievergoedingen</vt:lpstr>
      <vt:lpstr>Mapping</vt:lpstr>
      <vt:lpstr>EDC Minus</vt:lpstr>
      <vt:lpstr>Tarieven ZM</vt:lpstr>
      <vt:lpstr>Tarieven W&amp;O</vt:lpstr>
      <vt:lpstr>Rekenblad access</vt:lpstr>
      <vt:lpstr>Rekenblad transport</vt:lpstr>
      <vt:lpstr>Rekenblad Service level lijn</vt:lpstr>
      <vt:lpstr>Rekenblad 2e PVC</vt:lpstr>
      <vt:lpstr>KWTtransfersheetOudSAIPVPN</vt:lpstr>
      <vt:lpstr>KWTtransfersheetOudVDSL</vt:lpstr>
      <vt:lpstr>KWTtransfersheetOudADSLSDSL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Aanen, E. (Eimert) (ZM SH Data Pricing ZM)</dc:creator>
  <cp:lastModifiedBy>Burgwal, Joey van de</cp:lastModifiedBy>
  <dcterms:created xsi:type="dcterms:W3CDTF">2015-02-27T05:56:14Z</dcterms:created>
  <dcterms:modified xsi:type="dcterms:W3CDTF">2017-03-15T16:00:54Z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0x0101008EA265FEE7AF8A4A85BA987F87A668A3</vt:lpwstr>
  </property>
</Properties>
</file>