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"/>
    </mc:Choice>
  </mc:AlternateContent>
  <xr:revisionPtr revIDLastSave="0" documentId="8_{90E5CB3D-C10E-443C-8B52-694C28DF452D}" xr6:coauthVersionLast="47" xr6:coauthVersionMax="47" xr10:uidLastSave="{00000000-0000-0000-0000-000000000000}"/>
  <bookViews>
    <workbookView xWindow="28680" yWindow="-165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Town'!$A$1:$W$68</definedName>
    <definedName name="_xlnm.Print_Area" localSheetId="3">'Mardi Gras'!$A$1:$W$68</definedName>
    <definedName name="_xlnm.Print_Area" localSheetId="1">Mountaineer!$A$1:$W$21</definedName>
    <definedName name="_xlnm.Print_Area" localSheetId="0">Total!$A$1:$W$24</definedName>
    <definedName name="_xlnm.Print_Area" localSheetId="2">Wheeling!$A$1:$W$68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4" i="5" l="1"/>
  <c r="T14" i="4"/>
  <c r="N14" i="4"/>
  <c r="F14" i="4"/>
  <c r="T14" i="3"/>
  <c r="N14" i="3"/>
  <c r="F14" i="3"/>
  <c r="F14" i="2" l="1"/>
  <c r="W17" i="6" l="1"/>
  <c r="D17" i="6"/>
  <c r="C17" i="6"/>
  <c r="B17" i="6"/>
  <c r="A17" i="6"/>
  <c r="E14" i="5"/>
  <c r="F14" i="5" s="1"/>
  <c r="A14" i="5"/>
  <c r="E14" i="4"/>
  <c r="V14" i="4" s="1"/>
  <c r="A14" i="4"/>
  <c r="E14" i="3"/>
  <c r="A14" i="3"/>
  <c r="E14" i="2"/>
  <c r="G14" i="2" s="1"/>
  <c r="E17" i="6" l="1"/>
  <c r="G14" i="5"/>
  <c r="H14" i="5" s="1"/>
  <c r="I14" i="5" s="1"/>
  <c r="V14" i="5"/>
  <c r="G14" i="4"/>
  <c r="V14" i="3"/>
  <c r="G14" i="3"/>
  <c r="V14" i="2"/>
  <c r="W16" i="6"/>
  <c r="D16" i="6"/>
  <c r="C16" i="6"/>
  <c r="B16" i="6"/>
  <c r="E13" i="5"/>
  <c r="G13" i="5" s="1"/>
  <c r="E13" i="4"/>
  <c r="E13" i="3"/>
  <c r="F13" i="3" s="1"/>
  <c r="E13" i="2"/>
  <c r="F13" i="2" s="1"/>
  <c r="V17" i="6" l="1"/>
  <c r="G17" i="6"/>
  <c r="H14" i="2"/>
  <c r="F17" i="6"/>
  <c r="K14" i="5"/>
  <c r="J14" i="5"/>
  <c r="H14" i="4"/>
  <c r="I14" i="4" s="1"/>
  <c r="K14" i="4" s="1"/>
  <c r="V13" i="4"/>
  <c r="F13" i="4"/>
  <c r="H14" i="3"/>
  <c r="I14" i="3" s="1"/>
  <c r="J14" i="3" s="1"/>
  <c r="E16" i="6"/>
  <c r="F13" i="5"/>
  <c r="H13" i="5" s="1"/>
  <c r="I13" i="5" s="1"/>
  <c r="V13" i="5"/>
  <c r="G13" i="4"/>
  <c r="G13" i="3"/>
  <c r="H13" i="3" s="1"/>
  <c r="I13" i="3" s="1"/>
  <c r="V13" i="3"/>
  <c r="V13" i="2"/>
  <c r="G13" i="2"/>
  <c r="W15" i="6"/>
  <c r="D15" i="6"/>
  <c r="C15" i="6"/>
  <c r="B15" i="6"/>
  <c r="E12" i="5"/>
  <c r="F12" i="5" s="1"/>
  <c r="E12" i="4"/>
  <c r="E12" i="3"/>
  <c r="E12" i="2"/>
  <c r="I14" i="2" l="1"/>
  <c r="H17" i="6"/>
  <c r="L14" i="5"/>
  <c r="J14" i="4"/>
  <c r="L14" i="4" s="1"/>
  <c r="K14" i="3"/>
  <c r="L14" i="3" s="1"/>
  <c r="F16" i="6"/>
  <c r="V16" i="6"/>
  <c r="H13" i="2"/>
  <c r="G16" i="6"/>
  <c r="K13" i="5"/>
  <c r="J13" i="5"/>
  <c r="H13" i="4"/>
  <c r="I13" i="4" s="1"/>
  <c r="K13" i="4" s="1"/>
  <c r="K13" i="3"/>
  <c r="J13" i="3"/>
  <c r="L13" i="3" s="1"/>
  <c r="V12" i="4"/>
  <c r="F12" i="4"/>
  <c r="E15" i="6"/>
  <c r="V12" i="5"/>
  <c r="G12" i="5"/>
  <c r="G12" i="4"/>
  <c r="F12" i="3"/>
  <c r="V12" i="3"/>
  <c r="G12" i="3"/>
  <c r="F12" i="2"/>
  <c r="V12" i="2"/>
  <c r="G12" i="2"/>
  <c r="N14" i="5" l="1"/>
  <c r="I17" i="6"/>
  <c r="K14" i="2"/>
  <c r="K17" i="6" s="1"/>
  <c r="J14" i="2"/>
  <c r="O14" i="5"/>
  <c r="P14" i="5"/>
  <c r="S14" i="5"/>
  <c r="Q14" i="5"/>
  <c r="R14" i="5"/>
  <c r="M14" i="5"/>
  <c r="U14" i="5" s="1"/>
  <c r="S14" i="4"/>
  <c r="R14" i="4"/>
  <c r="Q14" i="4"/>
  <c r="M14" i="4"/>
  <c r="U14" i="4" s="1"/>
  <c r="P14" i="4"/>
  <c r="O14" i="4"/>
  <c r="S14" i="3"/>
  <c r="R14" i="3"/>
  <c r="Q14" i="3"/>
  <c r="M14" i="3"/>
  <c r="U14" i="3" s="1"/>
  <c r="P14" i="3"/>
  <c r="O14" i="3"/>
  <c r="T13" i="3"/>
  <c r="N13" i="3"/>
  <c r="I13" i="2"/>
  <c r="H16" i="6"/>
  <c r="L13" i="5"/>
  <c r="N13" i="5" s="1"/>
  <c r="J13" i="4"/>
  <c r="L13" i="4" s="1"/>
  <c r="M13" i="3"/>
  <c r="U13" i="3" s="1"/>
  <c r="S13" i="3"/>
  <c r="Q13" i="3"/>
  <c r="R13" i="3"/>
  <c r="P13" i="3"/>
  <c r="O13" i="3"/>
  <c r="F15" i="6"/>
  <c r="G15" i="6"/>
  <c r="V15" i="6"/>
  <c r="H12" i="5"/>
  <c r="I12" i="5" s="1"/>
  <c r="J12" i="5" s="1"/>
  <c r="H12" i="4"/>
  <c r="I12" i="4" s="1"/>
  <c r="H12" i="3"/>
  <c r="I12" i="3" s="1"/>
  <c r="J12" i="3" s="1"/>
  <c r="H12" i="2"/>
  <c r="J17" i="6" l="1"/>
  <c r="L14" i="2"/>
  <c r="T13" i="4"/>
  <c r="N13" i="4"/>
  <c r="R13" i="5"/>
  <c r="I16" i="6"/>
  <c r="K13" i="2"/>
  <c r="K16" i="6" s="1"/>
  <c r="J13" i="2"/>
  <c r="O13" i="5"/>
  <c r="T13" i="5"/>
  <c r="S13" i="5"/>
  <c r="P13" i="5"/>
  <c r="M13" i="5"/>
  <c r="U13" i="5" s="1"/>
  <c r="Q13" i="5"/>
  <c r="O13" i="4"/>
  <c r="S13" i="4"/>
  <c r="P13" i="4"/>
  <c r="Q13" i="4"/>
  <c r="R13" i="4"/>
  <c r="M13" i="4"/>
  <c r="U13" i="4" s="1"/>
  <c r="K12" i="3"/>
  <c r="L12" i="3" s="1"/>
  <c r="N12" i="3" s="1"/>
  <c r="I12" i="2"/>
  <c r="K12" i="2" s="1"/>
  <c r="H15" i="6"/>
  <c r="K12" i="5"/>
  <c r="L12" i="5" s="1"/>
  <c r="N12" i="5" s="1"/>
  <c r="J12" i="4"/>
  <c r="K12" i="4"/>
  <c r="W14" i="6"/>
  <c r="D14" i="6"/>
  <c r="C14" i="6"/>
  <c r="B14" i="6"/>
  <c r="E11" i="5"/>
  <c r="F11" i="5" s="1"/>
  <c r="E11" i="4"/>
  <c r="F11" i="4" s="1"/>
  <c r="E11" i="3"/>
  <c r="E11" i="2"/>
  <c r="P14" i="2" l="1"/>
  <c r="P17" i="6" s="1"/>
  <c r="T14" i="2"/>
  <c r="T17" i="6" s="1"/>
  <c r="N14" i="2"/>
  <c r="N17" i="6" s="1"/>
  <c r="L17" i="6"/>
  <c r="U14" i="2"/>
  <c r="U17" i="6" s="1"/>
  <c r="S14" i="2"/>
  <c r="S17" i="6" s="1"/>
  <c r="M14" i="2"/>
  <c r="M17" i="6" s="1"/>
  <c r="O14" i="2"/>
  <c r="O17" i="6" s="1"/>
  <c r="R14" i="2"/>
  <c r="R17" i="6" s="1"/>
  <c r="Q14" i="2"/>
  <c r="Q17" i="6" s="1"/>
  <c r="L13" i="2"/>
  <c r="J16" i="6"/>
  <c r="R12" i="3"/>
  <c r="S12" i="3"/>
  <c r="P12" i="3"/>
  <c r="M12" i="3"/>
  <c r="U12" i="3" s="1"/>
  <c r="O12" i="3"/>
  <c r="Q12" i="3"/>
  <c r="T12" i="3"/>
  <c r="K15" i="6"/>
  <c r="J12" i="2"/>
  <c r="J15" i="6" s="1"/>
  <c r="I15" i="6"/>
  <c r="T12" i="5"/>
  <c r="S12" i="5"/>
  <c r="R12" i="5"/>
  <c r="P12" i="5"/>
  <c r="O12" i="5"/>
  <c r="M12" i="5"/>
  <c r="U12" i="5" s="1"/>
  <c r="Q12" i="5"/>
  <c r="L12" i="4"/>
  <c r="E14" i="6"/>
  <c r="V11" i="5"/>
  <c r="G11" i="5"/>
  <c r="V11" i="4"/>
  <c r="G11" i="4"/>
  <c r="F11" i="3"/>
  <c r="V11" i="3"/>
  <c r="G11" i="3"/>
  <c r="F11" i="2"/>
  <c r="V11" i="2"/>
  <c r="G11" i="2"/>
  <c r="T13" i="2" l="1"/>
  <c r="T16" i="6" s="1"/>
  <c r="N13" i="2"/>
  <c r="N16" i="6" s="1"/>
  <c r="U13" i="2"/>
  <c r="L16" i="6"/>
  <c r="O13" i="2"/>
  <c r="O16" i="6" s="1"/>
  <c r="U16" i="6"/>
  <c r="S13" i="2"/>
  <c r="S16" i="6" s="1"/>
  <c r="Q13" i="2"/>
  <c r="Q16" i="6" s="1"/>
  <c r="P13" i="2"/>
  <c r="P16" i="6" s="1"/>
  <c r="M13" i="2"/>
  <c r="M16" i="6" s="1"/>
  <c r="R13" i="2"/>
  <c r="R16" i="6" s="1"/>
  <c r="N12" i="4"/>
  <c r="T12" i="4"/>
  <c r="L12" i="2"/>
  <c r="N12" i="2" s="1"/>
  <c r="S12" i="4"/>
  <c r="P12" i="4"/>
  <c r="Q12" i="4"/>
  <c r="R12" i="4"/>
  <c r="M12" i="4"/>
  <c r="U12" i="4" s="1"/>
  <c r="O12" i="4"/>
  <c r="F14" i="6"/>
  <c r="G14" i="6"/>
  <c r="V14" i="6"/>
  <c r="H11" i="5"/>
  <c r="I11" i="5" s="1"/>
  <c r="J11" i="5" s="1"/>
  <c r="H11" i="4"/>
  <c r="I11" i="4" s="1"/>
  <c r="J11" i="4" s="1"/>
  <c r="H11" i="3"/>
  <c r="I11" i="3" s="1"/>
  <c r="J11" i="3" s="1"/>
  <c r="H11" i="2"/>
  <c r="W13" i="6"/>
  <c r="D13" i="6"/>
  <c r="C13" i="6"/>
  <c r="B13" i="6"/>
  <c r="E10" i="5"/>
  <c r="E10" i="4"/>
  <c r="F10" i="4" s="1"/>
  <c r="E10" i="3"/>
  <c r="F10" i="3" s="1"/>
  <c r="E10" i="2"/>
  <c r="V10" i="5" l="1"/>
  <c r="F10" i="5"/>
  <c r="U12" i="2"/>
  <c r="U15" i="6" s="1"/>
  <c r="T12" i="2"/>
  <c r="T15" i="6" s="1"/>
  <c r="L15" i="6"/>
  <c r="N15" i="6"/>
  <c r="S12" i="2"/>
  <c r="S15" i="6" s="1"/>
  <c r="O12" i="2"/>
  <c r="O15" i="6" s="1"/>
  <c r="Q12" i="2"/>
  <c r="Q15" i="6" s="1"/>
  <c r="P12" i="2"/>
  <c r="P15" i="6" s="1"/>
  <c r="M12" i="2"/>
  <c r="M15" i="6" s="1"/>
  <c r="R12" i="2"/>
  <c r="R15" i="6" s="1"/>
  <c r="I11" i="2"/>
  <c r="K11" i="2" s="1"/>
  <c r="H14" i="6"/>
  <c r="K11" i="5"/>
  <c r="L11" i="5" s="1"/>
  <c r="N11" i="5" s="1"/>
  <c r="K11" i="4"/>
  <c r="L11" i="4" s="1"/>
  <c r="K11" i="3"/>
  <c r="L11" i="3" s="1"/>
  <c r="N11" i="3" s="1"/>
  <c r="E13" i="6"/>
  <c r="G10" i="5"/>
  <c r="H10" i="5" s="1"/>
  <c r="I10" i="5" s="1"/>
  <c r="V10" i="4"/>
  <c r="G10" i="4"/>
  <c r="V10" i="3"/>
  <c r="G10" i="3"/>
  <c r="H10" i="3" s="1"/>
  <c r="I10" i="3" s="1"/>
  <c r="F10" i="2"/>
  <c r="V10" i="2"/>
  <c r="G10" i="2"/>
  <c r="M11" i="5" l="1"/>
  <c r="U11" i="5" s="1"/>
  <c r="T11" i="4"/>
  <c r="N11" i="4"/>
  <c r="K14" i="6"/>
  <c r="J11" i="2"/>
  <c r="J14" i="6" s="1"/>
  <c r="I14" i="6"/>
  <c r="P11" i="5"/>
  <c r="Q11" i="5"/>
  <c r="O11" i="5"/>
  <c r="R11" i="5"/>
  <c r="S11" i="5"/>
  <c r="T11" i="5"/>
  <c r="M11" i="4"/>
  <c r="U11" i="4" s="1"/>
  <c r="O11" i="4"/>
  <c r="S11" i="4"/>
  <c r="R11" i="4"/>
  <c r="P11" i="4"/>
  <c r="Q11" i="4"/>
  <c r="T11" i="3"/>
  <c r="Q11" i="3"/>
  <c r="M11" i="3"/>
  <c r="U11" i="3" s="1"/>
  <c r="S11" i="3"/>
  <c r="R11" i="3"/>
  <c r="P11" i="3"/>
  <c r="O11" i="3"/>
  <c r="F13" i="6"/>
  <c r="G13" i="6"/>
  <c r="V13" i="6"/>
  <c r="K10" i="5"/>
  <c r="J10" i="5"/>
  <c r="H10" i="4"/>
  <c r="I10" i="4" s="1"/>
  <c r="K10" i="4" s="1"/>
  <c r="K10" i="3"/>
  <c r="J10" i="3"/>
  <c r="H10" i="2"/>
  <c r="W12" i="6"/>
  <c r="D12" i="6"/>
  <c r="C12" i="6"/>
  <c r="B12" i="6"/>
  <c r="E9" i="5"/>
  <c r="E9" i="4"/>
  <c r="E9" i="3"/>
  <c r="A8" i="2"/>
  <c r="A9" i="2" s="1"/>
  <c r="E9" i="2"/>
  <c r="F9" i="2" s="1"/>
  <c r="L10" i="5" l="1"/>
  <c r="N10" i="5" s="1"/>
  <c r="A10" i="2"/>
  <c r="A10" i="5" s="1"/>
  <c r="A9" i="4"/>
  <c r="A12" i="6"/>
  <c r="V9" i="5"/>
  <c r="F9" i="5"/>
  <c r="A9" i="3"/>
  <c r="A10" i="3"/>
  <c r="A13" i="6"/>
  <c r="V9" i="3"/>
  <c r="F9" i="3"/>
  <c r="A9" i="5"/>
  <c r="L11" i="2"/>
  <c r="V9" i="4"/>
  <c r="F9" i="4"/>
  <c r="I10" i="2"/>
  <c r="J10" i="2" s="1"/>
  <c r="H13" i="6"/>
  <c r="M10" i="5"/>
  <c r="U10" i="5" s="1"/>
  <c r="T10" i="5"/>
  <c r="S10" i="5"/>
  <c r="R10" i="5"/>
  <c r="Q10" i="5"/>
  <c r="P10" i="5"/>
  <c r="O10" i="5"/>
  <c r="J10" i="4"/>
  <c r="L10" i="4" s="1"/>
  <c r="L10" i="3"/>
  <c r="E12" i="6"/>
  <c r="V9" i="2"/>
  <c r="G9" i="5"/>
  <c r="G9" i="4"/>
  <c r="G9" i="3"/>
  <c r="G9" i="2"/>
  <c r="H9" i="3" l="1"/>
  <c r="I9" i="3" s="1"/>
  <c r="J9" i="3" s="1"/>
  <c r="A10" i="4"/>
  <c r="A11" i="2"/>
  <c r="A11" i="5" s="1"/>
  <c r="H9" i="5"/>
  <c r="I9" i="5" s="1"/>
  <c r="K9" i="5" s="1"/>
  <c r="V12" i="6"/>
  <c r="U11" i="2"/>
  <c r="T11" i="2"/>
  <c r="T14" i="6" s="1"/>
  <c r="A12" i="2"/>
  <c r="A13" i="2" s="1"/>
  <c r="A11" i="3"/>
  <c r="A14" i="6"/>
  <c r="A11" i="4"/>
  <c r="R10" i="3"/>
  <c r="N10" i="3"/>
  <c r="N10" i="4"/>
  <c r="T10" i="4"/>
  <c r="L14" i="6"/>
  <c r="M11" i="2"/>
  <c r="M14" i="6" s="1"/>
  <c r="Q11" i="2"/>
  <c r="Q14" i="6" s="1"/>
  <c r="R11" i="2"/>
  <c r="R14" i="6" s="1"/>
  <c r="P11" i="2"/>
  <c r="P14" i="6" s="1"/>
  <c r="S11" i="2"/>
  <c r="S14" i="6" s="1"/>
  <c r="N11" i="2"/>
  <c r="N14" i="6" s="1"/>
  <c r="U14" i="6"/>
  <c r="O11" i="2"/>
  <c r="O14" i="6" s="1"/>
  <c r="Q10" i="3"/>
  <c r="P10" i="3"/>
  <c r="S10" i="3"/>
  <c r="J13" i="6"/>
  <c r="K10" i="2"/>
  <c r="K13" i="6" s="1"/>
  <c r="I13" i="6"/>
  <c r="S10" i="4"/>
  <c r="R10" i="4"/>
  <c r="Q10" i="4"/>
  <c r="P10" i="4"/>
  <c r="O10" i="4"/>
  <c r="M10" i="4"/>
  <c r="U10" i="4" s="1"/>
  <c r="O10" i="3"/>
  <c r="T10" i="3"/>
  <c r="M10" i="3"/>
  <c r="U10" i="3" s="1"/>
  <c r="F12" i="6"/>
  <c r="H9" i="4"/>
  <c r="I9" i="4" s="1"/>
  <c r="K9" i="4" s="1"/>
  <c r="G12" i="6"/>
  <c r="H9" i="2"/>
  <c r="J9" i="5"/>
  <c r="K9" i="3" l="1"/>
  <c r="L9" i="3" s="1"/>
  <c r="N9" i="3" s="1"/>
  <c r="A14" i="2"/>
  <c r="A13" i="3"/>
  <c r="A16" i="6"/>
  <c r="A13" i="5"/>
  <c r="A13" i="4"/>
  <c r="A12" i="4"/>
  <c r="A12" i="5"/>
  <c r="A12" i="3"/>
  <c r="A15" i="6"/>
  <c r="L10" i="2"/>
  <c r="L9" i="5"/>
  <c r="R9" i="5" s="1"/>
  <c r="J9" i="4"/>
  <c r="L9" i="4" s="1"/>
  <c r="Q9" i="4" s="1"/>
  <c r="I9" i="2"/>
  <c r="H12" i="6"/>
  <c r="O9" i="5" l="1"/>
  <c r="T9" i="5"/>
  <c r="N9" i="5"/>
  <c r="S9" i="4"/>
  <c r="P9" i="5"/>
  <c r="Q9" i="5"/>
  <c r="M9" i="5"/>
  <c r="U9" i="5" s="1"/>
  <c r="S9" i="5"/>
  <c r="M9" i="4"/>
  <c r="U9" i="4" s="1"/>
  <c r="O9" i="4"/>
  <c r="P9" i="4"/>
  <c r="R9" i="4"/>
  <c r="N9" i="4"/>
  <c r="T9" i="4"/>
  <c r="N10" i="2"/>
  <c r="N13" i="6" s="1"/>
  <c r="U10" i="2"/>
  <c r="U13" i="6" s="1"/>
  <c r="L13" i="6"/>
  <c r="T10" i="2"/>
  <c r="T13" i="6" s="1"/>
  <c r="R10" i="2"/>
  <c r="R13" i="6" s="1"/>
  <c r="S10" i="2"/>
  <c r="S13" i="6" s="1"/>
  <c r="O10" i="2"/>
  <c r="O13" i="6" s="1"/>
  <c r="Q10" i="2"/>
  <c r="Q13" i="6" s="1"/>
  <c r="M10" i="2"/>
  <c r="M13" i="6" s="1"/>
  <c r="P10" i="2"/>
  <c r="P13" i="6" s="1"/>
  <c r="I12" i="6"/>
  <c r="K9" i="2"/>
  <c r="K12" i="6" s="1"/>
  <c r="J9" i="2"/>
  <c r="T9" i="3"/>
  <c r="S9" i="3"/>
  <c r="R9" i="3"/>
  <c r="Q9" i="3"/>
  <c r="P9" i="3"/>
  <c r="O9" i="3"/>
  <c r="M9" i="3"/>
  <c r="U9" i="3" s="1"/>
  <c r="L9" i="2" l="1"/>
  <c r="J12" i="6"/>
  <c r="U9" i="2" l="1"/>
  <c r="U12" i="6" s="1"/>
  <c r="T9" i="2"/>
  <c r="T12" i="6" s="1"/>
  <c r="N9" i="2"/>
  <c r="N12" i="6" s="1"/>
  <c r="L12" i="6"/>
  <c r="O9" i="2"/>
  <c r="O12" i="6" s="1"/>
  <c r="M9" i="2"/>
  <c r="M12" i="6" s="1"/>
  <c r="S9" i="2"/>
  <c r="S12" i="6" s="1"/>
  <c r="R9" i="2"/>
  <c r="R12" i="6" s="1"/>
  <c r="Q9" i="2"/>
  <c r="Q12" i="6" s="1"/>
  <c r="P9" i="2"/>
  <c r="P12" i="6" s="1"/>
  <c r="W11" i="6" l="1"/>
  <c r="D11" i="6"/>
  <c r="C11" i="6"/>
  <c r="B11" i="6"/>
  <c r="A11" i="6"/>
  <c r="E8" i="5"/>
  <c r="F8" i="5" s="1"/>
  <c r="A8" i="5"/>
  <c r="E8" i="4"/>
  <c r="F8" i="4" s="1"/>
  <c r="A8" i="4"/>
  <c r="E8" i="3"/>
  <c r="F8" i="3" s="1"/>
  <c r="A8" i="3"/>
  <c r="E8" i="2"/>
  <c r="G8" i="2" l="1"/>
  <c r="F8" i="2"/>
  <c r="F11" i="6" s="1"/>
  <c r="E11" i="6"/>
  <c r="V8" i="5"/>
  <c r="G8" i="5"/>
  <c r="V8" i="4"/>
  <c r="G8" i="4"/>
  <c r="V8" i="3"/>
  <c r="G8" i="3"/>
  <c r="V8" i="2"/>
  <c r="G11" i="6" l="1"/>
  <c r="H8" i="3"/>
  <c r="I8" i="3" s="1"/>
  <c r="K8" i="3" s="1"/>
  <c r="H8" i="2"/>
  <c r="V11" i="6"/>
  <c r="H8" i="5"/>
  <c r="I8" i="5" s="1"/>
  <c r="J8" i="5" s="1"/>
  <c r="H8" i="4"/>
  <c r="I8" i="4" s="1"/>
  <c r="K8" i="4" s="1"/>
  <c r="W10" i="6"/>
  <c r="D10" i="6"/>
  <c r="C10" i="6"/>
  <c r="B10" i="6"/>
  <c r="A10" i="6"/>
  <c r="E7" i="5"/>
  <c r="V7" i="5" s="1"/>
  <c r="A7" i="5"/>
  <c r="E7" i="4"/>
  <c r="A7" i="4"/>
  <c r="E7" i="3"/>
  <c r="F7" i="3" s="1"/>
  <c r="A7" i="3"/>
  <c r="E7" i="2"/>
  <c r="F7" i="2" s="1"/>
  <c r="J8" i="3" l="1"/>
  <c r="L8" i="3" s="1"/>
  <c r="N8" i="3" s="1"/>
  <c r="G7" i="4"/>
  <c r="H7" i="4" s="1"/>
  <c r="I7" i="4" s="1"/>
  <c r="K7" i="4" s="1"/>
  <c r="F7" i="4"/>
  <c r="E10" i="6"/>
  <c r="I8" i="2"/>
  <c r="H11" i="6"/>
  <c r="K8" i="5"/>
  <c r="L8" i="5" s="1"/>
  <c r="T8" i="5" s="1"/>
  <c r="J8" i="4"/>
  <c r="L8" i="4" s="1"/>
  <c r="G7" i="5"/>
  <c r="F7" i="5"/>
  <c r="H7" i="5" s="1"/>
  <c r="I7" i="5" s="1"/>
  <c r="V7" i="4"/>
  <c r="G7" i="3"/>
  <c r="H7" i="3" s="1"/>
  <c r="I7" i="3" s="1"/>
  <c r="J7" i="3" s="1"/>
  <c r="V7" i="3"/>
  <c r="V7" i="2"/>
  <c r="G7" i="2"/>
  <c r="T8" i="4" l="1"/>
  <c r="N8" i="4"/>
  <c r="N8" i="5"/>
  <c r="P8" i="4"/>
  <c r="T8" i="3"/>
  <c r="I11" i="6"/>
  <c r="J8" i="2"/>
  <c r="K8" i="2"/>
  <c r="K11" i="6" s="1"/>
  <c r="M8" i="5"/>
  <c r="U8" i="5" s="1"/>
  <c r="S8" i="5"/>
  <c r="P8" i="5"/>
  <c r="R8" i="5"/>
  <c r="Q8" i="5"/>
  <c r="O8" i="5"/>
  <c r="Q8" i="4"/>
  <c r="M8" i="4"/>
  <c r="U8" i="4" s="1"/>
  <c r="R8" i="4"/>
  <c r="S8" i="4"/>
  <c r="O8" i="4"/>
  <c r="M8" i="3"/>
  <c r="U8" i="3" s="1"/>
  <c r="R8" i="3"/>
  <c r="O8" i="3"/>
  <c r="P8" i="3"/>
  <c r="Q8" i="3"/>
  <c r="S8" i="3"/>
  <c r="V10" i="6"/>
  <c r="K7" i="3"/>
  <c r="L7" i="3" s="1"/>
  <c r="G10" i="6"/>
  <c r="H7" i="2"/>
  <c r="F10" i="6"/>
  <c r="K7" i="5"/>
  <c r="J7" i="5"/>
  <c r="J7" i="4"/>
  <c r="L7" i="4" s="1"/>
  <c r="T7" i="3" l="1"/>
  <c r="N7" i="3"/>
  <c r="N7" i="4"/>
  <c r="T7" i="4"/>
  <c r="J11" i="6"/>
  <c r="L8" i="2"/>
  <c r="N8" i="2" s="1"/>
  <c r="M7" i="3"/>
  <c r="U7" i="3" s="1"/>
  <c r="I7" i="2"/>
  <c r="H10" i="6"/>
  <c r="L7" i="5"/>
  <c r="R7" i="4"/>
  <c r="M7" i="4"/>
  <c r="U7" i="4" s="1"/>
  <c r="P7" i="4"/>
  <c r="S7" i="4"/>
  <c r="O7" i="4"/>
  <c r="Q7" i="4"/>
  <c r="P7" i="3"/>
  <c r="O7" i="3"/>
  <c r="Q7" i="3"/>
  <c r="R7" i="3"/>
  <c r="S7" i="3"/>
  <c r="A6" i="5"/>
  <c r="T7" i="5" l="1"/>
  <c r="N7" i="5"/>
  <c r="R8" i="2"/>
  <c r="R11" i="6" s="1"/>
  <c r="U8" i="2"/>
  <c r="U11" i="6" s="1"/>
  <c r="L11" i="6"/>
  <c r="T8" i="2"/>
  <c r="T11" i="6" s="1"/>
  <c r="Q8" i="2"/>
  <c r="Q11" i="6" s="1"/>
  <c r="P8" i="2"/>
  <c r="P11" i="6" s="1"/>
  <c r="O8" i="2"/>
  <c r="O11" i="6" s="1"/>
  <c r="N11" i="6"/>
  <c r="M8" i="2"/>
  <c r="M11" i="6" s="1"/>
  <c r="S8" i="2"/>
  <c r="S11" i="6" s="1"/>
  <c r="I10" i="6"/>
  <c r="K7" i="2"/>
  <c r="K10" i="6" s="1"/>
  <c r="J7" i="2"/>
  <c r="M7" i="5"/>
  <c r="U7" i="5" s="1"/>
  <c r="S7" i="5"/>
  <c r="R7" i="5"/>
  <c r="Q7" i="5"/>
  <c r="P7" i="5"/>
  <c r="O7" i="5"/>
  <c r="B9" i="6"/>
  <c r="C9" i="6"/>
  <c r="D9" i="6"/>
  <c r="L7" i="2" l="1"/>
  <c r="J10" i="6"/>
  <c r="W16" i="2"/>
  <c r="U7" i="2" l="1"/>
  <c r="T7" i="2"/>
  <c r="T10" i="6" s="1"/>
  <c r="L10" i="6"/>
  <c r="S7" i="2"/>
  <c r="S10" i="6" s="1"/>
  <c r="R7" i="2"/>
  <c r="R10" i="6" s="1"/>
  <c r="P7" i="2"/>
  <c r="P10" i="6" s="1"/>
  <c r="O7" i="2"/>
  <c r="O10" i="6" s="1"/>
  <c r="U10" i="6"/>
  <c r="M7" i="2"/>
  <c r="M10" i="6" s="1"/>
  <c r="N7" i="2"/>
  <c r="N10" i="6" s="1"/>
  <c r="Q7" i="2"/>
  <c r="Q10" i="6" s="1"/>
  <c r="W16" i="5"/>
  <c r="B16" i="3" l="1"/>
  <c r="A9" i="6" l="1"/>
  <c r="D16" i="5" l="1"/>
  <c r="C16" i="5"/>
  <c r="B16" i="5"/>
  <c r="E6" i="5"/>
  <c r="E16" i="5" s="1"/>
  <c r="A6" i="3"/>
  <c r="A6" i="4"/>
  <c r="W16" i="4"/>
  <c r="D16" i="4"/>
  <c r="C16" i="4"/>
  <c r="B16" i="4"/>
  <c r="E6" i="4"/>
  <c r="W16" i="3"/>
  <c r="D16" i="3"/>
  <c r="C16" i="3"/>
  <c r="E6" i="3"/>
  <c r="E16" i="3" s="1"/>
  <c r="E16" i="4" l="1"/>
  <c r="F6" i="4"/>
  <c r="F16" i="4" s="1"/>
  <c r="G6" i="5"/>
  <c r="G16" i="5" s="1"/>
  <c r="V6" i="5"/>
  <c r="V16" i="5" s="1"/>
  <c r="F6" i="5"/>
  <c r="F16" i="5" s="1"/>
  <c r="V6" i="4"/>
  <c r="V16" i="4" s="1"/>
  <c r="G6" i="4"/>
  <c r="G16" i="4" s="1"/>
  <c r="V6" i="3"/>
  <c r="V16" i="3" s="1"/>
  <c r="F6" i="3"/>
  <c r="F16" i="3" s="1"/>
  <c r="G6" i="3"/>
  <c r="G16" i="3" s="1"/>
  <c r="H6" i="5" l="1"/>
  <c r="H16" i="5" s="1"/>
  <c r="H6" i="4"/>
  <c r="H6" i="3"/>
  <c r="I6" i="5" l="1"/>
  <c r="J6" i="5" s="1"/>
  <c r="I6" i="4"/>
  <c r="H16" i="4"/>
  <c r="I6" i="3"/>
  <c r="H16" i="3"/>
  <c r="K6" i="5" l="1"/>
  <c r="K16" i="5" s="1"/>
  <c r="I16" i="5"/>
  <c r="J16" i="5"/>
  <c r="J6" i="4"/>
  <c r="I16" i="4"/>
  <c r="K6" i="4"/>
  <c r="K16" i="4" s="1"/>
  <c r="K6" i="3"/>
  <c r="K16" i="3" s="1"/>
  <c r="J6" i="3"/>
  <c r="I16" i="3"/>
  <c r="L6" i="5" l="1"/>
  <c r="Q6" i="5"/>
  <c r="Q16" i="5" s="1"/>
  <c r="O6" i="5"/>
  <c r="O16" i="5" s="1"/>
  <c r="L16" i="5"/>
  <c r="P6" i="5"/>
  <c r="P16" i="5" s="1"/>
  <c r="S6" i="5"/>
  <c r="S16" i="5" s="1"/>
  <c r="R6" i="5"/>
  <c r="R16" i="5" s="1"/>
  <c r="M6" i="5"/>
  <c r="J16" i="4"/>
  <c r="L6" i="4"/>
  <c r="J16" i="3"/>
  <c r="L6" i="3"/>
  <c r="N6" i="3" s="1"/>
  <c r="N6" i="5" l="1"/>
  <c r="N16" i="5" s="1"/>
  <c r="T6" i="5"/>
  <c r="T16" i="5" s="1"/>
  <c r="T6" i="4"/>
  <c r="N6" i="4"/>
  <c r="N16" i="4" s="1"/>
  <c r="T6" i="3"/>
  <c r="T16" i="3" s="1"/>
  <c r="Q6" i="4"/>
  <c r="Q16" i="4" s="1"/>
  <c r="O6" i="3"/>
  <c r="O16" i="3" s="1"/>
  <c r="M16" i="5"/>
  <c r="U6" i="5"/>
  <c r="U16" i="5" s="1"/>
  <c r="R6" i="4"/>
  <c r="R16" i="4" s="1"/>
  <c r="L16" i="4"/>
  <c r="P6" i="4"/>
  <c r="P16" i="4" s="1"/>
  <c r="M6" i="4"/>
  <c r="O6" i="4"/>
  <c r="O16" i="4" s="1"/>
  <c r="S6" i="4"/>
  <c r="S16" i="4" s="1"/>
  <c r="L16" i="3"/>
  <c r="P6" i="3"/>
  <c r="P16" i="3" s="1"/>
  <c r="R6" i="3"/>
  <c r="R16" i="3" s="1"/>
  <c r="Q6" i="3"/>
  <c r="Q16" i="3" s="1"/>
  <c r="N16" i="3"/>
  <c r="M6" i="3"/>
  <c r="S6" i="3"/>
  <c r="S16" i="3" s="1"/>
  <c r="M16" i="4" l="1"/>
  <c r="U6" i="4"/>
  <c r="U16" i="4" s="1"/>
  <c r="M16" i="3"/>
  <c r="U6" i="3"/>
  <c r="U16" i="3" s="1"/>
  <c r="C16" i="2"/>
  <c r="D16" i="2"/>
  <c r="E6" i="2" l="1"/>
  <c r="F6" i="2" s="1"/>
  <c r="E16" i="2" l="1"/>
  <c r="F16" i="2" l="1"/>
  <c r="V6" i="2"/>
  <c r="G6" i="2"/>
  <c r="G16" i="2" l="1"/>
  <c r="H6" i="2"/>
  <c r="H16" i="2" l="1"/>
  <c r="I6" i="2"/>
  <c r="I16" i="2" l="1"/>
  <c r="K6" i="2"/>
  <c r="J6" i="2"/>
  <c r="J16" i="2" l="1"/>
  <c r="K16" i="2"/>
  <c r="L6" i="2"/>
  <c r="N6" i="2" s="1"/>
  <c r="B16" i="2"/>
  <c r="B19" i="6" s="1"/>
  <c r="U6" i="2" l="1"/>
  <c r="U16" i="2" s="1"/>
  <c r="T6" i="2"/>
  <c r="O6" i="2"/>
  <c r="L16" i="2"/>
  <c r="Q6" i="2"/>
  <c r="V16" i="2"/>
  <c r="R6" i="2"/>
  <c r="P6" i="2"/>
  <c r="M6" i="2"/>
  <c r="S6" i="2"/>
  <c r="T16" i="2" l="1"/>
  <c r="S16" i="2"/>
  <c r="M16" i="2"/>
  <c r="Q16" i="2"/>
  <c r="P16" i="2"/>
  <c r="N16" i="2"/>
  <c r="R16" i="2"/>
  <c r="O16" i="2"/>
  <c r="I9" i="6" l="1"/>
  <c r="S9" i="6"/>
  <c r="V9" i="6"/>
  <c r="E9" i="6"/>
  <c r="W9" i="6"/>
  <c r="W19" i="6" s="1"/>
  <c r="N9" i="6"/>
  <c r="R9" i="6"/>
  <c r="Q9" i="6"/>
  <c r="U9" i="6"/>
  <c r="U19" i="6" s="1"/>
  <c r="F9" i="6"/>
  <c r="P9" i="6"/>
  <c r="J9" i="6"/>
  <c r="T9" i="6"/>
  <c r="M9" i="6"/>
  <c r="G9" i="6"/>
  <c r="H9" i="6"/>
  <c r="L9" i="6"/>
  <c r="O9" i="6"/>
  <c r="K9" i="6"/>
  <c r="C19" i="6" l="1"/>
  <c r="G19" i="6"/>
  <c r="E19" i="6"/>
  <c r="H19" i="6"/>
  <c r="V19" i="6"/>
  <c r="N19" i="6"/>
  <c r="P19" i="6"/>
  <c r="K19" i="6"/>
  <c r="L19" i="6"/>
  <c r="J19" i="6"/>
  <c r="F19" i="6"/>
  <c r="D19" i="6"/>
  <c r="I19" i="6"/>
  <c r="R19" i="6"/>
  <c r="S19" i="6"/>
  <c r="Q19" i="6"/>
  <c r="O19" i="6"/>
  <c r="M19" i="6"/>
  <c r="T16" i="4" l="1"/>
  <c r="T19" i="6" l="1"/>
</calcChain>
</file>

<file path=xl/sharedStrings.xml><?xml version="1.0" encoding="utf-8"?>
<sst xmlns="http://schemas.openxmlformats.org/spreadsheetml/2006/main" count="139" uniqueCount="39">
  <si>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</si>
  <si>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</si>
  <si>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</si>
  <si>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</si>
  <si>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</si>
  <si>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</si>
  <si>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</si>
  <si>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</si>
  <si>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</si>
  <si>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</si>
  <si>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</si>
  <si>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</si>
  <si>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</si>
  <si>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</si>
  <si>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</si>
  <si>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</si>
  <si>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</si>
  <si>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</si>
  <si>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</si>
  <si>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</si>
  <si>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</si>
  <si>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</si>
  <si>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</si>
  <si>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</si>
  <si>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</si>
  <si>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</si>
  <si>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</si>
  <si>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</si>
  <si>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</si>
  <si>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</si>
  <si>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</si>
  <si>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</si>
  <si>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`</t>
  </si>
  <si>
    <t>2 CITIES</t>
  </si>
  <si>
    <t>* 6 days to start the fiscal year</t>
  </si>
  <si>
    <t>FY 2024</t>
  </si>
  <si>
    <t>FISCAL YEAR 2025</t>
  </si>
  <si>
    <t>7/6/2024 *</t>
  </si>
  <si>
    <t>FISCAL YEAR TO DATE AS OF AUGUST 31,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</si>
</sst>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22"/>
  <sheetViews>
    <sheetView tabSelected="1" zoomScaleNormal="100" workbookViewId="0">
      <pane ySplit="7" topLeftCell="A8" activePane="bottomLeft" state="frozen"/>
      <selection pane="bottomLeft" activeCell="A19" sqref="A19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28515625" customWidth="1"/>
    <col min="5" max="5" width="17.28515625" bestFit="1" customWidth="1"/>
    <col min="6" max="6" width="16" customWidth="1"/>
    <col min="7" max="7" width="14.5703125" customWidth="1"/>
    <col min="8" max="8" width="17.28515625" customWidth="1"/>
    <col min="9" max="9" width="14.7109375" hidden="1" customWidth="1"/>
    <col min="10" max="10" width="14.85546875" customWidth="1"/>
    <col min="11" max="11" width="13.85546875" customWidth="1"/>
    <col min="12" max="12" width="17.28515625" bestFit="1" customWidth="1"/>
    <col min="13" max="13" width="17.28515625" customWidth="1"/>
    <col min="14" max="14" width="15.85546875" customWidth="1"/>
    <col min="15" max="15" width="16.140625" bestFit="1" customWidth="1"/>
    <col min="16" max="16" width="15.85546875" customWidth="1"/>
    <col min="17" max="17" width="15.5703125" customWidth="1"/>
    <col min="18" max="18" width="17" customWidth="1"/>
    <col min="19" max="19" width="15.85546875" customWidth="1"/>
    <col min="20" max="20" width="15" customWidth="1"/>
    <col min="21" max="21" width="14.85546875" customWidth="1"/>
    <col min="22" max="23" width="13.7109375" customWidth="1"/>
  </cols>
  <sheetData>
    <row r="1" spans="1:96" s="17" customFormat="1" ht="18.75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96" s="14" customFormat="1" ht="15" customHeight="1" x14ac:dyDescent="0.25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96" s="14" customFormat="1" ht="15" customHeight="1" x14ac:dyDescent="0.25">
      <c r="A3" s="20" t="s">
        <v>38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96" s="14" customFormat="1" ht="15" customHeight="1" x14ac:dyDescent="0.25">
      <c r="A4" s="20" t="s">
        <v>36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7/6/2024 *</v>
      </c>
      <c r="B9" s="7">
        <f>SUM('Mountaineer:Charles Town'!B6)</f>
        <v>110401981.57999998</v>
      </c>
      <c r="C9" s="7">
        <f>SUM('Mountaineer:Charles Town'!C6)</f>
        <v>99221481.830000013</v>
      </c>
      <c r="D9" s="7">
        <f>SUM('Mountaineer:Charles Town'!D6)</f>
        <v>1922289.93</v>
      </c>
      <c r="E9" s="7">
        <f>SUM('Mountaineer:Charles Town'!E6)</f>
        <v>9258209.8199999891</v>
      </c>
      <c r="F9" s="7">
        <f>SUM('Mountaineer:Charles Town'!F6)</f>
        <v>370328.38</v>
      </c>
      <c r="G9" s="7">
        <f>SUM('Mountaineer:Charles Town'!G6)</f>
        <v>0</v>
      </c>
      <c r="H9" s="7">
        <f>SUM('Mountaineer:Charles Town'!H6)</f>
        <v>8887881.4399999902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8887881.4399999902</v>
      </c>
      <c r="M9" s="7">
        <f>SUM('Mountaineer:Charles Town'!M6)</f>
        <v>4132864.88</v>
      </c>
      <c r="N9" s="7">
        <f>SUM('Mountaineer:Charles Town'!N6)</f>
        <v>2666364.42</v>
      </c>
      <c r="O9" s="7">
        <f>SUM('Mountaineer:Charles Town'!O6)</f>
        <v>1142092.76</v>
      </c>
      <c r="P9" s="7">
        <f>SUM('Mountaineer:Charles Town'!P6)</f>
        <v>559936.53</v>
      </c>
      <c r="Q9" s="7">
        <f>SUM('Mountaineer:Charles Town'!Q6)</f>
        <v>88878.81</v>
      </c>
      <c r="R9" s="7">
        <f>SUM('Mountaineer:Charles Town'!R6)</f>
        <v>59993.210000000006</v>
      </c>
      <c r="S9" s="7">
        <f>SUM('Mountaineer:Charles Town'!S6)</f>
        <v>59993.210000000006</v>
      </c>
      <c r="T9" s="7">
        <f>SUM('Mountaineer:Charles Town'!T6)</f>
        <v>162193.20000000001</v>
      </c>
      <c r="U9" s="7">
        <f>SUM('Mountaineer:Charles Town'!U6)</f>
        <v>15564.42</v>
      </c>
      <c r="V9" s="7">
        <f>SUM('Mountaineer:Charles Town'!V6)</f>
        <v>7657.6748961545891</v>
      </c>
      <c r="W9" s="5">
        <f>SUM('Mountaineer:Charles Town'!W6)</f>
        <v>4408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45486</v>
      </c>
      <c r="B10" s="7">
        <f>SUM('Mountaineer:Charles Town'!B7)</f>
        <v>109005604.58</v>
      </c>
      <c r="C10" s="7">
        <f>SUM('Mountaineer:Charles Town'!C7)</f>
        <v>98504715.120000005</v>
      </c>
      <c r="D10" s="7">
        <f>SUM('Mountaineer:Charles Town'!D7)</f>
        <v>1849733.11</v>
      </c>
      <c r="E10" s="7">
        <f>SUM('Mountaineer:Charles Town'!E7)</f>
        <v>8651156.3499999978</v>
      </c>
      <c r="F10" s="7">
        <f>SUM('Mountaineer:Charles Town'!F7)</f>
        <v>346046.29000000004</v>
      </c>
      <c r="G10" s="7">
        <f>SUM('Mountaineer:Charles Town'!G7)</f>
        <v>0</v>
      </c>
      <c r="H10" s="7">
        <f>SUM('Mountaineer:Charles Town'!H7)</f>
        <v>8305110.0599999987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8305110.0599999987</v>
      </c>
      <c r="M10" s="7">
        <f>SUM('Mountaineer:Charles Town'!M7)</f>
        <v>3861876.17</v>
      </c>
      <c r="N10" s="7">
        <f>SUM('Mountaineer:Charles Town'!N7)</f>
        <v>2491533.0099999998</v>
      </c>
      <c r="O10" s="7">
        <f>SUM('Mountaineer:Charles Town'!O7)</f>
        <v>1067206.6400000001</v>
      </c>
      <c r="P10" s="7">
        <f>SUM('Mountaineer:Charles Town'!P7)</f>
        <v>523221.93999999994</v>
      </c>
      <c r="Q10" s="7">
        <f>SUM('Mountaineer:Charles Town'!Q7)</f>
        <v>83051.100000000006</v>
      </c>
      <c r="R10" s="7">
        <f>SUM('Mountaineer:Charles Town'!R7)</f>
        <v>56059.5</v>
      </c>
      <c r="S10" s="7">
        <f>SUM('Mountaineer:Charles Town'!S7)</f>
        <v>56059.5</v>
      </c>
      <c r="T10" s="7">
        <f>SUM('Mountaineer:Charles Town'!T7)</f>
        <v>151202.24000000002</v>
      </c>
      <c r="U10" s="7">
        <f>SUM('Mountaineer:Charles Town'!U7)</f>
        <v>14899.960000000001</v>
      </c>
      <c r="V10" s="7">
        <f>SUM('Mountaineer:Charles Town'!V7)</f>
        <v>7202.0157905135211</v>
      </c>
      <c r="W10" s="5">
        <f>SUM('Mountaineer:Charles Town'!W7)</f>
        <v>4379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45493</v>
      </c>
      <c r="B11" s="7">
        <f>SUM('Mountaineer:Charles Town'!B8)</f>
        <v>111560479.67</v>
      </c>
      <c r="C11" s="7">
        <f>SUM('Mountaineer:Charles Town'!C8)</f>
        <v>100394868.75999999</v>
      </c>
      <c r="D11" s="7">
        <f>SUM('Mountaineer:Charles Town'!D8)</f>
        <v>1776724.44</v>
      </c>
      <c r="E11" s="7">
        <f>SUM('Mountaineer:Charles Town'!E8)</f>
        <v>9388886.4700000081</v>
      </c>
      <c r="F11" s="7">
        <f>SUM('Mountaineer:Charles Town'!F8)</f>
        <v>375555.45999999996</v>
      </c>
      <c r="G11" s="7">
        <f>SUM('Mountaineer:Charles Town'!G8)</f>
        <v>0</v>
      </c>
      <c r="H11" s="7">
        <f>SUM('Mountaineer:Charles Town'!H8)</f>
        <v>9013331.0100000091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9013331.0100000091</v>
      </c>
      <c r="M11" s="7">
        <f>SUM('Mountaineer:Charles Town'!M8)</f>
        <v>4191198.92</v>
      </c>
      <c r="N11" s="7">
        <f>SUM('Mountaineer:Charles Town'!N8)</f>
        <v>2703999.3200000003</v>
      </c>
      <c r="O11" s="7">
        <f>SUM('Mountaineer:Charles Town'!O8)</f>
        <v>1158213.03</v>
      </c>
      <c r="P11" s="7">
        <f>SUM('Mountaineer:Charles Town'!P8)</f>
        <v>567839.85</v>
      </c>
      <c r="Q11" s="7">
        <f>SUM('Mountaineer:Charles Town'!Q8)</f>
        <v>90133.31</v>
      </c>
      <c r="R11" s="7">
        <f>SUM('Mountaineer:Charles Town'!R8)</f>
        <v>60839.98</v>
      </c>
      <c r="S11" s="7">
        <f>SUM('Mountaineer:Charles Town'!S8)</f>
        <v>60839.98</v>
      </c>
      <c r="T11" s="7">
        <f>SUM('Mountaineer:Charles Town'!T8)</f>
        <v>164480.41999999998</v>
      </c>
      <c r="U11" s="7">
        <f>SUM('Mountaineer:Charles Town'!U8)</f>
        <v>15786.2</v>
      </c>
      <c r="V11" s="7">
        <f>SUM('Mountaineer:Charles Town'!V8)</f>
        <v>7948.797408345139</v>
      </c>
      <c r="W11" s="5">
        <f>SUM('Mountaineer:Charles Town'!W8)</f>
        <v>4283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45500</v>
      </c>
      <c r="B12" s="7">
        <f>SUM('Mountaineer:Charles Town'!B9)</f>
        <v>111507472.31</v>
      </c>
      <c r="C12" s="7">
        <f>SUM('Mountaineer:Charles Town'!C9)</f>
        <v>100110487.36</v>
      </c>
      <c r="D12" s="7">
        <f>SUM('Mountaineer:Charles Town'!D9)</f>
        <v>1757995.51</v>
      </c>
      <c r="E12" s="7">
        <f>SUM('Mountaineer:Charles Town'!E9)</f>
        <v>9638989.4400000032</v>
      </c>
      <c r="F12" s="7">
        <f>SUM('Mountaineer:Charles Town'!F9)</f>
        <v>385559.58999999997</v>
      </c>
      <c r="G12" s="7">
        <f>SUM('Mountaineer:Charles Town'!G9)</f>
        <v>0</v>
      </c>
      <c r="H12" s="7">
        <f>SUM('Mountaineer:Charles Town'!H9)</f>
        <v>9253429.8500000034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9253429.8500000034</v>
      </c>
      <c r="M12" s="7">
        <f>SUM('Mountaineer:Charles Town'!M9)</f>
        <v>4302844.8800000008</v>
      </c>
      <c r="N12" s="7">
        <f>SUM('Mountaineer:Charles Town'!N9)</f>
        <v>2776028.9699999997</v>
      </c>
      <c r="O12" s="7">
        <f>SUM('Mountaineer:Charles Town'!O9)</f>
        <v>1189065.73</v>
      </c>
      <c r="P12" s="7">
        <f>SUM('Mountaineer:Charles Town'!P9)</f>
        <v>582966.07000000007</v>
      </c>
      <c r="Q12" s="7">
        <f>SUM('Mountaineer:Charles Town'!Q9)</f>
        <v>92534.3</v>
      </c>
      <c r="R12" s="7">
        <f>SUM('Mountaineer:Charles Town'!R9)</f>
        <v>62460.649999999994</v>
      </c>
      <c r="S12" s="7">
        <f>SUM('Mountaineer:Charles Town'!S9)</f>
        <v>62460.649999999994</v>
      </c>
      <c r="T12" s="7">
        <f>SUM('Mountaineer:Charles Town'!T9)</f>
        <v>169874.8</v>
      </c>
      <c r="U12" s="7">
        <f>SUM('Mountaineer:Charles Town'!U9)</f>
        <v>15193.8</v>
      </c>
      <c r="V12" s="7">
        <f>SUM('Mountaineer:Charles Town'!V9)</f>
        <v>8135.6163532781939</v>
      </c>
      <c r="W12" s="5">
        <f>SUM('Mountaineer:Charles Town'!W9)</f>
        <v>4278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45507</v>
      </c>
      <c r="B13" s="7">
        <f>SUM('Mountaineer:Charles Town'!B10)</f>
        <v>114480779.69000001</v>
      </c>
      <c r="C13" s="7">
        <f>SUM('Mountaineer:Charles Town'!C10)</f>
        <v>103486355.40000001</v>
      </c>
      <c r="D13" s="7">
        <f>SUM('Mountaineer:Charles Town'!D10)</f>
        <v>1892808.27</v>
      </c>
      <c r="E13" s="7">
        <f>SUM('Mountaineer:Charles Town'!E10)</f>
        <v>9101616.020000007</v>
      </c>
      <c r="F13" s="7">
        <f>SUM('Mountaineer:Charles Town'!F10)</f>
        <v>364064.66000000003</v>
      </c>
      <c r="G13" s="7">
        <f>SUM('Mountaineer:Charles Town'!G10)</f>
        <v>0</v>
      </c>
      <c r="H13" s="7">
        <f>SUM('Mountaineer:Charles Town'!H10)</f>
        <v>8737551.360000005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8737551.360000005</v>
      </c>
      <c r="M13" s="7">
        <f>SUM('Mountaineer:Charles Town'!M10)</f>
        <v>4062961.38</v>
      </c>
      <c r="N13" s="7">
        <f>SUM('Mountaineer:Charles Town'!N10)</f>
        <v>2621265.4000000004</v>
      </c>
      <c r="O13" s="7">
        <f>SUM('Mountaineer:Charles Town'!O10)</f>
        <v>1122775.3500000001</v>
      </c>
      <c r="P13" s="7">
        <f>SUM('Mountaineer:Charles Town'!P10)</f>
        <v>550465.74</v>
      </c>
      <c r="Q13" s="7">
        <f>SUM('Mountaineer:Charles Town'!Q10)</f>
        <v>87375.510000000009</v>
      </c>
      <c r="R13" s="7">
        <f>SUM('Mountaineer:Charles Town'!R10)</f>
        <v>58978.479999999996</v>
      </c>
      <c r="S13" s="7">
        <f>SUM('Mountaineer:Charles Town'!S10)</f>
        <v>58978.479999999996</v>
      </c>
      <c r="T13" s="7">
        <f>SUM('Mountaineer:Charles Town'!T10)</f>
        <v>160394.79999999999</v>
      </c>
      <c r="U13" s="7">
        <f>SUM('Mountaineer:Charles Town'!U10)</f>
        <v>14356.22</v>
      </c>
      <c r="V13" s="7">
        <f>SUM('Mountaineer:Charles Town'!V10)</f>
        <v>7724.3009830878564</v>
      </c>
      <c r="W13" s="5">
        <f>SUM('Mountaineer:Charles Town'!W10)</f>
        <v>4307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45514</v>
      </c>
      <c r="B14" s="7">
        <f>SUM('Mountaineer:Charles Town'!B11)</f>
        <v>108687443.34999999</v>
      </c>
      <c r="C14" s="7">
        <f>SUM('Mountaineer:Charles Town'!C11)</f>
        <v>97893003.039999992</v>
      </c>
      <c r="D14" s="7">
        <f>SUM('Mountaineer:Charles Town'!D11)</f>
        <v>1779854.52</v>
      </c>
      <c r="E14" s="7">
        <f>SUM('Mountaineer:Charles Town'!E11)</f>
        <v>9014585.7900000103</v>
      </c>
      <c r="F14" s="7">
        <f>SUM('Mountaineer:Charles Town'!F11)</f>
        <v>360583.44</v>
      </c>
      <c r="G14" s="7">
        <f>SUM('Mountaineer:Charles Town'!G11)</f>
        <v>0</v>
      </c>
      <c r="H14" s="7">
        <f>SUM('Mountaineer:Charles Town'!H11)</f>
        <v>8654002.3500000089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8654002.3500000089</v>
      </c>
      <c r="M14" s="7">
        <f>SUM('Mountaineer:Charles Town'!M11)</f>
        <v>4024111.1</v>
      </c>
      <c r="N14" s="7">
        <f>SUM('Mountaineer:Charles Town'!N11)</f>
        <v>2596200.69</v>
      </c>
      <c r="O14" s="7">
        <f>SUM('Mountaineer:Charles Town'!O11)</f>
        <v>1112039.3</v>
      </c>
      <c r="P14" s="7">
        <f>SUM('Mountaineer:Charles Town'!P11)</f>
        <v>545202.16</v>
      </c>
      <c r="Q14" s="7">
        <f>SUM('Mountaineer:Charles Town'!Q11)</f>
        <v>86540.02</v>
      </c>
      <c r="R14" s="7">
        <f>SUM('Mountaineer:Charles Town'!R11)</f>
        <v>58414.520000000004</v>
      </c>
      <c r="S14" s="7">
        <f>SUM('Mountaineer:Charles Town'!S11)</f>
        <v>58414.520000000004</v>
      </c>
      <c r="T14" s="7">
        <f>SUM('Mountaineer:Charles Town'!T11)</f>
        <v>158056.41999999998</v>
      </c>
      <c r="U14" s="7">
        <f>SUM('Mountaineer:Charles Town'!U11)</f>
        <v>15023.62</v>
      </c>
      <c r="V14" s="7">
        <f>SUM('Mountaineer:Charles Town'!V11)</f>
        <v>7550.3333771431298</v>
      </c>
      <c r="W14" s="5">
        <f>SUM('Mountaineer:Charles Town'!W11)</f>
        <v>4410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45521</v>
      </c>
      <c r="B15" s="7">
        <f>SUM('Mountaineer:Charles Town'!B12)</f>
        <v>109403298.94</v>
      </c>
      <c r="C15" s="7">
        <f>SUM('Mountaineer:Charles Town'!C12)</f>
        <v>98390816.659999996</v>
      </c>
      <c r="D15" s="7">
        <f>SUM('Mountaineer:Charles Town'!D12)</f>
        <v>1865492.4000000001</v>
      </c>
      <c r="E15" s="7">
        <f>SUM('Mountaineer:Charles Town'!E12)</f>
        <v>9146989.8800000008</v>
      </c>
      <c r="F15" s="7">
        <f>SUM('Mountaineer:Charles Town'!F12)</f>
        <v>365879.6</v>
      </c>
      <c r="G15" s="7">
        <f>SUM('Mountaineer:Charles Town'!G12)</f>
        <v>0</v>
      </c>
      <c r="H15" s="7">
        <f>SUM('Mountaineer:Charles Town'!H12)</f>
        <v>8781110.2800000012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8781110.2800000012</v>
      </c>
      <c r="M15" s="7">
        <f>SUM('Mountaineer:Charles Town'!M12)</f>
        <v>4083216.28</v>
      </c>
      <c r="N15" s="7">
        <f>SUM('Mountaineer:Charles Town'!N12)</f>
        <v>2634333.13</v>
      </c>
      <c r="O15" s="7">
        <f>SUM('Mountaineer:Charles Town'!O12)</f>
        <v>1128372.67</v>
      </c>
      <c r="P15" s="7">
        <f>SUM('Mountaineer:Charles Town'!P12)</f>
        <v>553209.93999999994</v>
      </c>
      <c r="Q15" s="7">
        <f>SUM('Mountaineer:Charles Town'!Q12)</f>
        <v>87811.1</v>
      </c>
      <c r="R15" s="7">
        <f>SUM('Mountaineer:Charles Town'!R12)</f>
        <v>59272.479999999996</v>
      </c>
      <c r="S15" s="7">
        <f>SUM('Mountaineer:Charles Town'!S12)</f>
        <v>59272.479999999996</v>
      </c>
      <c r="T15" s="7">
        <f>SUM('Mountaineer:Charles Town'!T12)</f>
        <v>161136.18</v>
      </c>
      <c r="U15" s="7">
        <f>SUM('Mountaineer:Charles Town'!U12)</f>
        <v>14486.02</v>
      </c>
      <c r="V15" s="7">
        <f>SUM('Mountaineer:Charles Town'!V12)</f>
        <v>7573.3663994516819</v>
      </c>
      <c r="W15" s="5">
        <f>SUM('Mountaineer:Charles Town'!W12)</f>
        <v>4412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45528</v>
      </c>
      <c r="B16" s="7">
        <f>SUM('Mountaineer:Charles Town'!B13)</f>
        <v>107617971.77</v>
      </c>
      <c r="C16" s="7">
        <f>SUM('Mountaineer:Charles Town'!C13)</f>
        <v>96746231.659999996</v>
      </c>
      <c r="D16" s="7">
        <f>SUM('Mountaineer:Charles Town'!D13)</f>
        <v>1817696.2100000002</v>
      </c>
      <c r="E16" s="7">
        <f>SUM('Mountaineer:Charles Town'!E13)</f>
        <v>9054043.8999999966</v>
      </c>
      <c r="F16" s="7">
        <f>SUM('Mountaineer:Charles Town'!F13)</f>
        <v>362161.75</v>
      </c>
      <c r="G16" s="7">
        <f>SUM('Mountaineer:Charles Town'!G13)</f>
        <v>0</v>
      </c>
      <c r="H16" s="7">
        <f>SUM('Mountaineer:Charles Town'!H13)</f>
        <v>8691882.1499999985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8691882.1499999985</v>
      </c>
      <c r="M16" s="7">
        <f>SUM('Mountaineer:Charles Town'!M13)</f>
        <v>4041725.2</v>
      </c>
      <c r="N16" s="7">
        <f>SUM('Mountaineer:Charles Town'!N13)</f>
        <v>2607564.7000000002</v>
      </c>
      <c r="O16" s="7">
        <f>SUM('Mountaineer:Charles Town'!O13)</f>
        <v>1116906.8500000001</v>
      </c>
      <c r="P16" s="7">
        <f>SUM('Mountaineer:Charles Town'!P13)</f>
        <v>547588.57000000007</v>
      </c>
      <c r="Q16" s="7">
        <f>SUM('Mountaineer:Charles Town'!Q13)</f>
        <v>86918.81</v>
      </c>
      <c r="R16" s="7">
        <f>SUM('Mountaineer:Charles Town'!R13)</f>
        <v>58670.2</v>
      </c>
      <c r="S16" s="7">
        <f>SUM('Mountaineer:Charles Town'!S13)</f>
        <v>58670.2</v>
      </c>
      <c r="T16" s="7">
        <f>SUM('Mountaineer:Charles Town'!T13)</f>
        <v>159875.16</v>
      </c>
      <c r="U16" s="7">
        <f>SUM('Mountaineer:Charles Town'!U13)</f>
        <v>13962.46</v>
      </c>
      <c r="V16" s="7">
        <f>SUM('Mountaineer:Charles Town'!V13)</f>
        <v>7416.4357690932329</v>
      </c>
      <c r="W16" s="5">
        <f>SUM('Mountaineer:Charles Town'!W13)</f>
        <v>4401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45535</v>
      </c>
      <c r="B17" s="7">
        <f>SUM('Mountaineer:Charles Town'!B14)</f>
        <v>113881859.22000001</v>
      </c>
      <c r="C17" s="7">
        <f>SUM('Mountaineer:Charles Town'!C14)</f>
        <v>102679193.83000001</v>
      </c>
      <c r="D17" s="7">
        <f>SUM('Mountaineer:Charles Town'!D14)</f>
        <v>1762267.91</v>
      </c>
      <c r="E17" s="7">
        <f>SUM('Mountaineer:Charles Town'!E14)</f>
        <v>9440397.480000006</v>
      </c>
      <c r="F17" s="7">
        <f>SUM('Mountaineer:Charles Town'!F14)</f>
        <v>377615.91000000003</v>
      </c>
      <c r="G17" s="7">
        <f>SUM('Mountaineer:Charles Town'!G14)</f>
        <v>0</v>
      </c>
      <c r="H17" s="7">
        <f>SUM('Mountaineer:Charles Town'!H14)</f>
        <v>9062781.5700000059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9062781.5700000059</v>
      </c>
      <c r="M17" s="7">
        <f>SUM('Mountaineer:Charles Town'!M14)</f>
        <v>4214193.4400000004</v>
      </c>
      <c r="N17" s="7">
        <f>SUM('Mountaineer:Charles Town'!N14)</f>
        <v>2718834.4699999997</v>
      </c>
      <c r="O17" s="7">
        <f>SUM('Mountaineer:Charles Town'!O14)</f>
        <v>1164567.42</v>
      </c>
      <c r="P17" s="7">
        <f>SUM('Mountaineer:Charles Town'!P14)</f>
        <v>570955.24</v>
      </c>
      <c r="Q17" s="7">
        <f>SUM('Mountaineer:Charles Town'!Q14)</f>
        <v>90627.819999999992</v>
      </c>
      <c r="R17" s="7">
        <f>SUM('Mountaineer:Charles Town'!R14)</f>
        <v>61173.770000000004</v>
      </c>
      <c r="S17" s="7">
        <f>SUM('Mountaineer:Charles Town'!S14)</f>
        <v>61173.770000000004</v>
      </c>
      <c r="T17" s="7">
        <f>SUM('Mountaineer:Charles Town'!T14)</f>
        <v>166118.71999999997</v>
      </c>
      <c r="U17" s="7">
        <f>SUM('Mountaineer:Charles Town'!U14)</f>
        <v>15136.92</v>
      </c>
      <c r="V17" s="7">
        <f>SUM('Mountaineer:Charles Town'!V14)</f>
        <v>7812.6180057606416</v>
      </c>
      <c r="W17" s="5">
        <f>SUM('Mountaineer:Charles Town'!W14)</f>
        <v>4406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9" spans="1:96" ht="15" customHeight="1" thickBot="1" x14ac:dyDescent="0.3">
      <c r="B19" s="11">
        <f t="shared" ref="B19:U19" si="0">SUM(B9:B18)</f>
        <v>996546891.11000013</v>
      </c>
      <c r="C19" s="11">
        <f t="shared" si="0"/>
        <v>897427153.65999997</v>
      </c>
      <c r="D19" s="11">
        <f t="shared" si="0"/>
        <v>16424862.300000001</v>
      </c>
      <c r="E19" s="11">
        <f t="shared" si="0"/>
        <v>82694875.150000021</v>
      </c>
      <c r="F19" s="11">
        <f t="shared" si="0"/>
        <v>3307795.08</v>
      </c>
      <c r="G19" s="11">
        <f t="shared" si="0"/>
        <v>0</v>
      </c>
      <c r="H19" s="11">
        <f t="shared" si="0"/>
        <v>79387080.070000023</v>
      </c>
      <c r="I19" s="11">
        <f t="shared" si="0"/>
        <v>0</v>
      </c>
      <c r="J19" s="11">
        <f t="shared" si="0"/>
        <v>0</v>
      </c>
      <c r="K19" s="11">
        <f t="shared" si="0"/>
        <v>0</v>
      </c>
      <c r="L19" s="11">
        <f t="shared" si="0"/>
        <v>79387080.070000023</v>
      </c>
      <c r="M19" s="11">
        <f t="shared" si="0"/>
        <v>36914992.25</v>
      </c>
      <c r="N19" s="11">
        <f t="shared" si="0"/>
        <v>23816124.109999996</v>
      </c>
      <c r="O19" s="11">
        <f t="shared" si="0"/>
        <v>10201239.75</v>
      </c>
      <c r="P19" s="11">
        <f t="shared" si="0"/>
        <v>5001386.04</v>
      </c>
      <c r="Q19" s="11">
        <f t="shared" si="0"/>
        <v>793870.77999999991</v>
      </c>
      <c r="R19" s="11">
        <f t="shared" si="0"/>
        <v>535862.79</v>
      </c>
      <c r="S19" s="11">
        <f t="shared" si="0"/>
        <v>535862.79</v>
      </c>
      <c r="T19" s="11">
        <f t="shared" si="0"/>
        <v>1453331.9399999997</v>
      </c>
      <c r="U19" s="11">
        <f t="shared" si="0"/>
        <v>134409.62000000002</v>
      </c>
      <c r="V19" s="11">
        <f>AVERAGE(V9:V18)</f>
        <v>7669.017664758665</v>
      </c>
      <c r="W19" s="13">
        <f>AVERAGE(W9:W18)</f>
        <v>4364.8888888888887</v>
      </c>
    </row>
    <row r="20" spans="1:96" ht="15" customHeight="1" thickTop="1" x14ac:dyDescent="0.25"/>
    <row r="21" spans="1:96" ht="15" customHeight="1" x14ac:dyDescent="0.25">
      <c r="A21" s="1" t="s">
        <v>34</v>
      </c>
    </row>
    <row r="22" spans="1:96" ht="15" customHeight="1" x14ac:dyDescent="0.25">
      <c r="A22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19"/>
  <sheetViews>
    <sheetView workbookViewId="0">
      <pane ySplit="3" topLeftCell="A4" activePane="bottomLeft" state="frozen"/>
      <selection pane="bottomLeft" activeCell="A16" sqref="A16"/>
    </sheetView>
  </sheetViews>
  <sheetFormatPr defaultRowHeight="15" customHeight="1" x14ac:dyDescent="0.25"/>
  <cols>
    <col min="1" max="1" width="11.7109375" customWidth="1"/>
    <col min="2" max="2" width="18.7109375" customWidth="1"/>
    <col min="3" max="3" width="17.42578125" bestFit="1" customWidth="1"/>
    <col min="4" max="4" width="15.28515625" customWidth="1"/>
    <col min="5" max="5" width="17" customWidth="1"/>
    <col min="6" max="6" width="14.7109375" bestFit="1" customWidth="1"/>
    <col min="7" max="7" width="13.7109375" bestFit="1" customWidth="1"/>
    <col min="8" max="8" width="15.7109375" customWidth="1"/>
    <col min="9" max="9" width="8.5703125" hidden="1" customWidth="1"/>
    <col min="10" max="11" width="13.7109375" bestFit="1" customWidth="1"/>
    <col min="12" max="12" width="16.5703125" customWidth="1"/>
    <col min="13" max="13" width="16.7109375" customWidth="1"/>
    <col min="14" max="14" width="15.7109375" customWidth="1"/>
    <col min="15" max="16" width="14.7109375" bestFit="1" customWidth="1"/>
    <col min="17" max="23" width="13.7109375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33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862011448.63</v>
      </c>
      <c r="C2" s="4">
        <v>766275522.81000006</v>
      </c>
      <c r="D2" s="4">
        <v>15748875</v>
      </c>
      <c r="E2" s="4">
        <v>79987050.819999963</v>
      </c>
      <c r="F2" s="4">
        <v>3199482.05</v>
      </c>
      <c r="G2" s="4">
        <v>0</v>
      </c>
      <c r="H2" s="4">
        <v>76787568.769999996</v>
      </c>
      <c r="I2" s="4">
        <v>0</v>
      </c>
      <c r="J2" s="4">
        <v>0</v>
      </c>
      <c r="K2" s="4">
        <v>0</v>
      </c>
      <c r="L2" s="4">
        <v>76787568.769999996</v>
      </c>
      <c r="M2" s="4">
        <v>35706219.470000006</v>
      </c>
      <c r="N2" s="4">
        <v>23036270.70000001</v>
      </c>
      <c r="O2" s="4">
        <v>9867202.5800000001</v>
      </c>
      <c r="P2" s="4">
        <v>4837616.8000000007</v>
      </c>
      <c r="Q2" s="4">
        <v>767875.67999999993</v>
      </c>
      <c r="R2" s="4">
        <v>518316.0900000002</v>
      </c>
      <c r="S2" s="4">
        <v>518316.0900000002</v>
      </c>
      <c r="T2" s="4">
        <v>767875.68000000028</v>
      </c>
      <c r="U2" s="4">
        <v>767875.67999999993</v>
      </c>
      <c r="V2" s="16">
        <v>1433.9945292356444</v>
      </c>
      <c r="W2" s="8">
        <v>1033.351851851852</v>
      </c>
    </row>
    <row r="3" spans="1:96" s="3" customFormat="1" ht="15" customHeight="1" x14ac:dyDescent="0.25"/>
    <row r="4" spans="1:96" s="3" customFormat="1" ht="15" customHeight="1" x14ac:dyDescent="0.25">
      <c r="A4" s="21" t="s">
        <v>36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">
        <v>37</v>
      </c>
      <c r="B6" s="7">
        <v>16209639.750000002</v>
      </c>
      <c r="C6" s="7">
        <v>14248525.690000001</v>
      </c>
      <c r="D6" s="7">
        <v>339820</v>
      </c>
      <c r="E6" s="7">
        <f t="shared" ref="E6" si="0">B6-C6-D6</f>
        <v>1621294.0600000005</v>
      </c>
      <c r="F6" s="7">
        <f>ROUND(E6*0.04,2)</f>
        <v>64851.76</v>
      </c>
      <c r="G6" s="7">
        <f t="shared" ref="G6" si="1">ROUND(E6*0,2)</f>
        <v>0</v>
      </c>
      <c r="H6" s="7">
        <f t="shared" ref="H6" si="2">E6-F6-G6</f>
        <v>1556442.3000000005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1556442.3000000005</v>
      </c>
      <c r="M6" s="7">
        <f t="shared" ref="M6" si="7">ROUND(L6*0.465,2)</f>
        <v>723745.67</v>
      </c>
      <c r="N6" s="7">
        <f>ROUND(L6*0.3,2)</f>
        <v>466932.69</v>
      </c>
      <c r="O6" s="7">
        <f t="shared" ref="O6" si="8">ROUND(L6*0.1285,2)</f>
        <v>200002.84</v>
      </c>
      <c r="P6" s="7">
        <f t="shared" ref="P6" si="9">ROUND((L6*0.07)*0.9,2)</f>
        <v>98055.86</v>
      </c>
      <c r="Q6" s="7">
        <f t="shared" ref="Q6" si="10">ROUND(L6*0.01,2)</f>
        <v>15564.42</v>
      </c>
      <c r="R6" s="7">
        <f t="shared" ref="R6" si="11">ROUND((L6*0.0075)*0.9,2)</f>
        <v>10505.99</v>
      </c>
      <c r="S6" s="7">
        <f t="shared" ref="S6" si="12">ROUND((L6*0.0075)*0.9,2)</f>
        <v>10505.99</v>
      </c>
      <c r="T6" s="7">
        <f>ROUND(L6*0.01,2)</f>
        <v>15564.42</v>
      </c>
      <c r="U6" s="7">
        <f>ROUND(L6*0.01,2)</f>
        <v>15564.42</v>
      </c>
      <c r="V6" s="16">
        <f t="shared" ref="V6" si="13">E6/W6</f>
        <v>1566.4676908212566</v>
      </c>
      <c r="W6" s="8">
        <v>1035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45486</v>
      </c>
      <c r="B7" s="7">
        <v>16003809.359999999</v>
      </c>
      <c r="C7" s="7">
        <v>14163367.75</v>
      </c>
      <c r="D7" s="7">
        <v>288364</v>
      </c>
      <c r="E7" s="7">
        <f t="shared" ref="E7" si="14">B7-C7-D7</f>
        <v>1552077.6099999994</v>
      </c>
      <c r="F7" s="7">
        <f>ROUND(E7*0.04,2)+0.01</f>
        <v>62083.11</v>
      </c>
      <c r="G7" s="7">
        <f t="shared" ref="G7" si="15">ROUND(E7*0,2)</f>
        <v>0</v>
      </c>
      <c r="H7" s="7">
        <f t="shared" ref="H7" si="16">E7-F7-G7</f>
        <v>1489994.4999999993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1489994.4999999993</v>
      </c>
      <c r="M7" s="7">
        <f t="shared" ref="M7" si="21">ROUND(L7*0.465,2)</f>
        <v>692847.44</v>
      </c>
      <c r="N7" s="7">
        <f>ROUND(L7*0.3,2)</f>
        <v>446998.35</v>
      </c>
      <c r="O7" s="7">
        <f t="shared" ref="O7" si="22">ROUND(L7*0.1285,2)</f>
        <v>191464.29</v>
      </c>
      <c r="P7" s="7">
        <f t="shared" ref="P7" si="23">ROUND((L7*0.07)*0.9,2)</f>
        <v>93869.65</v>
      </c>
      <c r="Q7" s="7">
        <f t="shared" ref="Q7" si="24">ROUND(L7*0.01,2)</f>
        <v>14899.95</v>
      </c>
      <c r="R7" s="7">
        <f t="shared" ref="R7" si="25">ROUND((L7*0.0075)*0.9,2)</f>
        <v>10057.459999999999</v>
      </c>
      <c r="S7" s="7">
        <f t="shared" ref="S7" si="26">ROUND((L7*0.0075)*0.9,2)</f>
        <v>10057.459999999999</v>
      </c>
      <c r="T7" s="7">
        <f>ROUND(L7*0.01,2)-0.01</f>
        <v>14899.94</v>
      </c>
      <c r="U7" s="7">
        <f>ROUND(L7*0.01,2)+0.01</f>
        <v>14899.960000000001</v>
      </c>
      <c r="V7" s="16">
        <f t="shared" ref="V7" si="27">E7/W7</f>
        <v>1499.5918937198062</v>
      </c>
      <c r="W7" s="8">
        <v>1035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14" si="28">A7+7</f>
        <v>45493</v>
      </c>
      <c r="B8" s="7">
        <v>17977790.700000003</v>
      </c>
      <c r="C8" s="7">
        <v>15985757.059999999</v>
      </c>
      <c r="D8" s="7">
        <v>347638</v>
      </c>
      <c r="E8" s="7">
        <f t="shared" ref="E8" si="29">B8-C8-D8</f>
        <v>1644395.6400000043</v>
      </c>
      <c r="F8" s="7">
        <f>ROUND(E8*0.04,2)-0.01</f>
        <v>65775.820000000007</v>
      </c>
      <c r="G8" s="7">
        <f t="shared" ref="G8" si="30">ROUND(E8*0,2)</f>
        <v>0</v>
      </c>
      <c r="H8" s="7">
        <f t="shared" ref="H8" si="31">E8-F8-G8</f>
        <v>1578619.8200000043</v>
      </c>
      <c r="I8" s="7">
        <f t="shared" ref="I8" si="32">ROUND(H8*0,2)</f>
        <v>0</v>
      </c>
      <c r="J8" s="7">
        <f t="shared" ref="J8" si="33">ROUND((I8*0.58)+((I8*0.42)*0.1),2)</f>
        <v>0</v>
      </c>
      <c r="K8" s="7">
        <f t="shared" ref="K8" si="34">ROUND((I8*0.42)*0.9,2)</f>
        <v>0</v>
      </c>
      <c r="L8" s="18">
        <f t="shared" ref="L8" si="35">IF(J8+K8=I8,H8-I8,"ERROR")</f>
        <v>1578619.8200000043</v>
      </c>
      <c r="M8" s="7">
        <f t="shared" ref="M8" si="36">ROUND(L8*0.465,2)</f>
        <v>734058.22</v>
      </c>
      <c r="N8" s="7">
        <f>ROUND(L8*0.3,2)-0.01</f>
        <v>473585.94</v>
      </c>
      <c r="O8" s="7">
        <f t="shared" ref="O8" si="37">ROUND(L8*0.1285,2)</f>
        <v>202852.65</v>
      </c>
      <c r="P8" s="7">
        <f t="shared" ref="P8" si="38">ROUND((L8*0.07)*0.9,2)</f>
        <v>99453.05</v>
      </c>
      <c r="Q8" s="7">
        <f t="shared" ref="Q8" si="39">ROUND(L8*0.01,2)</f>
        <v>15786.2</v>
      </c>
      <c r="R8" s="7">
        <f t="shared" ref="R8" si="40">ROUND((L8*0.0075)*0.9,2)</f>
        <v>10655.68</v>
      </c>
      <c r="S8" s="7">
        <f t="shared" ref="S8" si="41">ROUND((L8*0.0075)*0.9,2)</f>
        <v>10655.68</v>
      </c>
      <c r="T8" s="7">
        <f>ROUND(L8*0.01,2)</f>
        <v>15786.2</v>
      </c>
      <c r="U8" s="7">
        <f>ROUND(L8*0.01,2)</f>
        <v>15786.2</v>
      </c>
      <c r="V8" s="16">
        <f t="shared" ref="V8" si="42">E8/W8</f>
        <v>1593.4066279069809</v>
      </c>
      <c r="W8" s="8">
        <v>1032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8"/>
        <v>45500</v>
      </c>
      <c r="B9" s="7">
        <v>15831255.01</v>
      </c>
      <c r="C9" s="7">
        <v>13960712.039999999</v>
      </c>
      <c r="D9" s="7">
        <v>287854</v>
      </c>
      <c r="E9" s="7">
        <f t="shared" ref="E9" si="43">B9-C9-D9</f>
        <v>1582688.9700000007</v>
      </c>
      <c r="F9" s="7">
        <f>ROUND(E9*0.04,2)</f>
        <v>63307.56</v>
      </c>
      <c r="G9" s="7">
        <f t="shared" ref="G9" si="44">ROUND(E9*0,2)</f>
        <v>0</v>
      </c>
      <c r="H9" s="7">
        <f t="shared" ref="H9" si="45">E9-F9-G9</f>
        <v>1519381.4100000006</v>
      </c>
      <c r="I9" s="7">
        <f t="shared" ref="I9" si="46">ROUND(H9*0,2)</f>
        <v>0</v>
      </c>
      <c r="J9" s="7">
        <f t="shared" ref="J9" si="47">ROUND((I9*0.58)+((I9*0.42)*0.1),2)</f>
        <v>0</v>
      </c>
      <c r="K9" s="7">
        <f t="shared" ref="K9" si="48">ROUND((I9*0.42)*0.9,2)</f>
        <v>0</v>
      </c>
      <c r="L9" s="18">
        <f t="shared" ref="L9" si="49">IF(J9+K9=I9,H9-I9,"ERROR")</f>
        <v>1519381.4100000006</v>
      </c>
      <c r="M9" s="7">
        <f t="shared" ref="M9" si="50">ROUND(L9*0.465,2)</f>
        <v>706512.36</v>
      </c>
      <c r="N9" s="7">
        <f>ROUND(L9*0.3,2)+0.02</f>
        <v>455814.44</v>
      </c>
      <c r="O9" s="7">
        <f t="shared" ref="O9" si="51">ROUND(L9*0.1285,2)</f>
        <v>195240.51</v>
      </c>
      <c r="P9" s="7">
        <f t="shared" ref="P9" si="52">ROUND((L9*0.07)*0.9,2)</f>
        <v>95721.03</v>
      </c>
      <c r="Q9" s="7">
        <f t="shared" ref="Q9" si="53">ROUND(L9*0.01,2)</f>
        <v>15193.81</v>
      </c>
      <c r="R9" s="7">
        <f t="shared" ref="R9" si="54">ROUND((L9*0.0075)*0.9,2)</f>
        <v>10255.82</v>
      </c>
      <c r="S9" s="7">
        <f t="shared" ref="S9" si="55">ROUND((L9*0.0075)*0.9,2)</f>
        <v>10255.82</v>
      </c>
      <c r="T9" s="7">
        <f>ROUND(L9*0.01,2)+0.01</f>
        <v>15193.82</v>
      </c>
      <c r="U9" s="7">
        <f>ROUND(L9*0.01,2)-0.01</f>
        <v>15193.8</v>
      </c>
      <c r="V9" s="16">
        <f t="shared" ref="V9" si="56">E9/W9</f>
        <v>1533.6133430232564</v>
      </c>
      <c r="W9" s="8">
        <v>1032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8"/>
        <v>45507</v>
      </c>
      <c r="B10" s="7">
        <v>17685888.060000002</v>
      </c>
      <c r="C10" s="7">
        <v>15858701.52</v>
      </c>
      <c r="D10" s="7">
        <v>331747</v>
      </c>
      <c r="E10" s="7">
        <f t="shared" ref="E10" si="57">B10-C10-D10</f>
        <v>1495439.5400000028</v>
      </c>
      <c r="F10" s="7">
        <f>ROUND(E10*0.04,2)</f>
        <v>59817.58</v>
      </c>
      <c r="G10" s="7">
        <f t="shared" ref="G10" si="58">ROUND(E10*0,2)</f>
        <v>0</v>
      </c>
      <c r="H10" s="7">
        <f t="shared" ref="H10" si="59">E10-F10-G10</f>
        <v>1435621.9600000028</v>
      </c>
      <c r="I10" s="7">
        <f t="shared" ref="I10" si="60">ROUND(H10*0,2)</f>
        <v>0</v>
      </c>
      <c r="J10" s="7">
        <f t="shared" ref="J10" si="61">ROUND((I10*0.58)+((I10*0.42)*0.1),2)</f>
        <v>0</v>
      </c>
      <c r="K10" s="7">
        <f t="shared" ref="K10" si="62">ROUND((I10*0.42)*0.9,2)</f>
        <v>0</v>
      </c>
      <c r="L10" s="18">
        <f t="shared" ref="L10" si="63">IF(J10+K10=I10,H10-I10,"ERROR")</f>
        <v>1435621.9600000028</v>
      </c>
      <c r="M10" s="7">
        <f t="shared" ref="M10" si="64">ROUND(L10*0.465,2)</f>
        <v>667564.21</v>
      </c>
      <c r="N10" s="7">
        <f>ROUND(L10*0.3,2)</f>
        <v>430686.59</v>
      </c>
      <c r="O10" s="7">
        <f t="shared" ref="O10" si="65">ROUND(L10*0.1285,2)</f>
        <v>184477.42</v>
      </c>
      <c r="P10" s="7">
        <f t="shared" ref="P10" si="66">ROUND((L10*0.07)*0.9,2)</f>
        <v>90444.18</v>
      </c>
      <c r="Q10" s="7">
        <f t="shared" ref="Q10" si="67">ROUND(L10*0.01,2)</f>
        <v>14356.22</v>
      </c>
      <c r="R10" s="7">
        <f t="shared" ref="R10" si="68">ROUND((L10*0.0075)*0.9,2)</f>
        <v>9690.4500000000007</v>
      </c>
      <c r="S10" s="7">
        <f t="shared" ref="S10" si="69">ROUND((L10*0.0075)*0.9,2)</f>
        <v>9690.4500000000007</v>
      </c>
      <c r="T10" s="7">
        <f>ROUND(L10*0.01,2)</f>
        <v>14356.22</v>
      </c>
      <c r="U10" s="7">
        <f>ROUND(L10*0.01,2)</f>
        <v>14356.22</v>
      </c>
      <c r="V10" s="16">
        <f t="shared" ref="V10" si="70">E10/W10</f>
        <v>1447.6665440464694</v>
      </c>
      <c r="W10" s="8">
        <v>1033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8"/>
        <v>45514</v>
      </c>
      <c r="B11" s="7">
        <v>15886762.42</v>
      </c>
      <c r="C11" s="7">
        <v>14004153.84</v>
      </c>
      <c r="D11" s="7">
        <v>317649</v>
      </c>
      <c r="E11" s="7">
        <f t="shared" ref="E11" si="71">B11-C11-D11</f>
        <v>1564959.58</v>
      </c>
      <c r="F11" s="7">
        <f>ROUND(E11*0.04,2)</f>
        <v>62598.38</v>
      </c>
      <c r="G11" s="7">
        <f t="shared" ref="G11" si="72">ROUND(E11*0,2)</f>
        <v>0</v>
      </c>
      <c r="H11" s="7">
        <f t="shared" ref="H11" si="73">E11-F11-G11</f>
        <v>1502361.2000000002</v>
      </c>
      <c r="I11" s="7">
        <f t="shared" ref="I11" si="74">ROUND(H11*0,2)</f>
        <v>0</v>
      </c>
      <c r="J11" s="7">
        <f t="shared" ref="J11" si="75">ROUND((I11*0.58)+((I11*0.42)*0.1),2)</f>
        <v>0</v>
      </c>
      <c r="K11" s="7">
        <f t="shared" ref="K11" si="76">ROUND((I11*0.42)*0.9,2)</f>
        <v>0</v>
      </c>
      <c r="L11" s="18">
        <f t="shared" ref="L11" si="77">IF(J11+K11=I11,H11-I11,"ERROR")</f>
        <v>1502361.2000000002</v>
      </c>
      <c r="M11" s="7">
        <f t="shared" ref="M11" si="78">ROUND(L11*0.465,2)</f>
        <v>698597.96</v>
      </c>
      <c r="N11" s="7">
        <f>ROUND(L11*0.3,2)</f>
        <v>450708.36</v>
      </c>
      <c r="O11" s="7">
        <f t="shared" ref="O11" si="79">ROUND(L11*0.1285,2)</f>
        <v>193053.41</v>
      </c>
      <c r="P11" s="7">
        <f t="shared" ref="P11" si="80">ROUND((L11*0.07)*0.9,2)</f>
        <v>94648.76</v>
      </c>
      <c r="Q11" s="7">
        <f t="shared" ref="Q11" si="81">ROUND(L11*0.01,2)</f>
        <v>15023.61</v>
      </c>
      <c r="R11" s="7">
        <f t="shared" ref="R11" si="82">ROUND((L11*0.0075)*0.9,2)</f>
        <v>10140.94</v>
      </c>
      <c r="S11" s="7">
        <f t="shared" ref="S11" si="83">ROUND((L11*0.0075)*0.9,2)</f>
        <v>10140.94</v>
      </c>
      <c r="T11" s="7">
        <f>ROUND(L11*0.01,2)-0.01</f>
        <v>15023.6</v>
      </c>
      <c r="U11" s="7">
        <f>ROUND(L11*0.01,2)+0.01</f>
        <v>15023.62</v>
      </c>
      <c r="V11" s="16">
        <f t="shared" ref="V11" si="84">E11/W11</f>
        <v>1514.9657115198452</v>
      </c>
      <c r="W11" s="8">
        <v>1033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8"/>
        <v>45521</v>
      </c>
      <c r="B12" s="7">
        <v>15881507.339999998</v>
      </c>
      <c r="C12" s="7">
        <v>14067337.879999999</v>
      </c>
      <c r="D12" s="7">
        <v>305209</v>
      </c>
      <c r="E12" s="7">
        <f t="shared" ref="E12" si="85">B12-C12-D12</f>
        <v>1508960.459999999</v>
      </c>
      <c r="F12" s="7">
        <f>ROUND(E12*0.04,2)</f>
        <v>60358.42</v>
      </c>
      <c r="G12" s="7">
        <f t="shared" ref="G12" si="86">ROUND(E12*0,2)</f>
        <v>0</v>
      </c>
      <c r="H12" s="7">
        <f t="shared" ref="H12" si="87">E12-F12-G12</f>
        <v>1448602.0399999991</v>
      </c>
      <c r="I12" s="7">
        <f t="shared" ref="I12" si="88">ROUND(H12*0,2)</f>
        <v>0</v>
      </c>
      <c r="J12" s="7">
        <f t="shared" ref="J12" si="89">ROUND((I12*0.58)+((I12*0.42)*0.1),2)</f>
        <v>0</v>
      </c>
      <c r="K12" s="7">
        <f t="shared" ref="K12" si="90">ROUND((I12*0.42)*0.9,2)</f>
        <v>0</v>
      </c>
      <c r="L12" s="18">
        <f t="shared" ref="L12" si="91">IF(J12+K12=I12,H12-I12,"ERROR")</f>
        <v>1448602.0399999991</v>
      </c>
      <c r="M12" s="7">
        <f t="shared" ref="M12" si="92">ROUND(L12*0.465,2)</f>
        <v>673599.95</v>
      </c>
      <c r="N12" s="7">
        <f>ROUND(L12*0.3,2)+0.01</f>
        <v>434580.62</v>
      </c>
      <c r="O12" s="7">
        <f t="shared" ref="O12" si="93">ROUND(L12*0.1285,2)</f>
        <v>186145.36</v>
      </c>
      <c r="P12" s="7">
        <f t="shared" ref="P12" si="94">ROUND((L12*0.07)*0.9,2)</f>
        <v>91261.93</v>
      </c>
      <c r="Q12" s="7">
        <f t="shared" ref="Q12" si="95">ROUND(L12*0.01,2)</f>
        <v>14486.02</v>
      </c>
      <c r="R12" s="7">
        <f t="shared" ref="R12" si="96">ROUND((L12*0.0075)*0.9,2)</f>
        <v>9778.06</v>
      </c>
      <c r="S12" s="7">
        <f t="shared" ref="S12" si="97">ROUND((L12*0.0075)*0.9,2)</f>
        <v>9778.06</v>
      </c>
      <c r="T12" s="7">
        <f>ROUND(L12*0.01,2)</f>
        <v>14486.02</v>
      </c>
      <c r="U12" s="7">
        <f>ROUND(L12*0.01,2)</f>
        <v>14486.02</v>
      </c>
      <c r="V12" s="16">
        <f t="shared" ref="V12" si="98">E12/W12</f>
        <v>1460.755527589544</v>
      </c>
      <c r="W12" s="8">
        <v>1033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8"/>
        <v>45528</v>
      </c>
      <c r="B13" s="7">
        <v>15885278.810000001</v>
      </c>
      <c r="C13" s="7">
        <v>14128472.48</v>
      </c>
      <c r="D13" s="7">
        <v>302382</v>
      </c>
      <c r="E13" s="7">
        <f t="shared" ref="E13" si="99">B13-C13-D13</f>
        <v>1454424.33</v>
      </c>
      <c r="F13" s="7">
        <f>ROUND(E13*0.04,2)</f>
        <v>58176.97</v>
      </c>
      <c r="G13" s="7">
        <f t="shared" ref="G13" si="100">ROUND(E13*0,2)</f>
        <v>0</v>
      </c>
      <c r="H13" s="7">
        <f t="shared" ref="H13" si="101">E13-F13-G13</f>
        <v>1396247.36</v>
      </c>
      <c r="I13" s="7">
        <f t="shared" ref="I13" si="102">ROUND(H13*0,2)</f>
        <v>0</v>
      </c>
      <c r="J13" s="7">
        <f t="shared" ref="J13" si="103">ROUND((I13*0.58)+((I13*0.42)*0.1),2)</f>
        <v>0</v>
      </c>
      <c r="K13" s="7">
        <f t="shared" ref="K13" si="104">ROUND((I13*0.42)*0.9,2)</f>
        <v>0</v>
      </c>
      <c r="L13" s="18">
        <f t="shared" ref="L13" si="105">IF(J13+K13=I13,H13-I13,"ERROR")</f>
        <v>1396247.36</v>
      </c>
      <c r="M13" s="7">
        <f t="shared" ref="M13" si="106">ROUND(L13*0.465,2)</f>
        <v>649255.02</v>
      </c>
      <c r="N13" s="7">
        <f>ROUND(L13*0.3,2)+0.01</f>
        <v>418874.22000000003</v>
      </c>
      <c r="O13" s="7">
        <f t="shared" ref="O13" si="107">ROUND(L13*0.1285,2)</f>
        <v>179417.79</v>
      </c>
      <c r="P13" s="7">
        <f t="shared" ref="P13" si="108">ROUND((L13*0.07)*0.9,2)</f>
        <v>87963.58</v>
      </c>
      <c r="Q13" s="7">
        <f t="shared" ref="Q13" si="109">ROUND(L13*0.01,2)</f>
        <v>13962.47</v>
      </c>
      <c r="R13" s="7">
        <f t="shared" ref="R13" si="110">ROUND((L13*0.0075)*0.9,2)</f>
        <v>9424.67</v>
      </c>
      <c r="S13" s="7">
        <f t="shared" ref="S13" si="111">ROUND((L13*0.0075)*0.9,2)</f>
        <v>9424.67</v>
      </c>
      <c r="T13" s="7">
        <f>ROUND(L13*0.01,2)+0.01</f>
        <v>13962.48</v>
      </c>
      <c r="U13" s="7">
        <f>ROUND(L13*0.01,2)-0.01</f>
        <v>13962.46</v>
      </c>
      <c r="V13" s="16">
        <f t="shared" ref="V13" si="112">E13/W13</f>
        <v>1409.3259011627908</v>
      </c>
      <c r="W13" s="8">
        <v>1032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si="28"/>
        <v>45535</v>
      </c>
      <c r="B14" s="7">
        <v>16944073.600000001</v>
      </c>
      <c r="C14" s="7">
        <v>15055307.09</v>
      </c>
      <c r="D14" s="7">
        <v>312004</v>
      </c>
      <c r="E14" s="7">
        <f t="shared" ref="E14" si="113">B14-C14-D14</f>
        <v>1576762.5100000016</v>
      </c>
      <c r="F14" s="7">
        <f>ROUND(E14*0.04,2)-0.01</f>
        <v>63070.49</v>
      </c>
      <c r="G14" s="7">
        <f t="shared" ref="G14" si="114">ROUND(E14*0,2)</f>
        <v>0</v>
      </c>
      <c r="H14" s="7">
        <f t="shared" ref="H14" si="115">E14-F14-G14</f>
        <v>1513692.0200000016</v>
      </c>
      <c r="I14" s="7">
        <f t="shared" ref="I14" si="116">ROUND(H14*0,2)</f>
        <v>0</v>
      </c>
      <c r="J14" s="7">
        <f t="shared" ref="J14" si="117">ROUND((I14*0.58)+((I14*0.42)*0.1),2)</f>
        <v>0</v>
      </c>
      <c r="K14" s="7">
        <f t="shared" ref="K14" si="118">ROUND((I14*0.42)*0.9,2)</f>
        <v>0</v>
      </c>
      <c r="L14" s="18">
        <f t="shared" ref="L14" si="119">IF(J14+K14=I14,H14-I14,"ERROR")</f>
        <v>1513692.0200000016</v>
      </c>
      <c r="M14" s="7">
        <f t="shared" ref="M14" si="120">ROUND(L14*0.465,2)</f>
        <v>703866.79</v>
      </c>
      <c r="N14" s="7">
        <f>ROUND(L14*0.3,2)</f>
        <v>454107.61</v>
      </c>
      <c r="O14" s="7">
        <f t="shared" ref="O14" si="121">ROUND(L14*0.1285,2)</f>
        <v>194509.42</v>
      </c>
      <c r="P14" s="7">
        <f t="shared" ref="P14" si="122">ROUND((L14*0.07)*0.9,2)</f>
        <v>95362.6</v>
      </c>
      <c r="Q14" s="7">
        <f t="shared" ref="Q14" si="123">ROUND(L14*0.01,2)</f>
        <v>15136.92</v>
      </c>
      <c r="R14" s="7">
        <f t="shared" ref="R14" si="124">ROUND((L14*0.0075)*0.9,2)</f>
        <v>10217.42</v>
      </c>
      <c r="S14" s="7">
        <f t="shared" ref="S14" si="125">ROUND((L14*0.0075)*0.9,2)</f>
        <v>10217.42</v>
      </c>
      <c r="T14" s="7">
        <f>ROUND(L14*0.01,2)</f>
        <v>15136.92</v>
      </c>
      <c r="U14" s="7">
        <f>ROUND(L14*0.01,2)</f>
        <v>15136.92</v>
      </c>
      <c r="V14" s="16">
        <f t="shared" ref="V14" si="126">E14/W14</f>
        <v>1524.9153868471969</v>
      </c>
      <c r="W14" s="8">
        <v>1034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B15" s="9"/>
      <c r="V15" s="10"/>
    </row>
    <row r="16" spans="1:96" ht="15" customHeight="1" thickBot="1" x14ac:dyDescent="0.3">
      <c r="B16" s="11">
        <f t="shared" ref="B16:U16" si="127">SUM(B6:B15)</f>
        <v>148306005.05000001</v>
      </c>
      <c r="C16" s="11">
        <f t="shared" si="127"/>
        <v>131472335.35000001</v>
      </c>
      <c r="D16" s="11">
        <f t="shared" si="127"/>
        <v>2832667</v>
      </c>
      <c r="E16" s="11">
        <f t="shared" si="127"/>
        <v>14001002.700000009</v>
      </c>
      <c r="F16" s="11">
        <f t="shared" si="127"/>
        <v>560040.09</v>
      </c>
      <c r="G16" s="11">
        <f t="shared" si="127"/>
        <v>0</v>
      </c>
      <c r="H16" s="11">
        <f t="shared" si="127"/>
        <v>13440962.610000009</v>
      </c>
      <c r="I16" s="11">
        <f t="shared" si="127"/>
        <v>0</v>
      </c>
      <c r="J16" s="11">
        <f t="shared" si="127"/>
        <v>0</v>
      </c>
      <c r="K16" s="11">
        <f t="shared" si="127"/>
        <v>0</v>
      </c>
      <c r="L16" s="11">
        <f t="shared" si="127"/>
        <v>13440962.610000009</v>
      </c>
      <c r="M16" s="11">
        <f t="shared" si="127"/>
        <v>6250047.6200000001</v>
      </c>
      <c r="N16" s="11">
        <f t="shared" si="127"/>
        <v>4032288.82</v>
      </c>
      <c r="O16" s="11">
        <f t="shared" si="127"/>
        <v>1727163.69</v>
      </c>
      <c r="P16" s="11">
        <f t="shared" si="127"/>
        <v>846780.6399999999</v>
      </c>
      <c r="Q16" s="11">
        <f t="shared" si="127"/>
        <v>134409.62000000002</v>
      </c>
      <c r="R16" s="11">
        <f t="shared" si="127"/>
        <v>90726.489999999991</v>
      </c>
      <c r="S16" s="11">
        <f t="shared" si="127"/>
        <v>90726.489999999991</v>
      </c>
      <c r="T16" s="11">
        <f t="shared" si="127"/>
        <v>134409.62</v>
      </c>
      <c r="U16" s="11">
        <f t="shared" si="127"/>
        <v>134409.62000000002</v>
      </c>
      <c r="V16" s="12">
        <f>AVERAGE(V6:V15)</f>
        <v>1505.6342918485718</v>
      </c>
      <c r="W16" s="13">
        <f>AVERAGE(W6:W15)</f>
        <v>1033.2222222222222</v>
      </c>
    </row>
    <row r="17" spans="1:1" ht="15" customHeight="1" thickTop="1" x14ac:dyDescent="0.25"/>
    <row r="18" spans="1:1" ht="15" customHeight="1" x14ac:dyDescent="0.25">
      <c r="A18" s="1" t="s">
        <v>34</v>
      </c>
    </row>
    <row r="19" spans="1:1" ht="15" customHeight="1" x14ac:dyDescent="0.25">
      <c r="A19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23"/>
  <sheetViews>
    <sheetView workbookViewId="0">
      <pane ySplit="3" topLeftCell="A4" activePane="bottomLeft" state="frozen"/>
      <selection pane="bottomLeft" activeCell="A16" sqref="A16"/>
    </sheetView>
  </sheetViews>
  <sheetFormatPr defaultRowHeight="15" customHeight="1" x14ac:dyDescent="0.25"/>
  <cols>
    <col min="1" max="1" width="11.7109375" customWidth="1"/>
    <col min="2" max="2" width="16.85546875" customWidth="1"/>
    <col min="3" max="3" width="17.42578125" bestFit="1" customWidth="1"/>
    <col min="4" max="4" width="15.140625" customWidth="1"/>
    <col min="5" max="5" width="17.140625" customWidth="1"/>
    <col min="6" max="6" width="14.7109375" bestFit="1" customWidth="1"/>
    <col min="7" max="7" width="13.7109375" bestFit="1" customWidth="1"/>
    <col min="8" max="8" width="17.5703125" customWidth="1"/>
    <col min="9" max="9" width="11.7109375" hidden="1" customWidth="1"/>
    <col min="10" max="11" width="12.7109375" customWidth="1"/>
    <col min="12" max="12" width="16.5703125" customWidth="1"/>
    <col min="13" max="13" width="15.85546875" customWidth="1"/>
    <col min="14" max="14" width="16.140625" customWidth="1"/>
    <col min="15" max="16" width="14.7109375" bestFit="1" customWidth="1"/>
    <col min="17" max="19" width="13.7109375" customWidth="1"/>
    <col min="20" max="20" width="16.42578125" customWidth="1"/>
    <col min="21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938567099.40000045</v>
      </c>
      <c r="C2" s="4">
        <v>841347383.17199993</v>
      </c>
      <c r="D2" s="4">
        <v>16216211.32</v>
      </c>
      <c r="E2" s="4">
        <v>81003504.908000022</v>
      </c>
      <c r="F2" s="4">
        <v>3240140.15</v>
      </c>
      <c r="G2" s="4">
        <v>0</v>
      </c>
      <c r="H2" s="4">
        <v>77763364.758000001</v>
      </c>
      <c r="I2" s="4">
        <v>0</v>
      </c>
      <c r="J2" s="4">
        <v>0</v>
      </c>
      <c r="K2" s="4">
        <v>0</v>
      </c>
      <c r="L2" s="4">
        <v>77763364.758000001</v>
      </c>
      <c r="M2" s="4">
        <v>36159964.580000006</v>
      </c>
      <c r="N2" s="4">
        <v>23329009.440000001</v>
      </c>
      <c r="O2" s="4">
        <v>9992592.3899999969</v>
      </c>
      <c r="P2" s="4">
        <v>4899091.950000002</v>
      </c>
      <c r="Q2" s="4">
        <v>777633.63999999978</v>
      </c>
      <c r="R2" s="4">
        <v>524902.74</v>
      </c>
      <c r="S2" s="4">
        <v>524902.74</v>
      </c>
      <c r="T2" s="4">
        <v>1162290.5799999998</v>
      </c>
      <c r="U2" s="4">
        <v>392976.6999999999</v>
      </c>
      <c r="V2" s="4">
        <v>1589.1301134039443</v>
      </c>
      <c r="W2" s="8">
        <v>939.88888888888891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36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19596948.740000002</v>
      </c>
      <c r="C6" s="7">
        <v>17564765.920000002</v>
      </c>
      <c r="D6" s="7">
        <v>361554.47000000003</v>
      </c>
      <c r="E6" s="7">
        <f t="shared" ref="E6" si="0">B6-C6-D6</f>
        <v>1670628.3500000003</v>
      </c>
      <c r="F6" s="7">
        <f>ROUND(E6*0.04,2)</f>
        <v>66825.13</v>
      </c>
      <c r="G6" s="7">
        <f t="shared" ref="G6" si="1">ROUND(E6*0,2)</f>
        <v>0</v>
      </c>
      <c r="H6" s="7">
        <f t="shared" ref="H6" si="2">E6-F6-G6</f>
        <v>1603803.2200000002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1603803.2200000002</v>
      </c>
      <c r="M6" s="7">
        <f t="shared" ref="M6" si="7">ROUND(L6*0.465,2)</f>
        <v>745768.5</v>
      </c>
      <c r="N6" s="7">
        <f>ROUND(L6*0.3,2)+0.01</f>
        <v>481140.98</v>
      </c>
      <c r="O6" s="7">
        <f t="shared" ref="O6" si="8">ROUND(L6*0.1285,2)</f>
        <v>206088.71</v>
      </c>
      <c r="P6" s="7">
        <f t="shared" ref="P6" si="9">ROUND((L6*0.07)*0.9,2)</f>
        <v>101039.6</v>
      </c>
      <c r="Q6" s="7">
        <f t="shared" ref="Q6" si="10">ROUND(L6*0.01,2)</f>
        <v>16038.03</v>
      </c>
      <c r="R6" s="7">
        <f t="shared" ref="R6" si="11">ROUND((L6*0.0075)*0.9,2)</f>
        <v>10825.67</v>
      </c>
      <c r="S6" s="7">
        <f t="shared" ref="S6" si="12">ROUND((L6*0.0075)*0.9,2)</f>
        <v>10825.67</v>
      </c>
      <c r="T6" s="7">
        <f>ROUND(L6*0.02,2)</f>
        <v>32076.06</v>
      </c>
      <c r="U6" s="7">
        <f t="shared" ref="U6" si="13">ROUND(M6*0,2)</f>
        <v>0</v>
      </c>
      <c r="V6" s="16">
        <f t="shared" ref="V6" si="14">E6/W6</f>
        <v>1685.8005549949548</v>
      </c>
      <c r="W6" s="8">
        <v>991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20169827.859999999</v>
      </c>
      <c r="C7" s="7">
        <v>18075539.989999998</v>
      </c>
      <c r="D7" s="7">
        <v>381191.35</v>
      </c>
      <c r="E7" s="7">
        <f t="shared" ref="E7" si="15">B7-C7-D7</f>
        <v>1713096.5200000009</v>
      </c>
      <c r="F7" s="7">
        <f>ROUND(E7*0.04,2)+0.01</f>
        <v>68523.87</v>
      </c>
      <c r="G7" s="7">
        <f t="shared" ref="G7" si="16">ROUND(E7*0,2)</f>
        <v>0</v>
      </c>
      <c r="H7" s="7">
        <f t="shared" ref="H7" si="17">E7-F7-G7</f>
        <v>1644572.6500000008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1644572.6500000008</v>
      </c>
      <c r="M7" s="7">
        <f t="shared" ref="M7" si="22">ROUND(L7*0.465,2)</f>
        <v>764726.28</v>
      </c>
      <c r="N7" s="7">
        <f>ROUND(L7*0.3,2)-0.03</f>
        <v>493371.76999999996</v>
      </c>
      <c r="O7" s="7">
        <f t="shared" ref="O7" si="23">ROUND(L7*0.1285,2)</f>
        <v>211327.59</v>
      </c>
      <c r="P7" s="7">
        <f t="shared" ref="P7" si="24">ROUND((L7*0.07)*0.9,2)</f>
        <v>103608.08</v>
      </c>
      <c r="Q7" s="7">
        <f t="shared" ref="Q7" si="25">ROUND(L7*0.01,2)</f>
        <v>16445.73</v>
      </c>
      <c r="R7" s="7">
        <f t="shared" ref="R7" si="26">ROUND((L7*0.0075)*0.9,2)</f>
        <v>11100.87</v>
      </c>
      <c r="S7" s="7">
        <f t="shared" ref="S7" si="27">ROUND((L7*0.0075)*0.9,2)</f>
        <v>11100.87</v>
      </c>
      <c r="T7" s="7">
        <f>ROUND(L7*0.02,2)+0.01</f>
        <v>32891.46</v>
      </c>
      <c r="U7" s="7">
        <f t="shared" ref="U7" si="28">ROUND(M7*0,2)</f>
        <v>0</v>
      </c>
      <c r="V7" s="16">
        <f t="shared" ref="V7" si="29">E7/W7</f>
        <v>1732.1501718907998</v>
      </c>
      <c r="W7" s="8">
        <v>989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18203871.66</v>
      </c>
      <c r="C8" s="7">
        <v>16334423.33</v>
      </c>
      <c r="D8" s="7">
        <v>345167.03</v>
      </c>
      <c r="E8" s="7">
        <f t="shared" ref="E8" si="30">B8-C8-D8</f>
        <v>1524281.3</v>
      </c>
      <c r="F8" s="7">
        <f>ROUND(E8*0.04,2)</f>
        <v>60971.25</v>
      </c>
      <c r="G8" s="7">
        <f t="shared" ref="G8" si="31">ROUND(E8*0,2)</f>
        <v>0</v>
      </c>
      <c r="H8" s="7">
        <f t="shared" ref="H8" si="32">E8-F8-G8</f>
        <v>1463310.05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1463310.05</v>
      </c>
      <c r="M8" s="7">
        <f t="shared" ref="M8" si="37">ROUND(L8*0.465,2)</f>
        <v>680439.17</v>
      </c>
      <c r="N8" s="7">
        <f>ROUND(L8*0.3,2)+0.01</f>
        <v>438993.03</v>
      </c>
      <c r="O8" s="7">
        <f t="shared" ref="O8" si="38">ROUND(L8*0.1285,2)</f>
        <v>188035.34</v>
      </c>
      <c r="P8" s="7">
        <f t="shared" ref="P8" si="39">ROUND((L8*0.07)*0.9,2)</f>
        <v>92188.53</v>
      </c>
      <c r="Q8" s="7">
        <f t="shared" ref="Q8" si="40">ROUND(L8*0.01,2)</f>
        <v>14633.1</v>
      </c>
      <c r="R8" s="7">
        <f t="shared" ref="R8" si="41">ROUND((L8*0.0075)*0.9,2)</f>
        <v>9877.34</v>
      </c>
      <c r="S8" s="7">
        <f t="shared" ref="S8" si="42">ROUND((L8*0.0075)*0.9,2)</f>
        <v>9877.34</v>
      </c>
      <c r="T8" s="7">
        <f>ROUND(L8*0.02,2)</f>
        <v>29266.2</v>
      </c>
      <c r="U8" s="7">
        <f t="shared" ref="U8" si="43">ROUND(M8*0,2)</f>
        <v>0</v>
      </c>
      <c r="V8" s="16">
        <f t="shared" ref="V8" si="44">E8/W8</f>
        <v>1542.7948380566802</v>
      </c>
      <c r="W8" s="8">
        <v>988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19569139.73</v>
      </c>
      <c r="C9" s="7">
        <v>17518832.260000002</v>
      </c>
      <c r="D9" s="7">
        <v>377759.79</v>
      </c>
      <c r="E9" s="7">
        <f t="shared" ref="E9" si="45">B9-C9-D9</f>
        <v>1672547.6799999988</v>
      </c>
      <c r="F9" s="7">
        <f>ROUND(E9*0.04,2)+0.01</f>
        <v>66901.919999999998</v>
      </c>
      <c r="G9" s="7">
        <f t="shared" ref="G9" si="46">ROUND(E9*0,2)</f>
        <v>0</v>
      </c>
      <c r="H9" s="7">
        <f t="shared" ref="H9" si="47">E9-F9-G9</f>
        <v>1605645.7599999988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1605645.7599999988</v>
      </c>
      <c r="M9" s="7">
        <f t="shared" ref="M9" si="52">ROUND(L9*0.465,2)</f>
        <v>746625.28</v>
      </c>
      <c r="N9" s="7">
        <f>ROUND(L9*0.3,2)-0.01</f>
        <v>481693.72</v>
      </c>
      <c r="O9" s="7">
        <f t="shared" ref="O9" si="53">ROUND(L9*0.1285,2)</f>
        <v>206325.48</v>
      </c>
      <c r="P9" s="7">
        <f t="shared" ref="P9" si="54">ROUND((L9*0.07)*0.9,2)</f>
        <v>101155.68</v>
      </c>
      <c r="Q9" s="7">
        <f t="shared" ref="Q9" si="55">ROUND(L9*0.01,2)</f>
        <v>16056.46</v>
      </c>
      <c r="R9" s="7">
        <f t="shared" ref="R9" si="56">ROUND((L9*0.0075)*0.9,2)</f>
        <v>10838.11</v>
      </c>
      <c r="S9" s="7">
        <f t="shared" ref="S9" si="57">ROUND((L9*0.0075)*0.9,2)</f>
        <v>10838.11</v>
      </c>
      <c r="T9" s="7">
        <f>ROUND(L9*0.02,2)</f>
        <v>32112.92</v>
      </c>
      <c r="U9" s="7">
        <f t="shared" ref="U9" si="58">ROUND(M9*0,2)</f>
        <v>0</v>
      </c>
      <c r="V9" s="16">
        <f t="shared" ref="V9" si="59">E9/W9</f>
        <v>1698.0179492385773</v>
      </c>
      <c r="W9" s="8">
        <v>985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20392251.419999998</v>
      </c>
      <c r="C10" s="7">
        <v>18369542.289999999</v>
      </c>
      <c r="D10" s="7">
        <v>432182.07</v>
      </c>
      <c r="E10" s="7">
        <f t="shared" ref="E10" si="60">B10-C10-D10</f>
        <v>1590527.0599999989</v>
      </c>
      <c r="F10" s="7">
        <f>ROUND(E10*0.04,2)</f>
        <v>63621.08</v>
      </c>
      <c r="G10" s="7">
        <f t="shared" ref="G10" si="61">ROUND(E10*0,2)</f>
        <v>0</v>
      </c>
      <c r="H10" s="7">
        <f t="shared" ref="H10" si="62">E10-F10-G10</f>
        <v>1526905.9799999988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1526905.9799999988</v>
      </c>
      <c r="M10" s="7">
        <f t="shared" ref="M10" si="67">ROUND(L10*0.465,2)</f>
        <v>710011.28</v>
      </c>
      <c r="N10" s="7">
        <f>ROUND(L10*0.3,2)-0.01</f>
        <v>458071.77999999997</v>
      </c>
      <c r="O10" s="7">
        <f t="shared" ref="O10" si="68">ROUND(L10*0.1285,2)</f>
        <v>196207.42</v>
      </c>
      <c r="P10" s="7">
        <f t="shared" ref="P10" si="69">ROUND((L10*0.07)*0.9,2)</f>
        <v>96195.08</v>
      </c>
      <c r="Q10" s="7">
        <f t="shared" ref="Q10" si="70">ROUND(L10*0.01,2)</f>
        <v>15269.06</v>
      </c>
      <c r="R10" s="7">
        <f t="shared" ref="R10" si="71">ROUND((L10*0.0075)*0.9,2)</f>
        <v>10306.620000000001</v>
      </c>
      <c r="S10" s="7">
        <f t="shared" ref="S10" si="72">ROUND((L10*0.0075)*0.9,2)</f>
        <v>10306.620000000001</v>
      </c>
      <c r="T10" s="7">
        <f>ROUND(L10*0.02,2)</f>
        <v>30538.12</v>
      </c>
      <c r="U10" s="7">
        <f t="shared" ref="U10" si="73">ROUND(M10*0,2)</f>
        <v>0</v>
      </c>
      <c r="V10" s="16">
        <f t="shared" ref="V10" si="74">E10/W10</f>
        <v>1614.7482842639583</v>
      </c>
      <c r="W10" s="8">
        <v>985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19500693.620000001</v>
      </c>
      <c r="C11" s="7">
        <v>17460997.09</v>
      </c>
      <c r="D11" s="7">
        <v>382039.03</v>
      </c>
      <c r="E11" s="7">
        <f t="shared" ref="E11" si="75">B11-C11-D11</f>
        <v>1657657.5000000012</v>
      </c>
      <c r="F11" s="7">
        <f>ROUND(E11*0.04,2)</f>
        <v>66306.3</v>
      </c>
      <c r="G11" s="7">
        <f t="shared" ref="G11" si="76">ROUND(E11*0,2)</f>
        <v>0</v>
      </c>
      <c r="H11" s="7">
        <f t="shared" ref="H11" si="77">E11-F11-G11</f>
        <v>1591351.2000000011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1591351.2000000011</v>
      </c>
      <c r="M11" s="7">
        <f t="shared" ref="M11" si="82">ROUND(L11*0.465,2)</f>
        <v>739978.31</v>
      </c>
      <c r="N11" s="7">
        <f>ROUND(L11*0.3,2)</f>
        <v>477405.36</v>
      </c>
      <c r="O11" s="7">
        <f t="shared" ref="O11" si="83">ROUND(L11*0.1285,2)</f>
        <v>204488.63</v>
      </c>
      <c r="P11" s="7">
        <f t="shared" ref="P11" si="84">ROUND((L11*0.07)*0.9,2)</f>
        <v>100255.13</v>
      </c>
      <c r="Q11" s="7">
        <f t="shared" ref="Q11" si="85">ROUND(L11*0.01,2)</f>
        <v>15913.51</v>
      </c>
      <c r="R11" s="7">
        <f t="shared" ref="R11" si="86">ROUND((L11*0.0075)*0.9,2)</f>
        <v>10741.62</v>
      </c>
      <c r="S11" s="7">
        <f t="shared" ref="S11" si="87">ROUND((L11*0.0075)*0.9,2)</f>
        <v>10741.62</v>
      </c>
      <c r="T11" s="7">
        <f>ROUND(L11*0.02,2)</f>
        <v>31827.02</v>
      </c>
      <c r="U11" s="7">
        <f t="shared" ref="U11" si="88">ROUND(M11*0,2)</f>
        <v>0</v>
      </c>
      <c r="V11" s="16">
        <f t="shared" ref="V11" si="89">E11/W11</f>
        <v>1676.0945399393338</v>
      </c>
      <c r="W11" s="8">
        <v>989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19215842.109999999</v>
      </c>
      <c r="C12" s="7">
        <v>17212038.879999999</v>
      </c>
      <c r="D12" s="7">
        <v>382105.41000000003</v>
      </c>
      <c r="E12" s="7">
        <f t="shared" ref="E12" si="90">B12-C12-D12</f>
        <v>1621697.8200000003</v>
      </c>
      <c r="F12" s="7">
        <f>ROUND(E12*0.04,2)</f>
        <v>64867.91</v>
      </c>
      <c r="G12" s="7">
        <f t="shared" ref="G12" si="91">ROUND(E12*0,2)</f>
        <v>0</v>
      </c>
      <c r="H12" s="7">
        <f t="shared" ref="H12" si="92">E12-F12-G12</f>
        <v>1556829.9100000004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1556829.9100000004</v>
      </c>
      <c r="M12" s="7">
        <f t="shared" ref="M12" si="97">ROUND(L12*0.465,2)</f>
        <v>723925.91</v>
      </c>
      <c r="N12" s="7">
        <f>ROUND(L12*0.3,2)+0.01</f>
        <v>467048.98</v>
      </c>
      <c r="O12" s="7">
        <f t="shared" ref="O12" si="98">ROUND(L12*0.1285,2)</f>
        <v>200052.64</v>
      </c>
      <c r="P12" s="7">
        <f t="shared" ref="P12" si="99">ROUND((L12*0.07)*0.9,2)</f>
        <v>98080.28</v>
      </c>
      <c r="Q12" s="7">
        <f t="shared" ref="Q12" si="100">ROUND(L12*0.01,2)</f>
        <v>15568.3</v>
      </c>
      <c r="R12" s="7">
        <f t="shared" ref="R12" si="101">ROUND((L12*0.0075)*0.9,2)</f>
        <v>10508.6</v>
      </c>
      <c r="S12" s="7">
        <f t="shared" ref="S12" si="102">ROUND((L12*0.0075)*0.9,2)</f>
        <v>10508.6</v>
      </c>
      <c r="T12" s="7">
        <f>ROUND(L12*0.02,2)</f>
        <v>31136.6</v>
      </c>
      <c r="U12" s="7">
        <f t="shared" ref="U12" si="103">ROUND(M12*0,2)</f>
        <v>0</v>
      </c>
      <c r="V12" s="16">
        <f t="shared" ref="V12" si="104">E12/W12</f>
        <v>1646.3937258883252</v>
      </c>
      <c r="W12" s="8">
        <v>985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19837644.079999998</v>
      </c>
      <c r="C13" s="7">
        <v>17976539.890000001</v>
      </c>
      <c r="D13" s="7">
        <v>410872.57000000007</v>
      </c>
      <c r="E13" s="7">
        <f t="shared" ref="E13" si="105">B13-C13-D13</f>
        <v>1450231.6199999976</v>
      </c>
      <c r="F13" s="7">
        <f>ROUND(E13*0.04,2)+0.01</f>
        <v>58009.270000000004</v>
      </c>
      <c r="G13" s="7">
        <f t="shared" ref="G13" si="106">ROUND(E13*0,2)</f>
        <v>0</v>
      </c>
      <c r="H13" s="7">
        <f t="shared" ref="H13" si="107">E13-F13-G13</f>
        <v>1392222.3499999975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1392222.3499999975</v>
      </c>
      <c r="M13" s="7">
        <f t="shared" ref="M13" si="112">ROUND(L13*0.465,2)</f>
        <v>647383.39</v>
      </c>
      <c r="N13" s="7">
        <f>ROUND(L13*0.3,2)+0.02</f>
        <v>417666.72000000003</v>
      </c>
      <c r="O13" s="7">
        <f t="shared" ref="O13" si="113">ROUND(L13*0.1285,2)</f>
        <v>178900.57</v>
      </c>
      <c r="P13" s="7">
        <f t="shared" ref="P13" si="114">ROUND((L13*0.07)*0.9,2)</f>
        <v>87710.01</v>
      </c>
      <c r="Q13" s="7">
        <f t="shared" ref="Q13" si="115">ROUND(L13*0.01,2)</f>
        <v>13922.22</v>
      </c>
      <c r="R13" s="7">
        <f t="shared" ref="R13" si="116">ROUND((L13*0.0075)*0.9,2)</f>
        <v>9397.5</v>
      </c>
      <c r="S13" s="7">
        <f t="shared" ref="S13" si="117">ROUND((L13*0.0075)*0.9,2)</f>
        <v>9397.5</v>
      </c>
      <c r="T13" s="7">
        <f>ROUND(L13*0.02,2)-0.01</f>
        <v>27844.440000000002</v>
      </c>
      <c r="U13" s="7">
        <f t="shared" ref="U13" si="118">ROUND(M13*0,2)</f>
        <v>0</v>
      </c>
      <c r="V13" s="16">
        <f t="shared" ref="V13" si="119">E13/W13</f>
        <v>1479.8281836734668</v>
      </c>
      <c r="W13" s="8">
        <v>980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20063663.210000001</v>
      </c>
      <c r="C14" s="7">
        <v>17964796.690000001</v>
      </c>
      <c r="D14" s="7">
        <v>385782.89</v>
      </c>
      <c r="E14" s="7">
        <f t="shared" ref="E14" si="120">B14-C14-D14</f>
        <v>1713083.6299999994</v>
      </c>
      <c r="F14" s="7">
        <f>ROUND(E14*0.04,2)+0.01</f>
        <v>68523.360000000001</v>
      </c>
      <c r="G14" s="7">
        <f t="shared" ref="G14" si="121">ROUND(E14*0,2)</f>
        <v>0</v>
      </c>
      <c r="H14" s="7">
        <f t="shared" ref="H14" si="122">E14-F14-G14</f>
        <v>1644560.2699999993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1644560.2699999993</v>
      </c>
      <c r="M14" s="7">
        <f t="shared" ref="M14" si="127">ROUND(L14*0.465,2)</f>
        <v>764720.53</v>
      </c>
      <c r="N14" s="7">
        <f>ROUND(L14*0.3,2)+0.01</f>
        <v>493368.09</v>
      </c>
      <c r="O14" s="7">
        <f t="shared" ref="O14" si="128">ROUND(L14*0.1285,2)</f>
        <v>211325.99</v>
      </c>
      <c r="P14" s="7">
        <f t="shared" ref="P14" si="129">ROUND((L14*0.07)*0.9,2)</f>
        <v>103607.3</v>
      </c>
      <c r="Q14" s="7">
        <f t="shared" ref="Q14" si="130">ROUND(L14*0.01,2)</f>
        <v>16445.599999999999</v>
      </c>
      <c r="R14" s="7">
        <f t="shared" ref="R14" si="131">ROUND((L14*0.0075)*0.9,2)</f>
        <v>11100.78</v>
      </c>
      <c r="S14" s="7">
        <f t="shared" ref="S14" si="132">ROUND((L14*0.0075)*0.9,2)</f>
        <v>11100.78</v>
      </c>
      <c r="T14" s="7">
        <f>ROUND(L14*0.02,2)-0.01</f>
        <v>32891.199999999997</v>
      </c>
      <c r="U14" s="7">
        <f t="shared" ref="U14" si="133">ROUND(M14*0,2)</f>
        <v>0</v>
      </c>
      <c r="V14" s="16">
        <f t="shared" ref="V14" si="134">E14/W14</f>
        <v>1767.888163054695</v>
      </c>
      <c r="W14" s="8">
        <v>969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4.25" customHeight="1" x14ac:dyDescent="0.25">
      <c r="B15" s="9"/>
      <c r="V15" s="10"/>
    </row>
    <row r="16" spans="1:96" ht="15" customHeight="1" thickBot="1" x14ac:dyDescent="0.3">
      <c r="B16" s="11">
        <f t="shared" ref="B16:U16" si="135">SUM(B6:B15)</f>
        <v>176549882.43000004</v>
      </c>
      <c r="C16" s="11">
        <f t="shared" si="135"/>
        <v>158477476.33999997</v>
      </c>
      <c r="D16" s="11">
        <f t="shared" si="135"/>
        <v>3458654.6100000008</v>
      </c>
      <c r="E16" s="11">
        <f t="shared" si="135"/>
        <v>14613751.479999997</v>
      </c>
      <c r="F16" s="11">
        <f t="shared" si="135"/>
        <v>584550.09</v>
      </c>
      <c r="G16" s="11">
        <f t="shared" si="135"/>
        <v>0</v>
      </c>
      <c r="H16" s="11">
        <f t="shared" si="135"/>
        <v>14029201.389999997</v>
      </c>
      <c r="I16" s="11">
        <f t="shared" si="135"/>
        <v>0</v>
      </c>
      <c r="J16" s="11">
        <f t="shared" si="135"/>
        <v>0</v>
      </c>
      <c r="K16" s="11">
        <f t="shared" si="135"/>
        <v>0</v>
      </c>
      <c r="L16" s="11">
        <f t="shared" si="135"/>
        <v>14029201.389999997</v>
      </c>
      <c r="M16" s="11">
        <f t="shared" si="135"/>
        <v>6523578.6500000004</v>
      </c>
      <c r="N16" s="11">
        <f t="shared" si="135"/>
        <v>4208760.43</v>
      </c>
      <c r="O16" s="11">
        <f t="shared" si="135"/>
        <v>1802752.37</v>
      </c>
      <c r="P16" s="11">
        <f t="shared" si="135"/>
        <v>883839.69000000006</v>
      </c>
      <c r="Q16" s="11">
        <f t="shared" si="135"/>
        <v>140292.01</v>
      </c>
      <c r="R16" s="11">
        <f t="shared" si="135"/>
        <v>94697.110000000015</v>
      </c>
      <c r="S16" s="11">
        <f>SUM(S6:S15)</f>
        <v>94697.110000000015</v>
      </c>
      <c r="T16" s="11">
        <f t="shared" si="135"/>
        <v>280584.02</v>
      </c>
      <c r="U16" s="11">
        <f t="shared" si="135"/>
        <v>0</v>
      </c>
      <c r="V16" s="12">
        <f>AVERAGE(V6:V15)</f>
        <v>1649.3018234445321</v>
      </c>
      <c r="W16" s="13">
        <f>AVERAGE(W6:W15)</f>
        <v>984.55555555555554</v>
      </c>
    </row>
    <row r="17" spans="1:3" ht="15" customHeight="1" thickTop="1" x14ac:dyDescent="0.25"/>
    <row r="18" spans="1:3" ht="15" customHeight="1" x14ac:dyDescent="0.25">
      <c r="A18" s="1" t="s">
        <v>34</v>
      </c>
    </row>
    <row r="19" spans="1:3" ht="15" customHeight="1" x14ac:dyDescent="0.25">
      <c r="A19" s="1" t="s">
        <v>4</v>
      </c>
    </row>
    <row r="23" spans="1:3" ht="15" customHeight="1" x14ac:dyDescent="0.25">
      <c r="C23" t="s">
        <v>32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19"/>
  <sheetViews>
    <sheetView workbookViewId="0">
      <pane ySplit="3" topLeftCell="A4" activePane="bottomLeft" state="frozen"/>
      <selection pane="bottomLeft" activeCell="A16" sqref="A16"/>
    </sheetView>
  </sheetViews>
  <sheetFormatPr defaultRowHeight="15" customHeight="1" x14ac:dyDescent="0.25"/>
  <cols>
    <col min="1" max="1" width="11.7109375" customWidth="1"/>
    <col min="2" max="2" width="16.42578125" customWidth="1"/>
    <col min="3" max="3" width="16.28515625" customWidth="1"/>
    <col min="4" max="4" width="14.7109375" customWidth="1"/>
    <col min="5" max="5" width="15.5703125" customWidth="1"/>
    <col min="6" max="6" width="14.7109375" customWidth="1"/>
    <col min="7" max="7" width="12.7109375" customWidth="1"/>
    <col min="8" max="8" width="15.42578125" customWidth="1"/>
    <col min="9" max="9" width="12.7109375" hidden="1" customWidth="1"/>
    <col min="10" max="11" width="12.7109375" customWidth="1"/>
    <col min="12" max="12" width="15.140625" customWidth="1"/>
    <col min="13" max="13" width="15.85546875" customWidth="1"/>
    <col min="14" max="14" width="16.85546875" customWidth="1"/>
    <col min="15" max="15" width="15.28515625" customWidth="1"/>
    <col min="16" max="16" width="15.140625" customWidth="1"/>
    <col min="17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626056113.47000015</v>
      </c>
      <c r="C2" s="4">
        <v>566774385.00000012</v>
      </c>
      <c r="D2" s="4">
        <v>7561220.1200000001</v>
      </c>
      <c r="E2" s="4">
        <v>51720508.350000009</v>
      </c>
      <c r="F2" s="4">
        <v>1791316.3000000003</v>
      </c>
      <c r="G2" s="4">
        <v>277503.93</v>
      </c>
      <c r="H2" s="4">
        <v>49651688.120000012</v>
      </c>
      <c r="I2" s="4">
        <v>531558.66</v>
      </c>
      <c r="J2" s="4">
        <v>330629.49000000005</v>
      </c>
      <c r="K2" s="4">
        <v>200929.16999999998</v>
      </c>
      <c r="L2" s="4">
        <v>49120129.460000008</v>
      </c>
      <c r="M2" s="4">
        <v>22625578.960000001</v>
      </c>
      <c r="N2" s="4">
        <v>13300830.600000001</v>
      </c>
      <c r="O2" s="4">
        <v>8115514.96</v>
      </c>
      <c r="P2" s="4">
        <v>2965399.4399999995</v>
      </c>
      <c r="Q2" s="4">
        <v>467281.14000000013</v>
      </c>
      <c r="R2" s="4">
        <v>331560.89999999991</v>
      </c>
      <c r="S2" s="4">
        <v>331560.89999999991</v>
      </c>
      <c r="T2" s="4">
        <v>721392.78999999992</v>
      </c>
      <c r="U2" s="4">
        <v>261009.77000000002</v>
      </c>
      <c r="V2" s="4">
        <v>1504.1259367157938</v>
      </c>
      <c r="W2" s="8">
        <v>637.42592592592598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36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11635365.010000002</v>
      </c>
      <c r="C6" s="7">
        <v>10503997.35</v>
      </c>
      <c r="D6" s="7">
        <v>137893.03</v>
      </c>
      <c r="E6" s="7">
        <f t="shared" ref="E6" si="0">B6-C6-D6</f>
        <v>993474.63000000198</v>
      </c>
      <c r="F6" s="7">
        <f>ROUND(E6*0.04,2)-0.01</f>
        <v>39738.979999999996</v>
      </c>
      <c r="G6" s="7">
        <f t="shared" ref="G6" si="1">ROUND(E6*0,2)</f>
        <v>0</v>
      </c>
      <c r="H6" s="7">
        <f t="shared" ref="H6" si="2">E6-F6-G6</f>
        <v>953735.650000002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953735.650000002</v>
      </c>
      <c r="M6" s="7">
        <f t="shared" ref="M6" si="7">ROUND(L6*0.465,2)</f>
        <v>443487.08</v>
      </c>
      <c r="N6" s="7">
        <f>ROUND(L6*0.3,2)-0.03</f>
        <v>286120.67</v>
      </c>
      <c r="O6" s="7">
        <f t="shared" ref="O6" si="8">ROUND(L6*0.1285,2)</f>
        <v>122555.03</v>
      </c>
      <c r="P6" s="7">
        <f t="shared" ref="P6" si="9">ROUND((L6*0.07)*0.9,2)</f>
        <v>60085.35</v>
      </c>
      <c r="Q6" s="7">
        <f t="shared" ref="Q6" si="10">ROUND(L6*0.01,2)</f>
        <v>9537.36</v>
      </c>
      <c r="R6" s="7">
        <f t="shared" ref="R6" si="11">ROUND((L6*0.0075)*0.9,2)</f>
        <v>6437.72</v>
      </c>
      <c r="S6" s="7">
        <f t="shared" ref="S6" si="12">ROUND((L6*0.0075)*0.9,2)</f>
        <v>6437.72</v>
      </c>
      <c r="T6" s="7">
        <f>ROUND(L6*0.02,2)+0.01</f>
        <v>19074.719999999998</v>
      </c>
      <c r="U6" s="7">
        <f t="shared" ref="U6" si="13">ROUND(M6*0,2)</f>
        <v>0</v>
      </c>
      <c r="V6" s="16">
        <f t="shared" ref="V6" si="14">E6/W6</f>
        <v>1547.4682710280404</v>
      </c>
      <c r="W6" s="8">
        <v>642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11493378.43</v>
      </c>
      <c r="C7" s="7">
        <v>10510184.17</v>
      </c>
      <c r="D7" s="7">
        <v>137073.95000000001</v>
      </c>
      <c r="E7" s="7">
        <f t="shared" ref="E7" si="15">B7-C7-D7</f>
        <v>846120.30999999982</v>
      </c>
      <c r="F7" s="7">
        <f>ROUND(E7*0.04,2)+0.02</f>
        <v>33844.829999999994</v>
      </c>
      <c r="G7" s="7">
        <f t="shared" ref="G7" si="16">ROUND(E7*0,2)</f>
        <v>0</v>
      </c>
      <c r="H7" s="7">
        <f t="shared" ref="H7" si="17">E7-F7-G7</f>
        <v>812275.47999999986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812275.47999999986</v>
      </c>
      <c r="M7" s="7">
        <f t="shared" ref="M7" si="22">ROUND(L7*0.465,2)</f>
        <v>377708.1</v>
      </c>
      <c r="N7" s="7">
        <f>ROUND(L7*0.3,2)+0.01</f>
        <v>243682.65000000002</v>
      </c>
      <c r="O7" s="7">
        <f t="shared" ref="O7" si="23">ROUND(L7*0.1285,2)</f>
        <v>104377.4</v>
      </c>
      <c r="P7" s="7">
        <f t="shared" ref="P7" si="24">ROUND((L7*0.07)*0.9,2)</f>
        <v>51173.36</v>
      </c>
      <c r="Q7" s="7">
        <f t="shared" ref="Q7" si="25">ROUND(L7*0.01,2)</f>
        <v>8122.75</v>
      </c>
      <c r="R7" s="7">
        <f t="shared" ref="R7" si="26">ROUND((L7*0.0075)*0.9,2)</f>
        <v>5482.86</v>
      </c>
      <c r="S7" s="7">
        <f t="shared" ref="S7" si="27">ROUND((L7*0.0075)*0.9,2)</f>
        <v>5482.86</v>
      </c>
      <c r="T7" s="7">
        <f>ROUND(L7*0.02,2)-0.01</f>
        <v>16245.5</v>
      </c>
      <c r="U7" s="7">
        <f t="shared" ref="U7" si="28">ROUND(M7*0,2)</f>
        <v>0</v>
      </c>
      <c r="V7" s="16">
        <f t="shared" ref="V7" si="29">E7/W7</f>
        <v>1326.2073824451409</v>
      </c>
      <c r="W7" s="8">
        <v>638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13135484.5</v>
      </c>
      <c r="C8" s="7">
        <v>11956658.469999999</v>
      </c>
      <c r="D8" s="7">
        <v>154307.84999999998</v>
      </c>
      <c r="E8" s="7">
        <f t="shared" ref="E8" si="30">B8-C8-D8</f>
        <v>1024518.1800000012</v>
      </c>
      <c r="F8" s="7">
        <f>ROUND(E8*0.04,2)-0.01</f>
        <v>40980.720000000001</v>
      </c>
      <c r="G8" s="7">
        <f t="shared" ref="G8" si="31">ROUND(E8*0,2)</f>
        <v>0</v>
      </c>
      <c r="H8" s="7">
        <f t="shared" ref="H8" si="32">E8-F8-G8</f>
        <v>983537.46000000124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983537.46000000124</v>
      </c>
      <c r="M8" s="7">
        <f t="shared" ref="M8" si="37">ROUND(L8*0.465,2)</f>
        <v>457344.92</v>
      </c>
      <c r="N8" s="7">
        <f>ROUND(L8*0.3,2)+0.01</f>
        <v>295061.25</v>
      </c>
      <c r="O8" s="7">
        <f t="shared" ref="O8" si="38">ROUND(L8*0.1285,2)</f>
        <v>126384.56</v>
      </c>
      <c r="P8" s="7">
        <f t="shared" ref="P8" si="39">ROUND((L8*0.07)*0.9,2)</f>
        <v>61962.86</v>
      </c>
      <c r="Q8" s="7">
        <f t="shared" ref="Q8" si="40">ROUND(L8*0.01,2)</f>
        <v>9835.3700000000008</v>
      </c>
      <c r="R8" s="7">
        <f t="shared" ref="R8" si="41">ROUND((L8*0.0075)*0.9,2)</f>
        <v>6638.88</v>
      </c>
      <c r="S8" s="7">
        <f t="shared" ref="S8" si="42">ROUND((L8*0.0075)*0.9,2)</f>
        <v>6638.88</v>
      </c>
      <c r="T8" s="7">
        <f>ROUND(L8*0.02,2)-0.01</f>
        <v>19670.740000000002</v>
      </c>
      <c r="U8" s="7">
        <f t="shared" ref="U8" si="43">ROUND(M8*0,2)</f>
        <v>0</v>
      </c>
      <c r="V8" s="16">
        <f t="shared" ref="V8" si="44">E8/W8</f>
        <v>1644.4914606741593</v>
      </c>
      <c r="W8" s="8">
        <v>623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11292458.859999999</v>
      </c>
      <c r="C9" s="7">
        <v>10137935.189999999</v>
      </c>
      <c r="D9" s="7">
        <v>135622.97</v>
      </c>
      <c r="E9" s="7">
        <f t="shared" ref="E9" si="45">B9-C9-D9</f>
        <v>1018900.7</v>
      </c>
      <c r="F9" s="7">
        <f>ROUND(E9*0.04,2)</f>
        <v>40756.03</v>
      </c>
      <c r="G9" s="7">
        <f t="shared" ref="G9" si="46">ROUND(E9*0,2)</f>
        <v>0</v>
      </c>
      <c r="H9" s="7">
        <f t="shared" ref="H9" si="47">E9-F9-G9</f>
        <v>978144.66999999993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978144.66999999993</v>
      </c>
      <c r="M9" s="7">
        <f t="shared" ref="M9" si="52">ROUND(L9*0.465,2)</f>
        <v>454837.27</v>
      </c>
      <c r="N9" s="7">
        <f>ROUND(L9*0.3,2)-0.01</f>
        <v>293443.39</v>
      </c>
      <c r="O9" s="7">
        <f t="shared" ref="O9" si="53">ROUND(L9*0.1285,2)</f>
        <v>125691.59</v>
      </c>
      <c r="P9" s="7">
        <f t="shared" ref="P9" si="54">ROUND((L9*0.07)*0.9,2)</f>
        <v>61623.11</v>
      </c>
      <c r="Q9" s="7">
        <f t="shared" ref="Q9" si="55">ROUND(L9*0.01,2)</f>
        <v>9781.4500000000007</v>
      </c>
      <c r="R9" s="7">
        <f t="shared" ref="R9" si="56">ROUND((L9*0.0075)*0.9,2)</f>
        <v>6602.48</v>
      </c>
      <c r="S9" s="7">
        <f t="shared" ref="S9" si="57">ROUND((L9*0.0075)*0.9,2)</f>
        <v>6602.48</v>
      </c>
      <c r="T9" s="7">
        <f>ROUND(L9*0.02,2)+0.01</f>
        <v>19562.899999999998</v>
      </c>
      <c r="U9" s="7">
        <f t="shared" ref="U9" si="58">ROUND(M9*0,2)</f>
        <v>0</v>
      </c>
      <c r="V9" s="16">
        <f t="shared" ref="V9" si="59">E9/W9</f>
        <v>1604.568031496063</v>
      </c>
      <c r="W9" s="8">
        <v>635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12361026.48</v>
      </c>
      <c r="C10" s="7">
        <v>11138870.120000001</v>
      </c>
      <c r="D10" s="7">
        <v>164180</v>
      </c>
      <c r="E10" s="7">
        <f>B10-C10-D10</f>
        <v>1057976.3599999994</v>
      </c>
      <c r="F10" s="7">
        <f>ROUND(E10*0.04,2)+0.01</f>
        <v>42319.060000000005</v>
      </c>
      <c r="G10" s="7">
        <f t="shared" ref="G10" si="60">ROUND(E10*0,2)</f>
        <v>0</v>
      </c>
      <c r="H10" s="7">
        <f t="shared" ref="H10" si="61">E10-F10-G10</f>
        <v>1015657.2999999993</v>
      </c>
      <c r="I10" s="7">
        <f t="shared" ref="I10" si="62">ROUND(H10*0,2)</f>
        <v>0</v>
      </c>
      <c r="J10" s="7">
        <f t="shared" ref="J10" si="63">ROUND((I10*0.58)+((I10*0.42)*0.1),2)</f>
        <v>0</v>
      </c>
      <c r="K10" s="7">
        <f t="shared" ref="K10" si="64">ROUND((I10*0.42)*0.9,2)</f>
        <v>0</v>
      </c>
      <c r="L10" s="18">
        <f t="shared" ref="L10" si="65">IF(J10+K10=I10,H10-I10,"ERROR")</f>
        <v>1015657.2999999993</v>
      </c>
      <c r="M10" s="7">
        <f t="shared" ref="M10" si="66">ROUND(L10*0.465,2)</f>
        <v>472280.64</v>
      </c>
      <c r="N10" s="7">
        <f>ROUND(L10*0.3,2)+0.01</f>
        <v>304697.2</v>
      </c>
      <c r="O10" s="7">
        <f t="shared" ref="O10" si="67">ROUND(L10*0.1285,2)</f>
        <v>130511.96</v>
      </c>
      <c r="P10" s="7">
        <f t="shared" ref="P10" si="68">ROUND((L10*0.07)*0.9,2)</f>
        <v>63986.41</v>
      </c>
      <c r="Q10" s="7">
        <f t="shared" ref="Q10" si="69">ROUND(L10*0.01,2)</f>
        <v>10156.57</v>
      </c>
      <c r="R10" s="7">
        <f t="shared" ref="R10" si="70">ROUND((L10*0.0075)*0.9,2)</f>
        <v>6855.69</v>
      </c>
      <c r="S10" s="7">
        <f t="shared" ref="S10" si="71">ROUND((L10*0.0075)*0.9,2)</f>
        <v>6855.69</v>
      </c>
      <c r="T10" s="7">
        <f>ROUND(L10*0.02,2)-0.01</f>
        <v>20313.140000000003</v>
      </c>
      <c r="U10" s="7">
        <f t="shared" ref="U10" si="72">ROUND(M10*0,2)</f>
        <v>0</v>
      </c>
      <c r="V10" s="16">
        <f t="shared" ref="V10" si="73">E10/W10</f>
        <v>1660.8734065934057</v>
      </c>
      <c r="W10" s="8">
        <v>637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12728754.399999999</v>
      </c>
      <c r="C11" s="7">
        <v>11525603.290000001</v>
      </c>
      <c r="D11" s="7">
        <v>157823.91999999998</v>
      </c>
      <c r="E11" s="7">
        <f>B11-C11-D11</f>
        <v>1045327.1899999976</v>
      </c>
      <c r="F11" s="7">
        <f>ROUND(E11*0.04,2)</f>
        <v>41813.089999999997</v>
      </c>
      <c r="G11" s="7">
        <f t="shared" ref="G11" si="74">ROUND(E11*0,2)</f>
        <v>0</v>
      </c>
      <c r="H11" s="7">
        <f t="shared" ref="H11" si="75">E11-F11-G11</f>
        <v>1003514.0999999976</v>
      </c>
      <c r="I11" s="7">
        <f t="shared" ref="I11" si="76">ROUND(H11*0,2)</f>
        <v>0</v>
      </c>
      <c r="J11" s="7">
        <f t="shared" ref="J11" si="77">ROUND((I11*0.58)+((I11*0.42)*0.1),2)</f>
        <v>0</v>
      </c>
      <c r="K11" s="7">
        <f t="shared" ref="K11" si="78">ROUND((I11*0.42)*0.9,2)</f>
        <v>0</v>
      </c>
      <c r="L11" s="18">
        <f t="shared" ref="L11" si="79">IF(J11+K11=I11,H11-I11,"ERROR")</f>
        <v>1003514.0999999976</v>
      </c>
      <c r="M11" s="7">
        <f t="shared" ref="M11" si="80">ROUND(L11*0.465,2)</f>
        <v>466634.06</v>
      </c>
      <c r="N11" s="7">
        <f>ROUND(L11*0.3,2)</f>
        <v>301054.23</v>
      </c>
      <c r="O11" s="7">
        <f t="shared" ref="O11" si="81">ROUND(L11*0.1285,2)</f>
        <v>128951.56</v>
      </c>
      <c r="P11" s="7">
        <f t="shared" ref="P11" si="82">ROUND((L11*0.07)*0.9,2)</f>
        <v>63221.39</v>
      </c>
      <c r="Q11" s="7">
        <f t="shared" ref="Q11" si="83">ROUND(L11*0.01,2)</f>
        <v>10035.14</v>
      </c>
      <c r="R11" s="7">
        <f t="shared" ref="R11" si="84">ROUND((L11*0.0075)*0.9,2)</f>
        <v>6773.72</v>
      </c>
      <c r="S11" s="7">
        <f t="shared" ref="S11" si="85">ROUND((L11*0.0075)*0.9,2)</f>
        <v>6773.72</v>
      </c>
      <c r="T11" s="7">
        <f>ROUND(L11*0.02,2)</f>
        <v>20070.28</v>
      </c>
      <c r="U11" s="7">
        <f t="shared" ref="U11" si="86">ROUND(M11*0,2)</f>
        <v>0</v>
      </c>
      <c r="V11" s="16">
        <f t="shared" ref="V11" si="87">E11/W11</f>
        <v>1659.2495079365042</v>
      </c>
      <c r="W11" s="8">
        <v>630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12223687.670000002</v>
      </c>
      <c r="C12" s="7">
        <v>11039905.470000001</v>
      </c>
      <c r="D12" s="7">
        <v>162468.34</v>
      </c>
      <c r="E12" s="7">
        <f>B12-C12-D12</f>
        <v>1021313.8600000012</v>
      </c>
      <c r="F12" s="7">
        <f>ROUND(E12*0.04,2)+0.01</f>
        <v>40852.560000000005</v>
      </c>
      <c r="G12" s="7">
        <f t="shared" ref="G12" si="88">ROUND(E12*0,2)</f>
        <v>0</v>
      </c>
      <c r="H12" s="7">
        <f t="shared" ref="H12" si="89">E12-F12-G12</f>
        <v>980461.30000000109</v>
      </c>
      <c r="I12" s="7">
        <f t="shared" ref="I12" si="90">ROUND(H12*0,2)</f>
        <v>0</v>
      </c>
      <c r="J12" s="7">
        <f t="shared" ref="J12" si="91">ROUND((I12*0.58)+((I12*0.42)*0.1),2)</f>
        <v>0</v>
      </c>
      <c r="K12" s="7">
        <f t="shared" ref="K12" si="92">ROUND((I12*0.42)*0.9,2)</f>
        <v>0</v>
      </c>
      <c r="L12" s="18">
        <f t="shared" ref="L12" si="93">IF(J12+K12=I12,H12-I12,"ERROR")</f>
        <v>980461.30000000109</v>
      </c>
      <c r="M12" s="7">
        <f t="shared" ref="M12" si="94">ROUND(L12*0.465,2)</f>
        <v>455914.5</v>
      </c>
      <c r="N12" s="7">
        <f>ROUND(L12*0.3,2)+0.02</f>
        <v>294138.41000000003</v>
      </c>
      <c r="O12" s="7">
        <f t="shared" ref="O12" si="95">ROUND(L12*0.1285,2)</f>
        <v>125989.28</v>
      </c>
      <c r="P12" s="7">
        <f t="shared" ref="P12" si="96">ROUND((L12*0.07)*0.9,2)</f>
        <v>61769.06</v>
      </c>
      <c r="Q12" s="7">
        <f t="shared" ref="Q12" si="97">ROUND(L12*0.01,2)</f>
        <v>9804.61</v>
      </c>
      <c r="R12" s="7">
        <f t="shared" ref="R12" si="98">ROUND((L12*0.0075)*0.9,2)</f>
        <v>6618.11</v>
      </c>
      <c r="S12" s="7">
        <f t="shared" ref="S12" si="99">ROUND((L12*0.0075)*0.9,2)</f>
        <v>6618.11</v>
      </c>
      <c r="T12" s="7">
        <f>ROUND(L12*0.02,2)-0.01</f>
        <v>19609.22</v>
      </c>
      <c r="U12" s="7">
        <f t="shared" ref="U12" si="100">ROUND(M12*0,2)</f>
        <v>0</v>
      </c>
      <c r="V12" s="16">
        <f t="shared" ref="V12" si="101">E12/W12</f>
        <v>1655.2898865478139</v>
      </c>
      <c r="W12" s="8">
        <v>617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12061098.609999999</v>
      </c>
      <c r="C13" s="7">
        <v>10894297.84</v>
      </c>
      <c r="D13" s="7">
        <v>158038.01999999999</v>
      </c>
      <c r="E13" s="7">
        <f>B13-C13-D13</f>
        <v>1008762.7499999995</v>
      </c>
      <c r="F13" s="7">
        <f>ROUND(E13*0.04,2)-0.01</f>
        <v>40350.5</v>
      </c>
      <c r="G13" s="7">
        <f t="shared" ref="G13" si="102">ROUND(E13*0,2)</f>
        <v>0</v>
      </c>
      <c r="H13" s="7">
        <f t="shared" ref="H13" si="103">E13-F13-G13</f>
        <v>968412.24999999953</v>
      </c>
      <c r="I13" s="7">
        <f t="shared" ref="I13" si="104">ROUND(H13*0,2)</f>
        <v>0</v>
      </c>
      <c r="J13" s="7">
        <f t="shared" ref="J13" si="105">ROUND((I13*0.58)+((I13*0.42)*0.1),2)</f>
        <v>0</v>
      </c>
      <c r="K13" s="7">
        <f t="shared" ref="K13" si="106">ROUND((I13*0.42)*0.9,2)</f>
        <v>0</v>
      </c>
      <c r="L13" s="18">
        <f t="shared" ref="L13" si="107">IF(J13+K13=I13,H13-I13,"ERROR")</f>
        <v>968412.24999999953</v>
      </c>
      <c r="M13" s="7">
        <f t="shared" ref="M13" si="108">ROUND(L13*0.465,2)</f>
        <v>450311.7</v>
      </c>
      <c r="N13" s="7">
        <f>ROUND(L13*0.3,2)+0.01</f>
        <v>290523.69</v>
      </c>
      <c r="O13" s="7">
        <f t="shared" ref="O13" si="109">ROUND(L13*0.1285,2)</f>
        <v>124440.97</v>
      </c>
      <c r="P13" s="7">
        <f t="shared" ref="P13" si="110">ROUND((L13*0.07)*0.9,2)</f>
        <v>61009.97</v>
      </c>
      <c r="Q13" s="7">
        <f t="shared" ref="Q13" si="111">ROUND(L13*0.01,2)</f>
        <v>9684.1200000000008</v>
      </c>
      <c r="R13" s="7">
        <f t="shared" ref="R13" si="112">ROUND((L13*0.0075)*0.9,2)</f>
        <v>6536.78</v>
      </c>
      <c r="S13" s="7">
        <f t="shared" ref="S13" si="113">ROUND((L13*0.0075)*0.9,2)</f>
        <v>6536.78</v>
      </c>
      <c r="T13" s="7">
        <f>ROUND(L13*0.02,2)-0.01</f>
        <v>19368.240000000002</v>
      </c>
      <c r="U13" s="7">
        <f t="shared" ref="U13" si="114">ROUND(M13*0,2)</f>
        <v>0</v>
      </c>
      <c r="V13" s="16">
        <f t="shared" ref="V13" si="115">E13/W13</f>
        <v>1611.4420926517564</v>
      </c>
      <c r="W13" s="8">
        <v>626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12103407.24</v>
      </c>
      <c r="C14" s="7">
        <v>10937964.530000001</v>
      </c>
      <c r="D14" s="7">
        <v>145209.73000000001</v>
      </c>
      <c r="E14" s="7">
        <f>B14-C14-D14</f>
        <v>1020232.9799999991</v>
      </c>
      <c r="F14" s="7">
        <f>ROUND(E14*0.04,2)+0.01</f>
        <v>40809.33</v>
      </c>
      <c r="G14" s="7">
        <f t="shared" ref="G14" si="116">ROUND(E14*0,2)</f>
        <v>0</v>
      </c>
      <c r="H14" s="7">
        <f t="shared" ref="H14" si="117">E14-F14-G14</f>
        <v>979423.64999999909</v>
      </c>
      <c r="I14" s="7">
        <f t="shared" ref="I14" si="118">ROUND(H14*0,2)</f>
        <v>0</v>
      </c>
      <c r="J14" s="7">
        <f t="shared" ref="J14" si="119">ROUND((I14*0.58)+((I14*0.42)*0.1),2)</f>
        <v>0</v>
      </c>
      <c r="K14" s="7">
        <f t="shared" ref="K14" si="120">ROUND((I14*0.42)*0.9,2)</f>
        <v>0</v>
      </c>
      <c r="L14" s="18">
        <f t="shared" ref="L14" si="121">IF(J14+K14=I14,H14-I14,"ERROR")</f>
        <v>979423.64999999909</v>
      </c>
      <c r="M14" s="7">
        <f t="shared" ref="M14" si="122">ROUND(L14*0.465,2)</f>
        <v>455432</v>
      </c>
      <c r="N14" s="7">
        <f>ROUND(L14*0.3,2)-0.02</f>
        <v>293827.07999999996</v>
      </c>
      <c r="O14" s="7">
        <f t="shared" ref="O14" si="123">ROUND(L14*0.1285,2)</f>
        <v>125855.94</v>
      </c>
      <c r="P14" s="7">
        <f t="shared" ref="P14" si="124">ROUND((L14*0.07)*0.9,2)</f>
        <v>61703.69</v>
      </c>
      <c r="Q14" s="7">
        <f t="shared" ref="Q14" si="125">ROUND(L14*0.01,2)</f>
        <v>9794.24</v>
      </c>
      <c r="R14" s="7">
        <f t="shared" ref="R14" si="126">ROUND((L14*0.0075)*0.9,2)</f>
        <v>6611.11</v>
      </c>
      <c r="S14" s="7">
        <f t="shared" ref="S14" si="127">ROUND((L14*0.0075)*0.9,2)</f>
        <v>6611.11</v>
      </c>
      <c r="T14" s="7">
        <f>ROUND(L14*0.02,2)+0.01</f>
        <v>19588.48</v>
      </c>
      <c r="U14" s="7">
        <f t="shared" ref="U14" si="128">ROUND(M14*0,2)</f>
        <v>0</v>
      </c>
      <c r="V14" s="16">
        <f t="shared" ref="V14" si="129">E14/W14</f>
        <v>1637.6131300160498</v>
      </c>
      <c r="W14" s="8">
        <v>623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B15" s="9"/>
      <c r="V15" s="10"/>
    </row>
    <row r="16" spans="1:96" ht="15" customHeight="1" thickBot="1" x14ac:dyDescent="0.3">
      <c r="B16" s="11">
        <f t="shared" ref="B16:U16" si="130">SUM(B6:B15)</f>
        <v>109034661.2</v>
      </c>
      <c r="C16" s="11">
        <f t="shared" si="130"/>
        <v>98645416.430000007</v>
      </c>
      <c r="D16" s="11">
        <f t="shared" si="130"/>
        <v>1352617.81</v>
      </c>
      <c r="E16" s="11">
        <f t="shared" si="130"/>
        <v>9036626.959999999</v>
      </c>
      <c r="F16" s="11">
        <f t="shared" si="130"/>
        <v>361465.10000000003</v>
      </c>
      <c r="G16" s="11">
        <f t="shared" si="130"/>
        <v>0</v>
      </c>
      <c r="H16" s="11">
        <f t="shared" si="130"/>
        <v>8675161.8599999994</v>
      </c>
      <c r="I16" s="11">
        <f t="shared" si="130"/>
        <v>0</v>
      </c>
      <c r="J16" s="11">
        <f t="shared" si="130"/>
        <v>0</v>
      </c>
      <c r="K16" s="11">
        <f t="shared" si="130"/>
        <v>0</v>
      </c>
      <c r="L16" s="11">
        <f t="shared" si="130"/>
        <v>8675161.8599999994</v>
      </c>
      <c r="M16" s="11">
        <f t="shared" si="130"/>
        <v>4033950.27</v>
      </c>
      <c r="N16" s="11">
        <f t="shared" si="130"/>
        <v>2602548.5699999998</v>
      </c>
      <c r="O16" s="11">
        <f t="shared" si="130"/>
        <v>1114758.2899999998</v>
      </c>
      <c r="P16" s="11">
        <f t="shared" si="130"/>
        <v>546535.19999999995</v>
      </c>
      <c r="Q16" s="11">
        <f t="shared" si="130"/>
        <v>86751.61</v>
      </c>
      <c r="R16" s="11">
        <f t="shared" si="130"/>
        <v>58557.35</v>
      </c>
      <c r="S16" s="11">
        <f t="shared" si="130"/>
        <v>58557.35</v>
      </c>
      <c r="T16" s="11">
        <f t="shared" si="130"/>
        <v>173503.22</v>
      </c>
      <c r="U16" s="11">
        <f t="shared" si="130"/>
        <v>0</v>
      </c>
      <c r="V16" s="12">
        <f>AVERAGE(V6:V15)</f>
        <v>1594.1336854876595</v>
      </c>
      <c r="W16" s="13">
        <f>AVERAGE(W6:W15)</f>
        <v>630.11111111111109</v>
      </c>
    </row>
    <row r="17" spans="1:1" ht="15" customHeight="1" thickTop="1" x14ac:dyDescent="0.25"/>
    <row r="18" spans="1:1" ht="15" customHeight="1" x14ac:dyDescent="0.25">
      <c r="A18" s="1" t="s">
        <v>34</v>
      </c>
    </row>
    <row r="19" spans="1:1" ht="15" customHeight="1" x14ac:dyDescent="0.25">
      <c r="A19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19"/>
  <sheetViews>
    <sheetView zoomScaleNormal="100" workbookViewId="0">
      <pane ySplit="3" topLeftCell="A4" activePane="bottomLeft" state="frozen"/>
      <selection pane="bottomLeft" activeCell="A16" sqref="A16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140625" bestFit="1" customWidth="1"/>
    <col min="5" max="5" width="17.28515625" bestFit="1" customWidth="1"/>
    <col min="6" max="6" width="14.5703125" customWidth="1"/>
    <col min="7" max="7" width="15" customWidth="1"/>
    <col min="8" max="8" width="17.7109375" customWidth="1"/>
    <col min="9" max="9" width="15.140625" hidden="1" customWidth="1"/>
    <col min="10" max="10" width="15.140625" customWidth="1"/>
    <col min="11" max="11" width="15.28515625" customWidth="1"/>
    <col min="12" max="12" width="17.140625" customWidth="1"/>
    <col min="13" max="13" width="16.140625" bestFit="1" customWidth="1"/>
    <col min="14" max="14" width="15.7109375" customWidth="1"/>
    <col min="15" max="16" width="16" customWidth="1"/>
    <col min="17" max="18" width="15.42578125" customWidth="1"/>
    <col min="19" max="19" width="15" customWidth="1"/>
    <col min="20" max="20" width="14.7109375" customWidth="1"/>
    <col min="21" max="21" width="13.85546875" customWidth="1"/>
    <col min="22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3196277199.8600001</v>
      </c>
      <c r="C2" s="4">
        <v>2886573246.0799999</v>
      </c>
      <c r="D2" s="4">
        <v>45684333.160000004</v>
      </c>
      <c r="E2" s="4">
        <v>264019620.62000003</v>
      </c>
      <c r="F2" s="4">
        <v>5340672.84</v>
      </c>
      <c r="G2" s="4">
        <v>5220111.959999999</v>
      </c>
      <c r="H2" s="4">
        <v>253458835.81999993</v>
      </c>
      <c r="I2" s="4">
        <v>12127174.51</v>
      </c>
      <c r="J2" s="4">
        <v>7543102.5300000012</v>
      </c>
      <c r="K2" s="4">
        <v>4584071.9799999995</v>
      </c>
      <c r="L2" s="4">
        <v>241331661.31000003</v>
      </c>
      <c r="M2" s="4">
        <v>107307716.84999998</v>
      </c>
      <c r="N2" s="4">
        <v>39656127.250000007</v>
      </c>
      <c r="O2" s="4">
        <v>72158621.510000005</v>
      </c>
      <c r="P2" s="4">
        <v>12256991.260000002</v>
      </c>
      <c r="Q2" s="4">
        <v>1867593.7600000005</v>
      </c>
      <c r="R2" s="4">
        <v>1628988.7400000002</v>
      </c>
      <c r="S2" s="4">
        <v>1628988.7400000002</v>
      </c>
      <c r="T2" s="4">
        <v>2869348.3400000008</v>
      </c>
      <c r="U2" s="4">
        <v>1957284.8600000003</v>
      </c>
      <c r="V2" s="4">
        <v>2915.8412351779348</v>
      </c>
      <c r="W2" s="8">
        <v>1681.4444444444443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36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62960028.079999991</v>
      </c>
      <c r="C6" s="7">
        <v>56904192.870000005</v>
      </c>
      <c r="D6" s="7">
        <v>1083022.43</v>
      </c>
      <c r="E6" s="7">
        <f t="shared" ref="E6" si="0">B6-C6-D6</f>
        <v>4972812.7799999863</v>
      </c>
      <c r="F6" s="7">
        <f>ROUND(E6*0.04,2)</f>
        <v>198912.51</v>
      </c>
      <c r="G6" s="7">
        <f t="shared" ref="G6" si="1">ROUND(E6*0,2)</f>
        <v>0</v>
      </c>
      <c r="H6" s="7">
        <f t="shared" ref="H6" si="2">E6-F6-G6</f>
        <v>4773900.2699999865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4773900.2699999865</v>
      </c>
      <c r="M6" s="7">
        <f t="shared" ref="M6" si="7">ROUND(L6*0.465,2)</f>
        <v>2219863.63</v>
      </c>
      <c r="N6" s="7">
        <f>ROUND(L6*0.3,2)</f>
        <v>1432170.08</v>
      </c>
      <c r="O6" s="7">
        <f t="shared" ref="O6" si="8">ROUND(L6*0.1285,2)</f>
        <v>613446.18000000005</v>
      </c>
      <c r="P6" s="7">
        <f t="shared" ref="P6" si="9">ROUND((L6*0.07)*0.9,2)</f>
        <v>300755.71999999997</v>
      </c>
      <c r="Q6" s="7">
        <f t="shared" ref="Q6" si="10">ROUND(L6*0.01,2)</f>
        <v>47739</v>
      </c>
      <c r="R6" s="7">
        <f t="shared" ref="R6" si="11">ROUND((L6*0.0075)*0.9,2)</f>
        <v>32223.83</v>
      </c>
      <c r="S6" s="7">
        <f t="shared" ref="S6" si="12">ROUND((L6*0.0075)*0.9,2)</f>
        <v>32223.83</v>
      </c>
      <c r="T6" s="7">
        <f>ROUND(L6*0.02,2)-0.01</f>
        <v>95478</v>
      </c>
      <c r="U6" s="7">
        <f t="shared" ref="U6" si="13">ROUND(M6*0,2)</f>
        <v>0</v>
      </c>
      <c r="V6" s="16">
        <f t="shared" ref="V6" si="14">E6/W6</f>
        <v>2857.938379310337</v>
      </c>
      <c r="W6" s="8">
        <v>1740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61338588.93</v>
      </c>
      <c r="C7" s="7">
        <v>55755623.210000001</v>
      </c>
      <c r="D7" s="7">
        <v>1043103.81</v>
      </c>
      <c r="E7" s="7">
        <f t="shared" ref="E7" si="15">B7-C7-D7</f>
        <v>4539861.9099999983</v>
      </c>
      <c r="F7" s="7">
        <f>ROUND(E7*0.04,2)</f>
        <v>181594.48</v>
      </c>
      <c r="G7" s="7">
        <f t="shared" ref="G7" si="16">ROUND(E7*0,2)</f>
        <v>0</v>
      </c>
      <c r="H7" s="7">
        <f t="shared" ref="H7" si="17">E7-F7-G7</f>
        <v>4358267.4299999978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4358267.4299999978</v>
      </c>
      <c r="M7" s="7">
        <f t="shared" ref="M7" si="22">ROUND(L7*0.465,2)</f>
        <v>2026594.35</v>
      </c>
      <c r="N7" s="7">
        <f>ROUND(L7*0.3,2)+0.01</f>
        <v>1307480.24</v>
      </c>
      <c r="O7" s="7">
        <f t="shared" ref="O7" si="23">ROUND(L7*0.1285,2)</f>
        <v>560037.36</v>
      </c>
      <c r="P7" s="7">
        <f t="shared" ref="P7" si="24">ROUND((L7*0.07)*0.9,2)</f>
        <v>274570.84999999998</v>
      </c>
      <c r="Q7" s="7">
        <f t="shared" ref="Q7" si="25">ROUND(L7*0.01,2)</f>
        <v>43582.67</v>
      </c>
      <c r="R7" s="7">
        <f t="shared" ref="R7" si="26">ROUND((L7*0.0075)*0.9,2)</f>
        <v>29418.31</v>
      </c>
      <c r="S7" s="7">
        <f t="shared" ref="S7" si="27">ROUND((L7*0.0075)*0.9,2)</f>
        <v>29418.31</v>
      </c>
      <c r="T7" s="7">
        <f>ROUND(L7*0.02,2)-0.01</f>
        <v>87165.340000000011</v>
      </c>
      <c r="U7" s="7">
        <f t="shared" ref="U7" si="28">ROUND(M7*0,2)</f>
        <v>0</v>
      </c>
      <c r="V7" s="16">
        <f t="shared" ref="V7" si="29">E7/W7</f>
        <v>2644.0663424577742</v>
      </c>
      <c r="W7" s="8">
        <v>1717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62243332.810000002</v>
      </c>
      <c r="C8" s="7">
        <v>56118029.899999999</v>
      </c>
      <c r="D8" s="7">
        <v>929611.56</v>
      </c>
      <c r="E8" s="7">
        <f t="shared" ref="E8" si="30">B8-C8-D8</f>
        <v>5195691.3500000034</v>
      </c>
      <c r="F8" s="7">
        <f>ROUND(E8*0.04,2)+0.02</f>
        <v>207827.66999999998</v>
      </c>
      <c r="G8" s="7">
        <f t="shared" ref="G8" si="31">ROUND(E8*0,2)</f>
        <v>0</v>
      </c>
      <c r="H8" s="7">
        <f t="shared" ref="H8" si="32">E8-F8-G8</f>
        <v>4987863.6800000034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4987863.6800000034</v>
      </c>
      <c r="M8" s="7">
        <f t="shared" ref="M8" si="37">ROUND(L8*0.465,2)</f>
        <v>2319356.61</v>
      </c>
      <c r="N8" s="7">
        <f>ROUND(L8*0.3,2)</f>
        <v>1496359.1</v>
      </c>
      <c r="O8" s="7">
        <f t="shared" ref="O8" si="38">ROUND(L8*0.1285,2)</f>
        <v>640940.48</v>
      </c>
      <c r="P8" s="7">
        <f t="shared" ref="P8" si="39">ROUND((L8*0.07)*0.9,2)</f>
        <v>314235.40999999997</v>
      </c>
      <c r="Q8" s="7">
        <f t="shared" ref="Q8" si="40">ROUND(L8*0.01,2)</f>
        <v>49878.64</v>
      </c>
      <c r="R8" s="7">
        <f t="shared" ref="R8" si="41">ROUND((L8*0.0075)*0.9,2)</f>
        <v>33668.080000000002</v>
      </c>
      <c r="S8" s="7">
        <f t="shared" ref="S8" si="42">ROUND((L8*0.0075)*0.9,2)</f>
        <v>33668.080000000002</v>
      </c>
      <c r="T8" s="7">
        <f>ROUND(L8*0.02,2)+0.01</f>
        <v>99757.28</v>
      </c>
      <c r="U8" s="7">
        <f t="shared" ref="U8" si="43">ROUND(M8*0,2)</f>
        <v>0</v>
      </c>
      <c r="V8" s="16">
        <f t="shared" ref="V8" si="44">E8/W8</f>
        <v>3168.1044817073193</v>
      </c>
      <c r="W8" s="8">
        <v>1640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64814618.710000001</v>
      </c>
      <c r="C9" s="7">
        <v>58493007.869999997</v>
      </c>
      <c r="D9" s="7">
        <v>956758.75</v>
      </c>
      <c r="E9" s="7">
        <f t="shared" ref="E9" si="45">B9-C9-D9</f>
        <v>5364852.0900000036</v>
      </c>
      <c r="F9" s="7">
        <f>ROUND(E9*0.04,2)</f>
        <v>214594.08</v>
      </c>
      <c r="G9" s="7">
        <f t="shared" ref="G9" si="46">ROUND(E9*0,2)</f>
        <v>0</v>
      </c>
      <c r="H9" s="7">
        <f t="shared" ref="H9" si="47">E9-F9-G9</f>
        <v>5150258.0100000035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5150258.0100000035</v>
      </c>
      <c r="M9" s="7">
        <f t="shared" ref="M9" si="52">ROUND(L9*0.465,2)</f>
        <v>2394869.9700000002</v>
      </c>
      <c r="N9" s="7">
        <f>ROUND(L9*0.3,2)+0.02</f>
        <v>1545077.42</v>
      </c>
      <c r="O9" s="7">
        <f t="shared" ref="O9" si="53">ROUND(L9*0.1285,2)</f>
        <v>661808.15</v>
      </c>
      <c r="P9" s="7">
        <f t="shared" ref="P9" si="54">ROUND((L9*0.07)*0.9,2)</f>
        <v>324466.25</v>
      </c>
      <c r="Q9" s="7">
        <f t="shared" ref="Q9" si="55">ROUND(L9*0.01,2)</f>
        <v>51502.58</v>
      </c>
      <c r="R9" s="7">
        <f t="shared" ref="R9" si="56">ROUND((L9*0.0075)*0.9,2)</f>
        <v>34764.239999999998</v>
      </c>
      <c r="S9" s="7">
        <f t="shared" ref="S9" si="57">ROUND((L9*0.0075)*0.9,2)</f>
        <v>34764.239999999998</v>
      </c>
      <c r="T9" s="7">
        <f>ROUND(L9*0.02,2)</f>
        <v>103005.16</v>
      </c>
      <c r="U9" s="7">
        <f t="shared" ref="U9" si="58">ROUND(M9*0,2)</f>
        <v>0</v>
      </c>
      <c r="V9" s="16">
        <f t="shared" ref="V9" si="59">E9/W9</f>
        <v>3299.4170295202975</v>
      </c>
      <c r="W9" s="8">
        <v>1626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64041613.730000004</v>
      </c>
      <c r="C10" s="7">
        <v>58119241.469999999</v>
      </c>
      <c r="D10" s="7">
        <v>964699.2</v>
      </c>
      <c r="E10" s="7">
        <f t="shared" ref="E10" si="60">B10-C10-D10</f>
        <v>4957673.0600000052</v>
      </c>
      <c r="F10" s="7">
        <f>ROUND(E10*0.04,2)+0.02</f>
        <v>198306.94</v>
      </c>
      <c r="G10" s="7">
        <f t="shared" ref="G10" si="61">ROUND(E10*0,2)</f>
        <v>0</v>
      </c>
      <c r="H10" s="7">
        <f t="shared" ref="H10" si="62">E10-F10-G10</f>
        <v>4759366.1200000048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4759366.1200000048</v>
      </c>
      <c r="M10" s="7">
        <f t="shared" ref="M10" si="67">ROUND(L10*0.465,2)</f>
        <v>2213105.25</v>
      </c>
      <c r="N10" s="7">
        <f>ROUND(L10*0.3,2)-0.01</f>
        <v>1427809.83</v>
      </c>
      <c r="O10" s="7">
        <f t="shared" ref="O10" si="68">ROUND(L10*0.1285,2)</f>
        <v>611578.55000000005</v>
      </c>
      <c r="P10" s="7">
        <f t="shared" ref="P10" si="69">ROUND((L10*0.07)*0.9,2)</f>
        <v>299840.07</v>
      </c>
      <c r="Q10" s="7">
        <f t="shared" ref="Q10" si="70">ROUND(L10*0.01,2)</f>
        <v>47593.66</v>
      </c>
      <c r="R10" s="7">
        <f t="shared" ref="R10" si="71">ROUND((L10*0.0075)*0.9,2)</f>
        <v>32125.72</v>
      </c>
      <c r="S10" s="7">
        <f t="shared" ref="S10" si="72">ROUND((L10*0.0075)*0.9,2)</f>
        <v>32125.72</v>
      </c>
      <c r="T10" s="7">
        <f>ROUND(L10*0.02,2)</f>
        <v>95187.32</v>
      </c>
      <c r="U10" s="7">
        <f t="shared" ref="U10" si="73">ROUND(M10*0,2)</f>
        <v>0</v>
      </c>
      <c r="V10" s="16">
        <f t="shared" ref="V10" si="74">E10/W10</f>
        <v>3001.0127481840227</v>
      </c>
      <c r="W10" s="8">
        <v>1652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60571232.910000004</v>
      </c>
      <c r="C11" s="7">
        <v>54902248.819999993</v>
      </c>
      <c r="D11" s="7">
        <v>922342.57</v>
      </c>
      <c r="E11" s="7">
        <f t="shared" ref="E11" si="75">B11-C11-D11</f>
        <v>4746641.5200000107</v>
      </c>
      <c r="F11" s="7">
        <f>ROUND(E11*0.04,2)+0.01</f>
        <v>189865.67</v>
      </c>
      <c r="G11" s="7">
        <f t="shared" ref="G11" si="76">ROUND(E11*0,2)</f>
        <v>0</v>
      </c>
      <c r="H11" s="7">
        <f t="shared" ref="H11" si="77">E11-F11-G11</f>
        <v>4556775.8500000108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4556775.8500000108</v>
      </c>
      <c r="M11" s="7">
        <f t="shared" ref="M11" si="82">ROUND(L11*0.465,2)</f>
        <v>2118900.77</v>
      </c>
      <c r="N11" s="7">
        <f>ROUND(L11*0.3,2)-0.02</f>
        <v>1367032.74</v>
      </c>
      <c r="O11" s="7">
        <f t="shared" ref="O11" si="83">ROUND(L11*0.1285,2)</f>
        <v>585545.69999999995</v>
      </c>
      <c r="P11" s="7">
        <f t="shared" ref="P11" si="84">ROUND((L11*0.07)*0.9,2)</f>
        <v>287076.88</v>
      </c>
      <c r="Q11" s="7">
        <f t="shared" ref="Q11" si="85">ROUND(L11*0.01,2)</f>
        <v>45567.76</v>
      </c>
      <c r="R11" s="7">
        <f t="shared" ref="R11" si="86">ROUND((L11*0.0075)*0.9,2)</f>
        <v>30758.240000000002</v>
      </c>
      <c r="S11" s="7">
        <f t="shared" ref="S11" si="87">ROUND((L11*0.0075)*0.9,2)</f>
        <v>30758.240000000002</v>
      </c>
      <c r="T11" s="7">
        <f>ROUND(L11*0.02,2)</f>
        <v>91135.52</v>
      </c>
      <c r="U11" s="7">
        <f t="shared" ref="U11" si="88">ROUND(M11*0,2)</f>
        <v>0</v>
      </c>
      <c r="V11" s="16">
        <f t="shared" ref="V11" si="89">E11/W11</f>
        <v>2700.0236177474462</v>
      </c>
      <c r="W11" s="8">
        <v>1758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62082261.82</v>
      </c>
      <c r="C12" s="7">
        <v>56071534.43</v>
      </c>
      <c r="D12" s="7">
        <v>1015709.6500000001</v>
      </c>
      <c r="E12" s="7">
        <f t="shared" ref="E12" si="90">B12-C12-D12</f>
        <v>4995017.74</v>
      </c>
      <c r="F12" s="7">
        <f>ROUND(E12*0.04,2)</f>
        <v>199800.71</v>
      </c>
      <c r="G12" s="7">
        <f t="shared" ref="G12" si="91">ROUND(E12*0,2)</f>
        <v>0</v>
      </c>
      <c r="H12" s="7">
        <f t="shared" ref="H12" si="92">E12-F12-G12</f>
        <v>4795217.03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4795217.03</v>
      </c>
      <c r="M12" s="7">
        <f t="shared" ref="M12" si="97">ROUND(L12*0.465,2)</f>
        <v>2229775.92</v>
      </c>
      <c r="N12" s="7">
        <f>ROUND(L12*0.3,2)+0.01</f>
        <v>1438565.12</v>
      </c>
      <c r="O12" s="7">
        <f t="shared" ref="O12" si="98">ROUND(L12*0.1285,2)</f>
        <v>616185.39</v>
      </c>
      <c r="P12" s="7">
        <f t="shared" ref="P12" si="99">ROUND((L12*0.07)*0.9,2)</f>
        <v>302098.67</v>
      </c>
      <c r="Q12" s="7">
        <f t="shared" ref="Q12" si="100">ROUND(L12*0.01,2)</f>
        <v>47952.17</v>
      </c>
      <c r="R12" s="7">
        <f t="shared" ref="R12" si="101">ROUND((L12*0.0075)*0.9,2)</f>
        <v>32367.71</v>
      </c>
      <c r="S12" s="7">
        <f t="shared" ref="S12" si="102">ROUND((L12*0.0075)*0.9,2)</f>
        <v>32367.71</v>
      </c>
      <c r="T12" s="7">
        <f>ROUND(L12*0.02,2)</f>
        <v>95904.34</v>
      </c>
      <c r="U12" s="7">
        <f t="shared" ref="U12" si="103">ROUND(M12*0,2)</f>
        <v>0</v>
      </c>
      <c r="V12" s="16">
        <f t="shared" ref="V12" si="104">E12/W12</f>
        <v>2810.9272594259992</v>
      </c>
      <c r="W12" s="8">
        <v>1777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59833950.269999996</v>
      </c>
      <c r="C13" s="7">
        <v>53746921.449999996</v>
      </c>
      <c r="D13" s="7">
        <v>946403.62000000011</v>
      </c>
      <c r="E13" s="7">
        <f t="shared" ref="E13" si="105">B13-C13-D13</f>
        <v>5140625.2</v>
      </c>
      <c r="F13" s="7">
        <f>ROUND(E13*0.04,2)</f>
        <v>205625.01</v>
      </c>
      <c r="G13" s="7">
        <f t="shared" ref="G13" si="106">ROUND(E13*0,2)</f>
        <v>0</v>
      </c>
      <c r="H13" s="7">
        <f t="shared" ref="H13" si="107">E13-F13-G13</f>
        <v>4935000.1900000004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4935000.1900000004</v>
      </c>
      <c r="M13" s="7">
        <f t="shared" ref="M13" si="112">ROUND(L13*0.465,2)</f>
        <v>2294775.09</v>
      </c>
      <c r="N13" s="7">
        <f>ROUND(L13*0.3,2)+0.01</f>
        <v>1480500.07</v>
      </c>
      <c r="O13" s="7">
        <f t="shared" ref="O13" si="113">ROUND(L13*0.1285,2)</f>
        <v>634147.52</v>
      </c>
      <c r="P13" s="7">
        <f t="shared" ref="P13" si="114">ROUND((L13*0.07)*0.9,2)</f>
        <v>310905.01</v>
      </c>
      <c r="Q13" s="7">
        <f t="shared" ref="Q13" si="115">ROUND(L13*0.01,2)</f>
        <v>49350</v>
      </c>
      <c r="R13" s="7">
        <f t="shared" ref="R13" si="116">ROUND((L13*0.0075)*0.9,2)</f>
        <v>33311.25</v>
      </c>
      <c r="S13" s="7">
        <f t="shared" ref="S13" si="117">ROUND((L13*0.0075)*0.9,2)</f>
        <v>33311.25</v>
      </c>
      <c r="T13" s="7">
        <f>ROUND(L13*0.02,2)</f>
        <v>98700</v>
      </c>
      <c r="U13" s="7">
        <f t="shared" ref="U13" si="118">ROUND(M13*0,2)</f>
        <v>0</v>
      </c>
      <c r="V13" s="16">
        <f t="shared" ref="V13" si="119">E13/W13</f>
        <v>2915.8395916052186</v>
      </c>
      <c r="W13" s="8">
        <v>1763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64770715.170000009</v>
      </c>
      <c r="C14" s="7">
        <v>58721125.520000003</v>
      </c>
      <c r="D14" s="7">
        <v>919271.28999999992</v>
      </c>
      <c r="E14" s="7">
        <f t="shared" ref="E14" si="120">B14-C14-D14</f>
        <v>5130318.3600000059</v>
      </c>
      <c r="F14" s="7">
        <f>ROUND(E14*0.04,2)</f>
        <v>205212.73</v>
      </c>
      <c r="G14" s="7">
        <f t="shared" ref="G14" si="121">ROUND(E14*0,2)</f>
        <v>0</v>
      </c>
      <c r="H14" s="7">
        <f t="shared" ref="H14" si="122">E14-F14-G14</f>
        <v>4925105.6300000055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4925105.6300000055</v>
      </c>
      <c r="M14" s="7">
        <f t="shared" ref="M14" si="127">ROUND(L14*0.465,2)</f>
        <v>2290174.12</v>
      </c>
      <c r="N14" s="7">
        <f>ROUND(L14*0.3,2)</f>
        <v>1477531.69</v>
      </c>
      <c r="O14" s="7">
        <f t="shared" ref="O14" si="128">ROUND(L14*0.1285,2)</f>
        <v>632876.06999999995</v>
      </c>
      <c r="P14" s="7">
        <f t="shared" ref="P14" si="129">ROUND((L14*0.07)*0.9,2)</f>
        <v>310281.65000000002</v>
      </c>
      <c r="Q14" s="7">
        <f t="shared" ref="Q14" si="130">ROUND(L14*0.01,2)</f>
        <v>49251.06</v>
      </c>
      <c r="R14" s="7">
        <f t="shared" ref="R14" si="131">ROUND((L14*0.0075)*0.9,2)</f>
        <v>33244.46</v>
      </c>
      <c r="S14" s="7">
        <f t="shared" ref="S14" si="132">ROUND((L14*0.0075)*0.9,2)</f>
        <v>33244.46</v>
      </c>
      <c r="T14" s="7">
        <f>ROUND(L14*0.02,2)+0.01</f>
        <v>98502.12</v>
      </c>
      <c r="U14" s="7">
        <f t="shared" ref="U14" si="133">ROUND(M14*0,2)</f>
        <v>0</v>
      </c>
      <c r="V14" s="16">
        <f t="shared" ref="V14" si="134">E14/W14</f>
        <v>2882.2013258427</v>
      </c>
      <c r="W14" s="8">
        <v>1780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B15" s="9"/>
      <c r="V15" s="10"/>
    </row>
    <row r="16" spans="1:96" ht="15" customHeight="1" thickBot="1" x14ac:dyDescent="0.3">
      <c r="B16" s="11">
        <f t="shared" ref="B16:U16" si="135">SUM(B6:B15)</f>
        <v>562656342.42999995</v>
      </c>
      <c r="C16" s="11">
        <f t="shared" si="135"/>
        <v>508831925.54000002</v>
      </c>
      <c r="D16" s="11">
        <f t="shared" si="135"/>
        <v>8780922.8800000008</v>
      </c>
      <c r="E16" s="11">
        <f t="shared" si="135"/>
        <v>45043494.01000002</v>
      </c>
      <c r="F16" s="11">
        <f t="shared" si="135"/>
        <v>1801739.7999999998</v>
      </c>
      <c r="G16" s="11">
        <f t="shared" si="135"/>
        <v>0</v>
      </c>
      <c r="H16" s="11">
        <f t="shared" si="135"/>
        <v>43241754.210000008</v>
      </c>
      <c r="I16" s="11">
        <f t="shared" si="135"/>
        <v>0</v>
      </c>
      <c r="J16" s="11">
        <f t="shared" si="135"/>
        <v>0</v>
      </c>
      <c r="K16" s="11">
        <f t="shared" si="135"/>
        <v>0</v>
      </c>
      <c r="L16" s="11">
        <f t="shared" si="135"/>
        <v>43241754.210000008</v>
      </c>
      <c r="M16" s="11">
        <f t="shared" si="135"/>
        <v>20107415.710000001</v>
      </c>
      <c r="N16" s="11">
        <f t="shared" si="135"/>
        <v>12972526.290000001</v>
      </c>
      <c r="O16" s="11">
        <f t="shared" si="135"/>
        <v>5556565.4000000004</v>
      </c>
      <c r="P16" s="11">
        <f t="shared" si="135"/>
        <v>2724230.5100000002</v>
      </c>
      <c r="Q16" s="11">
        <f t="shared" si="135"/>
        <v>432417.54</v>
      </c>
      <c r="R16" s="11">
        <f t="shared" si="135"/>
        <v>291881.83999999997</v>
      </c>
      <c r="S16" s="11">
        <f t="shared" si="135"/>
        <v>291881.83999999997</v>
      </c>
      <c r="T16" s="11">
        <f t="shared" si="135"/>
        <v>864835.08</v>
      </c>
      <c r="U16" s="11">
        <f t="shared" si="135"/>
        <v>0</v>
      </c>
      <c r="V16" s="12">
        <f>AVERAGE(V6:V15)</f>
        <v>2919.9478639779018</v>
      </c>
      <c r="W16" s="13">
        <f>AVERAGE(W6:W15)</f>
        <v>1717</v>
      </c>
    </row>
    <row r="17" spans="1:1" ht="15" customHeight="1" thickTop="1" x14ac:dyDescent="0.25"/>
    <row r="18" spans="1:1" ht="15" customHeight="1" x14ac:dyDescent="0.25">
      <c r="A18" s="1" t="s">
        <v>34</v>
      </c>
    </row>
    <row r="19" spans="1:1" ht="15" customHeight="1" x14ac:dyDescent="0.25">
      <c r="A19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2024-07-10T17:20:40Z</cp:lastPrinted>
  <dcterms:created xsi:type="dcterms:W3CDTF">2017-06-07T17:06:12Z</dcterms:created>
  <dcterms:modified xsi:type="dcterms:W3CDTF">2024-09-06T12:16:08Z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