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23FY\"/>
    </mc:Choice>
  </mc:AlternateContent>
  <bookViews>
    <workbookView xWindow="-15" yWindow="-15" windowWidth="14445" windowHeight="13155" tabRatio="593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Town'!$A$1:$W$112</definedName>
    <definedName name="_xlnm.Print_Area" localSheetId="3">'Mardi Gras'!$A$1:$W$112</definedName>
    <definedName name="_xlnm.Print_Area" localSheetId="1">Mountaineer!$A$1:$W$69</definedName>
    <definedName name="_xlnm.Print_Area" localSheetId="0">Total!$A$1:$W$68</definedName>
    <definedName name="_xlnm.Print_Area" localSheetId="2">Wheeling!$A$1:$W$112</definedName>
  </definedNames>
  <calcPr calcId="162913"/>
</workbook>
</file>

<file path=xl/calcChain.xml><?xml version="1.0" encoding="utf-8"?>
<calcChain xmlns="http://schemas.openxmlformats.org/spreadsheetml/2006/main">
  <c r="A58" i="3" l="1"/>
  <c r="W63" i="6" l="1"/>
  <c r="U58" i="5"/>
  <c r="T58" i="5"/>
  <c r="O58" i="5"/>
  <c r="G58" i="5"/>
  <c r="U58" i="4"/>
  <c r="T58" i="4"/>
  <c r="O58" i="4"/>
  <c r="I58" i="4"/>
  <c r="N58" i="3"/>
  <c r="F58" i="3"/>
  <c r="F58" i="2" l="1"/>
  <c r="W61" i="6" l="1"/>
  <c r="D61" i="6"/>
  <c r="C61" i="6"/>
  <c r="B61" i="6"/>
  <c r="A61" i="6"/>
  <c r="E58" i="5"/>
  <c r="A58" i="5"/>
  <c r="E58" i="4"/>
  <c r="A58" i="4"/>
  <c r="E58" i="3"/>
  <c r="E58" i="2"/>
  <c r="V58" i="2" s="1"/>
  <c r="E61" i="6" l="1"/>
  <c r="F61" i="6"/>
  <c r="V58" i="5"/>
  <c r="H58" i="5"/>
  <c r="I58" i="5" s="1"/>
  <c r="V58" i="4"/>
  <c r="G58" i="4"/>
  <c r="H58" i="4" s="1"/>
  <c r="V58" i="3"/>
  <c r="G58" i="3"/>
  <c r="H58" i="3" s="1"/>
  <c r="I58" i="3" s="1"/>
  <c r="G58" i="2"/>
  <c r="N57" i="2"/>
  <c r="U57" i="5"/>
  <c r="T57" i="5"/>
  <c r="O57" i="5"/>
  <c r="I57" i="5"/>
  <c r="G61" i="6" l="1"/>
  <c r="V61" i="6"/>
  <c r="K58" i="5"/>
  <c r="J58" i="5"/>
  <c r="K58" i="4"/>
  <c r="J58" i="4"/>
  <c r="K58" i="3"/>
  <c r="J58" i="3"/>
  <c r="L58" i="3" s="1"/>
  <c r="H58" i="2"/>
  <c r="U57" i="2"/>
  <c r="T57" i="2"/>
  <c r="F57" i="2"/>
  <c r="I58" i="2" l="1"/>
  <c r="H61" i="6"/>
  <c r="L58" i="5"/>
  <c r="L58" i="4"/>
  <c r="T58" i="3"/>
  <c r="Q58" i="3"/>
  <c r="U58" i="3"/>
  <c r="S58" i="3"/>
  <c r="R58" i="3"/>
  <c r="P58" i="3"/>
  <c r="O58" i="3"/>
  <c r="M58" i="3"/>
  <c r="J58" i="2"/>
  <c r="W60" i="6"/>
  <c r="D60" i="6"/>
  <c r="C60" i="6"/>
  <c r="B60" i="6"/>
  <c r="E57" i="5"/>
  <c r="G57" i="5" s="1"/>
  <c r="E57" i="4"/>
  <c r="G57" i="4" s="1"/>
  <c r="E57" i="3"/>
  <c r="E57" i="2"/>
  <c r="G57" i="2" s="1"/>
  <c r="P58" i="5" l="1"/>
  <c r="J61" i="6"/>
  <c r="K58" i="2"/>
  <c r="K61" i="6" s="1"/>
  <c r="I61" i="6"/>
  <c r="R58" i="5"/>
  <c r="S58" i="5"/>
  <c r="N58" i="5"/>
  <c r="M58" i="5"/>
  <c r="Q58" i="5"/>
  <c r="P58" i="4"/>
  <c r="Q58" i="4"/>
  <c r="M58" i="4"/>
  <c r="R58" i="4"/>
  <c r="S58" i="4"/>
  <c r="N58" i="4"/>
  <c r="E60" i="6"/>
  <c r="V57" i="5"/>
  <c r="H57" i="5"/>
  <c r="J57" i="5" s="1"/>
  <c r="H57" i="4"/>
  <c r="I57" i="4" s="1"/>
  <c r="V57" i="4"/>
  <c r="F57" i="3"/>
  <c r="H57" i="3" s="1"/>
  <c r="I57" i="3" s="1"/>
  <c r="V57" i="3"/>
  <c r="G57" i="3"/>
  <c r="G60" i="6" s="1"/>
  <c r="V57" i="2"/>
  <c r="L58" i="2" l="1"/>
  <c r="V60" i="6"/>
  <c r="H57" i="2"/>
  <c r="F60" i="6"/>
  <c r="K57" i="5"/>
  <c r="K57" i="4"/>
  <c r="J57" i="4"/>
  <c r="K57" i="3"/>
  <c r="J57" i="3"/>
  <c r="U58" i="2" l="1"/>
  <c r="U61" i="6" s="1"/>
  <c r="T58" i="2"/>
  <c r="T61" i="6" s="1"/>
  <c r="L61" i="6"/>
  <c r="N58" i="2"/>
  <c r="N61" i="6" s="1"/>
  <c r="M58" i="2"/>
  <c r="M61" i="6" s="1"/>
  <c r="S58" i="2"/>
  <c r="S61" i="6" s="1"/>
  <c r="P58" i="2"/>
  <c r="P61" i="6" s="1"/>
  <c r="R58" i="2"/>
  <c r="R61" i="6" s="1"/>
  <c r="Q58" i="2"/>
  <c r="Q61" i="6" s="1"/>
  <c r="O58" i="2"/>
  <c r="O61" i="6" s="1"/>
  <c r="I57" i="2"/>
  <c r="H60" i="6"/>
  <c r="L57" i="5"/>
  <c r="L57" i="4"/>
  <c r="L57" i="3"/>
  <c r="N57" i="3" s="1"/>
  <c r="P57" i="5" l="1"/>
  <c r="O57" i="4"/>
  <c r="U57" i="4"/>
  <c r="T57" i="4"/>
  <c r="I60" i="6"/>
  <c r="J57" i="2"/>
  <c r="K57" i="2"/>
  <c r="K60" i="6" s="1"/>
  <c r="S57" i="5"/>
  <c r="M57" i="5"/>
  <c r="R57" i="5"/>
  <c r="N57" i="5"/>
  <c r="Q57" i="5"/>
  <c r="P57" i="4"/>
  <c r="N57" i="4"/>
  <c r="Q57" i="4"/>
  <c r="R57" i="4"/>
  <c r="S57" i="4"/>
  <c r="M57" i="4"/>
  <c r="S57" i="3"/>
  <c r="R57" i="3"/>
  <c r="T57" i="3"/>
  <c r="Q57" i="3"/>
  <c r="P57" i="3"/>
  <c r="M57" i="3"/>
  <c r="O57" i="3"/>
  <c r="U57" i="3"/>
  <c r="J60" i="6" l="1"/>
  <c r="L57" i="2"/>
  <c r="O56" i="5"/>
  <c r="K56" i="5"/>
  <c r="I56" i="5"/>
  <c r="G56" i="5"/>
  <c r="N56" i="3"/>
  <c r="T56" i="2"/>
  <c r="U56" i="2"/>
  <c r="T60" i="6" l="1"/>
  <c r="L60" i="6"/>
  <c r="U60" i="6"/>
  <c r="M57" i="2"/>
  <c r="M60" i="6" s="1"/>
  <c r="S57" i="2"/>
  <c r="S60" i="6" s="1"/>
  <c r="R57" i="2"/>
  <c r="R60" i="6" s="1"/>
  <c r="O57" i="2"/>
  <c r="O60" i="6" s="1"/>
  <c r="N60" i="6"/>
  <c r="Q57" i="2"/>
  <c r="Q60" i="6" s="1"/>
  <c r="P57" i="2"/>
  <c r="P60" i="6" s="1"/>
  <c r="W59" i="6"/>
  <c r="D59" i="6"/>
  <c r="C59" i="6"/>
  <c r="B59" i="6"/>
  <c r="E56" i="5"/>
  <c r="V56" i="5" s="1"/>
  <c r="E56" i="4"/>
  <c r="V56" i="4" s="1"/>
  <c r="E56" i="3"/>
  <c r="F56" i="3" s="1"/>
  <c r="E56" i="2"/>
  <c r="E59" i="6" s="1"/>
  <c r="H56" i="5" l="1"/>
  <c r="J56" i="5" s="1"/>
  <c r="G56" i="4"/>
  <c r="H56" i="4" s="1"/>
  <c r="I56" i="4" s="1"/>
  <c r="V56" i="3"/>
  <c r="G56" i="3"/>
  <c r="H56" i="3" s="1"/>
  <c r="I56" i="3" s="1"/>
  <c r="F56" i="2"/>
  <c r="V56" i="2"/>
  <c r="V59" i="6" s="1"/>
  <c r="G56" i="2"/>
  <c r="U55" i="2"/>
  <c r="T55" i="2"/>
  <c r="G59" i="6" l="1"/>
  <c r="H56" i="2"/>
  <c r="F59" i="6"/>
  <c r="L56" i="5"/>
  <c r="J56" i="4"/>
  <c r="K56" i="4"/>
  <c r="K56" i="3"/>
  <c r="J56" i="3"/>
  <c r="G55" i="5"/>
  <c r="G55" i="4"/>
  <c r="U55" i="3"/>
  <c r="T55" i="3"/>
  <c r="N55" i="3"/>
  <c r="F55" i="3"/>
  <c r="N55" i="2"/>
  <c r="I56" i="2" l="1"/>
  <c r="H59" i="6"/>
  <c r="N56" i="5"/>
  <c r="P56" i="5"/>
  <c r="U56" i="5"/>
  <c r="M56" i="5"/>
  <c r="T56" i="5"/>
  <c r="S56" i="5"/>
  <c r="R56" i="5"/>
  <c r="Q56" i="5"/>
  <c r="L56" i="4"/>
  <c r="L56" i="3"/>
  <c r="W58" i="6"/>
  <c r="D58" i="6"/>
  <c r="C58" i="6"/>
  <c r="B58" i="6"/>
  <c r="E55" i="5"/>
  <c r="V55" i="5" s="1"/>
  <c r="E55" i="4"/>
  <c r="E55" i="3"/>
  <c r="E55" i="2"/>
  <c r="F55" i="2" s="1"/>
  <c r="O56" i="4" l="1"/>
  <c r="U56" i="4"/>
  <c r="T56" i="4"/>
  <c r="U56" i="3"/>
  <c r="T56" i="3"/>
  <c r="I59" i="6"/>
  <c r="K56" i="2"/>
  <c r="K59" i="6" s="1"/>
  <c r="J56" i="2"/>
  <c r="N56" i="4"/>
  <c r="P56" i="4"/>
  <c r="Q56" i="4"/>
  <c r="R56" i="4"/>
  <c r="S56" i="4"/>
  <c r="M56" i="4"/>
  <c r="Q56" i="3"/>
  <c r="O56" i="3"/>
  <c r="R56" i="3"/>
  <c r="P56" i="3"/>
  <c r="S56" i="3"/>
  <c r="M56" i="3"/>
  <c r="H55" i="5"/>
  <c r="E58" i="6"/>
  <c r="V55" i="4"/>
  <c r="H55" i="4"/>
  <c r="I55" i="4" s="1"/>
  <c r="F58" i="6"/>
  <c r="V55" i="3"/>
  <c r="G55" i="3"/>
  <c r="V55" i="2"/>
  <c r="G55" i="2"/>
  <c r="W60" i="3"/>
  <c r="B60" i="3"/>
  <c r="V60" i="2"/>
  <c r="W60" i="2"/>
  <c r="U54" i="5"/>
  <c r="T54" i="5"/>
  <c r="O54" i="5"/>
  <c r="I54" i="5"/>
  <c r="G54" i="5"/>
  <c r="G54" i="4"/>
  <c r="U54" i="3"/>
  <c r="T54" i="3"/>
  <c r="J59" i="6" l="1"/>
  <c r="L56" i="2"/>
  <c r="V58" i="6"/>
  <c r="I55" i="5"/>
  <c r="K55" i="5" s="1"/>
  <c r="G58" i="6"/>
  <c r="H55" i="2"/>
  <c r="J55" i="4"/>
  <c r="K55" i="4"/>
  <c r="H55" i="3"/>
  <c r="I55" i="3" s="1"/>
  <c r="K55" i="3" s="1"/>
  <c r="N54" i="2"/>
  <c r="F54" i="2"/>
  <c r="B57" i="6"/>
  <c r="C57" i="6"/>
  <c r="D57" i="6"/>
  <c r="U59" i="6" l="1"/>
  <c r="L59" i="6"/>
  <c r="T59" i="6"/>
  <c r="N56" i="2"/>
  <c r="N59" i="6" s="1"/>
  <c r="Q56" i="2"/>
  <c r="Q59" i="6" s="1"/>
  <c r="R56" i="2"/>
  <c r="R59" i="6" s="1"/>
  <c r="P56" i="2"/>
  <c r="P59" i="6" s="1"/>
  <c r="O56" i="2"/>
  <c r="O59" i="6" s="1"/>
  <c r="S56" i="2"/>
  <c r="S59" i="6" s="1"/>
  <c r="M56" i="2"/>
  <c r="M59" i="6" s="1"/>
  <c r="J55" i="5"/>
  <c r="L55" i="5"/>
  <c r="Q55" i="5" s="1"/>
  <c r="L55" i="4"/>
  <c r="O55" i="4" s="1"/>
  <c r="J55" i="3"/>
  <c r="I55" i="2"/>
  <c r="H58" i="6"/>
  <c r="P55" i="5"/>
  <c r="S55" i="5"/>
  <c r="M55" i="5"/>
  <c r="S55" i="4"/>
  <c r="L55" i="3"/>
  <c r="S55" i="3" s="1"/>
  <c r="W57" i="6"/>
  <c r="E54" i="5"/>
  <c r="V54" i="5" s="1"/>
  <c r="E54" i="4"/>
  <c r="E54" i="3"/>
  <c r="G54" i="3" s="1"/>
  <c r="E54" i="2"/>
  <c r="P55" i="4" l="1"/>
  <c r="M55" i="4"/>
  <c r="R55" i="5"/>
  <c r="N55" i="5"/>
  <c r="T55" i="5"/>
  <c r="O55" i="5"/>
  <c r="U55" i="5"/>
  <c r="U58" i="6" s="1"/>
  <c r="T55" i="4"/>
  <c r="U55" i="4"/>
  <c r="N55" i="4"/>
  <c r="Q55" i="4"/>
  <c r="R55" i="4"/>
  <c r="P55" i="3"/>
  <c r="I58" i="6"/>
  <c r="J55" i="2"/>
  <c r="K55" i="2"/>
  <c r="K58" i="6" s="1"/>
  <c r="R55" i="3"/>
  <c r="M55" i="3"/>
  <c r="O55" i="3"/>
  <c r="Q55" i="3"/>
  <c r="F54" i="3"/>
  <c r="F57" i="6" s="1"/>
  <c r="V54" i="2"/>
  <c r="E57" i="6"/>
  <c r="H54" i="5"/>
  <c r="V54" i="4"/>
  <c r="H54" i="4"/>
  <c r="I54" i="4" s="1"/>
  <c r="V54" i="3"/>
  <c r="G54" i="2"/>
  <c r="J58" i="6" l="1"/>
  <c r="L55" i="2"/>
  <c r="G57" i="6"/>
  <c r="H54" i="3"/>
  <c r="I54" i="3" s="1"/>
  <c r="J54" i="3" s="1"/>
  <c r="V57" i="6"/>
  <c r="H54" i="2"/>
  <c r="K54" i="5"/>
  <c r="J54" i="5"/>
  <c r="J54" i="4"/>
  <c r="K54" i="4"/>
  <c r="I53" i="5"/>
  <c r="F53" i="3"/>
  <c r="N58" i="6" l="1"/>
  <c r="L58" i="6"/>
  <c r="P55" i="2"/>
  <c r="P58" i="6" s="1"/>
  <c r="O55" i="2"/>
  <c r="O58" i="6" s="1"/>
  <c r="T58" i="6"/>
  <c r="Q55" i="2"/>
  <c r="Q58" i="6" s="1"/>
  <c r="M55" i="2"/>
  <c r="M58" i="6" s="1"/>
  <c r="R55" i="2"/>
  <c r="R58" i="6" s="1"/>
  <c r="S55" i="2"/>
  <c r="S58" i="6" s="1"/>
  <c r="K54" i="3"/>
  <c r="L54" i="3" s="1"/>
  <c r="I54" i="2"/>
  <c r="H57" i="6"/>
  <c r="L54" i="5"/>
  <c r="N54" i="5" s="1"/>
  <c r="L54" i="4"/>
  <c r="O54" i="4" s="1"/>
  <c r="F53" i="2"/>
  <c r="W56" i="6"/>
  <c r="D56" i="6"/>
  <c r="C56" i="6"/>
  <c r="B56" i="6"/>
  <c r="I57" i="6" l="1"/>
  <c r="J54" i="2"/>
  <c r="K54" i="2"/>
  <c r="K57" i="6" s="1"/>
  <c r="U57" i="6"/>
  <c r="P54" i="5"/>
  <c r="Q54" i="5"/>
  <c r="R54" i="5"/>
  <c r="S54" i="5"/>
  <c r="M54" i="5"/>
  <c r="U54" i="4"/>
  <c r="M54" i="4"/>
  <c r="T54" i="4"/>
  <c r="P54" i="4"/>
  <c r="S54" i="4"/>
  <c r="R54" i="4"/>
  <c r="Q54" i="4"/>
  <c r="N54" i="4"/>
  <c r="P54" i="3"/>
  <c r="O54" i="3"/>
  <c r="M54" i="3"/>
  <c r="S54" i="3"/>
  <c r="R54" i="3"/>
  <c r="Q54" i="3"/>
  <c r="N54" i="3"/>
  <c r="E53" i="5"/>
  <c r="V53" i="5" s="1"/>
  <c r="E53" i="4"/>
  <c r="G53" i="4" s="1"/>
  <c r="E53" i="3"/>
  <c r="E53" i="2"/>
  <c r="J57" i="6" l="1"/>
  <c r="L54" i="2"/>
  <c r="G53" i="5"/>
  <c r="H53" i="5" s="1"/>
  <c r="F56" i="6"/>
  <c r="V53" i="2"/>
  <c r="E56" i="6"/>
  <c r="V53" i="4"/>
  <c r="H53" i="4"/>
  <c r="I53" i="4" s="1"/>
  <c r="J53" i="4" s="1"/>
  <c r="V53" i="3"/>
  <c r="G53" i="3"/>
  <c r="H53" i="3" s="1"/>
  <c r="I53" i="3" s="1"/>
  <c r="G53" i="2"/>
  <c r="T54" i="2" l="1"/>
  <c r="T57" i="6" s="1"/>
  <c r="L57" i="6"/>
  <c r="R54" i="2"/>
  <c r="R57" i="6" s="1"/>
  <c r="S54" i="2"/>
  <c r="S57" i="6" s="1"/>
  <c r="O54" i="2"/>
  <c r="O57" i="6" s="1"/>
  <c r="N57" i="6"/>
  <c r="M54" i="2"/>
  <c r="M57" i="6" s="1"/>
  <c r="Q54" i="2"/>
  <c r="Q57" i="6" s="1"/>
  <c r="P54" i="2"/>
  <c r="P57" i="6" s="1"/>
  <c r="G56" i="6"/>
  <c r="V56" i="6"/>
  <c r="H53" i="2"/>
  <c r="J53" i="5"/>
  <c r="K53" i="5"/>
  <c r="K53" i="4"/>
  <c r="L53" i="4" s="1"/>
  <c r="O53" i="4" s="1"/>
  <c r="K53" i="3"/>
  <c r="J53" i="3"/>
  <c r="W55" i="6"/>
  <c r="F55" i="6"/>
  <c r="D55" i="6"/>
  <c r="C55" i="6"/>
  <c r="B55" i="6"/>
  <c r="I52" i="5"/>
  <c r="G52" i="5"/>
  <c r="V51" i="5"/>
  <c r="V52" i="3"/>
  <c r="W60" i="5"/>
  <c r="F52" i="3"/>
  <c r="U53" i="4" l="1"/>
  <c r="T53" i="4"/>
  <c r="I53" i="2"/>
  <c r="H56" i="6"/>
  <c r="L53" i="5"/>
  <c r="O53" i="5" s="1"/>
  <c r="R53" i="4"/>
  <c r="L53" i="3"/>
  <c r="T53" i="3" s="1"/>
  <c r="E52" i="4"/>
  <c r="E52" i="5"/>
  <c r="V52" i="5" s="1"/>
  <c r="V60" i="5" s="1"/>
  <c r="E52" i="3"/>
  <c r="E52" i="2"/>
  <c r="F52" i="2" s="1"/>
  <c r="I56" i="6" l="1"/>
  <c r="J53" i="2"/>
  <c r="K53" i="2"/>
  <c r="K56" i="6" s="1"/>
  <c r="U53" i="5"/>
  <c r="M53" i="5"/>
  <c r="T53" i="5"/>
  <c r="S53" i="5"/>
  <c r="R53" i="5"/>
  <c r="Q53" i="5"/>
  <c r="P53" i="5"/>
  <c r="N53" i="5"/>
  <c r="P53" i="4"/>
  <c r="M53" i="4"/>
  <c r="Q53" i="4"/>
  <c r="N53" i="4"/>
  <c r="S53" i="4"/>
  <c r="V52" i="4"/>
  <c r="V55" i="6" s="1"/>
  <c r="G52" i="4"/>
  <c r="G55" i="6" s="1"/>
  <c r="E55" i="6"/>
  <c r="O53" i="3"/>
  <c r="U53" i="3"/>
  <c r="U56" i="6" s="1"/>
  <c r="N53" i="3"/>
  <c r="P53" i="3"/>
  <c r="Q53" i="3"/>
  <c r="S53" i="3"/>
  <c r="R53" i="3"/>
  <c r="M53" i="3"/>
  <c r="H52" i="5"/>
  <c r="J52" i="5" s="1"/>
  <c r="G52" i="3"/>
  <c r="G60" i="3" s="1"/>
  <c r="H52" i="3"/>
  <c r="I52" i="3" s="1"/>
  <c r="V52" i="2"/>
  <c r="G52" i="2"/>
  <c r="G60" i="2" s="1"/>
  <c r="C60" i="5"/>
  <c r="D60" i="5"/>
  <c r="E60" i="5"/>
  <c r="F60" i="5"/>
  <c r="B60" i="5"/>
  <c r="W60" i="4"/>
  <c r="C60" i="4"/>
  <c r="D60" i="4"/>
  <c r="F60" i="4"/>
  <c r="G60" i="4"/>
  <c r="B60" i="4"/>
  <c r="V60" i="3"/>
  <c r="C60" i="3"/>
  <c r="D60" i="3"/>
  <c r="E60" i="3"/>
  <c r="C60" i="2"/>
  <c r="D60" i="2"/>
  <c r="E60" i="2"/>
  <c r="F60" i="2"/>
  <c r="U60" i="2"/>
  <c r="B60" i="2"/>
  <c r="H52" i="4" l="1"/>
  <c r="I52" i="4" s="1"/>
  <c r="I55" i="6" s="1"/>
  <c r="J56" i="6"/>
  <c r="L53" i="2"/>
  <c r="H55" i="6"/>
  <c r="I60" i="5"/>
  <c r="H60" i="5"/>
  <c r="G60" i="5"/>
  <c r="K52" i="5"/>
  <c r="L52" i="5" s="1"/>
  <c r="O52" i="5" s="1"/>
  <c r="K52" i="3"/>
  <c r="J52" i="3"/>
  <c r="L52" i="3" s="1"/>
  <c r="N52" i="3" s="1"/>
  <c r="H52" i="2"/>
  <c r="I52" i="2" s="1"/>
  <c r="I60" i="4" l="1"/>
  <c r="L56" i="6"/>
  <c r="N53" i="2"/>
  <c r="N56" i="6" s="1"/>
  <c r="P53" i="2"/>
  <c r="P56" i="6" s="1"/>
  <c r="O53" i="2"/>
  <c r="O56" i="6" s="1"/>
  <c r="S53" i="2"/>
  <c r="S56" i="6" s="1"/>
  <c r="Q53" i="2"/>
  <c r="Q56" i="6" s="1"/>
  <c r="R53" i="2"/>
  <c r="R56" i="6" s="1"/>
  <c r="M53" i="2"/>
  <c r="M56" i="6" s="1"/>
  <c r="T53" i="2"/>
  <c r="T56" i="6" s="1"/>
  <c r="J52" i="4"/>
  <c r="K52" i="4"/>
  <c r="U52" i="5"/>
  <c r="T52" i="5"/>
  <c r="N52" i="5"/>
  <c r="M52" i="5"/>
  <c r="R52" i="5"/>
  <c r="Q52" i="5"/>
  <c r="P52" i="5"/>
  <c r="S52" i="5"/>
  <c r="U52" i="3"/>
  <c r="M52" i="3"/>
  <c r="R52" i="3"/>
  <c r="P52" i="3"/>
  <c r="T52" i="3"/>
  <c r="Q52" i="3"/>
  <c r="S52" i="3"/>
  <c r="O52" i="3"/>
  <c r="H60" i="2"/>
  <c r="K52" i="2"/>
  <c r="K60" i="2" s="1"/>
  <c r="J52" i="2"/>
  <c r="I60" i="2"/>
  <c r="N51" i="2"/>
  <c r="F51" i="2"/>
  <c r="L52" i="4" l="1"/>
  <c r="T52" i="4" s="1"/>
  <c r="L55" i="6"/>
  <c r="U52" i="4"/>
  <c r="U55" i="6" s="1"/>
  <c r="O52" i="4"/>
  <c r="O55" i="6" s="1"/>
  <c r="S52" i="4"/>
  <c r="R52" i="4"/>
  <c r="Q52" i="4"/>
  <c r="Q55" i="6" s="1"/>
  <c r="N52" i="4"/>
  <c r="P52" i="4"/>
  <c r="K55" i="6"/>
  <c r="J60" i="4"/>
  <c r="J55" i="6"/>
  <c r="L52" i="2"/>
  <c r="N52" i="2" s="1"/>
  <c r="J60" i="2"/>
  <c r="W54" i="6"/>
  <c r="D54" i="6"/>
  <c r="C54" i="6"/>
  <c r="B54" i="6"/>
  <c r="E51" i="5"/>
  <c r="G51" i="5" s="1"/>
  <c r="E51" i="4"/>
  <c r="E51" i="3"/>
  <c r="V51" i="3" s="1"/>
  <c r="E51" i="2"/>
  <c r="V51" i="2" s="1"/>
  <c r="M52" i="4" l="1"/>
  <c r="M55" i="6" s="1"/>
  <c r="V51" i="4"/>
  <c r="V60" i="4" s="1"/>
  <c r="E60" i="4"/>
  <c r="R55" i="6"/>
  <c r="S55" i="6"/>
  <c r="N60" i="4"/>
  <c r="N55" i="6"/>
  <c r="P60" i="4"/>
  <c r="P55" i="6"/>
  <c r="S52" i="2"/>
  <c r="P52" i="2"/>
  <c r="P60" i="2" s="1"/>
  <c r="N60" i="2"/>
  <c r="M52" i="2"/>
  <c r="M60" i="2" s="1"/>
  <c r="T52" i="2"/>
  <c r="T55" i="6" s="1"/>
  <c r="R52" i="2"/>
  <c r="Q52" i="2"/>
  <c r="O52" i="2"/>
  <c r="L60" i="2"/>
  <c r="F51" i="3"/>
  <c r="F54" i="6" s="1"/>
  <c r="E54" i="6"/>
  <c r="H51" i="5"/>
  <c r="I51" i="5" s="1"/>
  <c r="J51" i="5" s="1"/>
  <c r="H51" i="4"/>
  <c r="H60" i="4" s="1"/>
  <c r="G51" i="3"/>
  <c r="G51" i="2"/>
  <c r="B53" i="6"/>
  <c r="C53" i="6"/>
  <c r="W53" i="6"/>
  <c r="G53" i="6"/>
  <c r="F53" i="6"/>
  <c r="D53" i="6"/>
  <c r="V54" i="6" l="1"/>
  <c r="H51" i="3"/>
  <c r="I51" i="3" s="1"/>
  <c r="G54" i="6"/>
  <c r="H51" i="2"/>
  <c r="K51" i="5"/>
  <c r="K51" i="4"/>
  <c r="K60" i="4" s="1"/>
  <c r="K51" i="3"/>
  <c r="J51" i="3"/>
  <c r="I50" i="5"/>
  <c r="K50" i="5" s="1"/>
  <c r="G50" i="5"/>
  <c r="F50" i="3"/>
  <c r="N50" i="2"/>
  <c r="F50" i="2"/>
  <c r="I51" i="2" l="1"/>
  <c r="H54" i="6"/>
  <c r="L51" i="5"/>
  <c r="L51" i="4"/>
  <c r="L51" i="3"/>
  <c r="N51" i="3" s="1"/>
  <c r="E50" i="5"/>
  <c r="E50" i="4"/>
  <c r="E53" i="6" s="1"/>
  <c r="E50" i="3"/>
  <c r="E50" i="2"/>
  <c r="V50" i="2" s="1"/>
  <c r="T51" i="4" l="1"/>
  <c r="T60" i="4" s="1"/>
  <c r="U51" i="4"/>
  <c r="L60" i="4"/>
  <c r="T51" i="5"/>
  <c r="O51" i="5"/>
  <c r="U51" i="5"/>
  <c r="S51" i="3"/>
  <c r="T51" i="3"/>
  <c r="U51" i="3"/>
  <c r="I54" i="6"/>
  <c r="K51" i="2"/>
  <c r="K54" i="6" s="1"/>
  <c r="J51" i="2"/>
  <c r="M51" i="5"/>
  <c r="P51" i="5"/>
  <c r="Q51" i="5"/>
  <c r="N51" i="5"/>
  <c r="N54" i="6" s="1"/>
  <c r="R51" i="5"/>
  <c r="S51" i="5"/>
  <c r="R51" i="4"/>
  <c r="R60" i="4" s="1"/>
  <c r="S51" i="4"/>
  <c r="S60" i="4" s="1"/>
  <c r="R51" i="3"/>
  <c r="O51" i="3"/>
  <c r="M51" i="3"/>
  <c r="P51" i="3"/>
  <c r="Q51" i="3"/>
  <c r="V50" i="5"/>
  <c r="H50" i="5"/>
  <c r="J50" i="5" s="1"/>
  <c r="V50" i="4"/>
  <c r="V53" i="6" s="1"/>
  <c r="H50" i="4"/>
  <c r="V50" i="3"/>
  <c r="G50" i="3"/>
  <c r="G50" i="2"/>
  <c r="H50" i="2"/>
  <c r="I50" i="2" s="1"/>
  <c r="U54" i="6" l="1"/>
  <c r="J54" i="6"/>
  <c r="L51" i="2"/>
  <c r="I50" i="4"/>
  <c r="I53" i="6" s="1"/>
  <c r="H53" i="6"/>
  <c r="H50" i="3"/>
  <c r="I50" i="3" s="1"/>
  <c r="J50" i="3" s="1"/>
  <c r="K50" i="2"/>
  <c r="J50" i="2"/>
  <c r="L50" i="2" s="1"/>
  <c r="U49" i="4"/>
  <c r="T49" i="4"/>
  <c r="O51" i="2" l="1"/>
  <c r="O54" i="6" s="1"/>
  <c r="L54" i="6"/>
  <c r="T51" i="2"/>
  <c r="T54" i="6" s="1"/>
  <c r="Q51" i="2"/>
  <c r="Q54" i="6" s="1"/>
  <c r="S51" i="2"/>
  <c r="S54" i="6" s="1"/>
  <c r="M51" i="2"/>
  <c r="M54" i="6" s="1"/>
  <c r="R51" i="2"/>
  <c r="R54" i="6" s="1"/>
  <c r="P51" i="2"/>
  <c r="P54" i="6" s="1"/>
  <c r="J50" i="4"/>
  <c r="J53" i="6" s="1"/>
  <c r="K50" i="4"/>
  <c r="K53" i="6" s="1"/>
  <c r="L50" i="5"/>
  <c r="K50" i="3"/>
  <c r="L50" i="3" s="1"/>
  <c r="M50" i="2"/>
  <c r="Q50" i="2"/>
  <c r="P50" i="2"/>
  <c r="S50" i="2"/>
  <c r="R50" i="2"/>
  <c r="O50" i="2"/>
  <c r="T50" i="2"/>
  <c r="J49" i="5"/>
  <c r="I49" i="5"/>
  <c r="F49" i="4"/>
  <c r="N49" i="2"/>
  <c r="U50" i="3" l="1"/>
  <c r="T50" i="3"/>
  <c r="N50" i="3"/>
  <c r="L50" i="4"/>
  <c r="R50" i="4" s="1"/>
  <c r="O50" i="4"/>
  <c r="T50" i="5"/>
  <c r="U50" i="5"/>
  <c r="O50" i="5"/>
  <c r="M50" i="4"/>
  <c r="N50" i="4"/>
  <c r="P50" i="4"/>
  <c r="Q50" i="4"/>
  <c r="S50" i="4"/>
  <c r="U50" i="4"/>
  <c r="T50" i="4"/>
  <c r="S50" i="5"/>
  <c r="P50" i="5"/>
  <c r="R50" i="5"/>
  <c r="Q50" i="5"/>
  <c r="M50" i="5"/>
  <c r="N50" i="5"/>
  <c r="S50" i="3"/>
  <c r="R50" i="3"/>
  <c r="M50" i="3"/>
  <c r="Q50" i="3"/>
  <c r="O50" i="3"/>
  <c r="P50" i="3"/>
  <c r="W52" i="6"/>
  <c r="D52" i="6"/>
  <c r="C52" i="6"/>
  <c r="B52" i="6"/>
  <c r="E49" i="5"/>
  <c r="V49" i="5" s="1"/>
  <c r="E49" i="4"/>
  <c r="V49" i="4" s="1"/>
  <c r="E49" i="3"/>
  <c r="V49" i="3" s="1"/>
  <c r="E49" i="2"/>
  <c r="V49" i="2" s="1"/>
  <c r="V52" i="6" s="1"/>
  <c r="T53" i="6" l="1"/>
  <c r="U53" i="6"/>
  <c r="O53" i="6"/>
  <c r="Q53" i="6"/>
  <c r="N53" i="6"/>
  <c r="P53" i="6"/>
  <c r="S53" i="6"/>
  <c r="R53" i="6"/>
  <c r="M53" i="6"/>
  <c r="L53" i="6"/>
  <c r="F49" i="3"/>
  <c r="F49" i="2"/>
  <c r="E52" i="6"/>
  <c r="G49" i="5"/>
  <c r="H49" i="5" s="1"/>
  <c r="G49" i="4"/>
  <c r="H49" i="4"/>
  <c r="I49" i="4" s="1"/>
  <c r="G49" i="3"/>
  <c r="H49" i="3" s="1"/>
  <c r="I49" i="3" s="1"/>
  <c r="K49" i="3" s="1"/>
  <c r="G49" i="2"/>
  <c r="U47" i="4"/>
  <c r="T47" i="4"/>
  <c r="T41" i="4"/>
  <c r="T38" i="4"/>
  <c r="T36" i="4"/>
  <c r="T34" i="4"/>
  <c r="F52" i="6" l="1"/>
  <c r="G52" i="6"/>
  <c r="H49" i="2"/>
  <c r="K49" i="4"/>
  <c r="J49" i="4"/>
  <c r="L49" i="4" s="1"/>
  <c r="N49" i="4" s="1"/>
  <c r="J49" i="3"/>
  <c r="L49" i="3" s="1"/>
  <c r="N49" i="3" s="1"/>
  <c r="K49" i="5" l="1"/>
  <c r="L49" i="5" s="1"/>
  <c r="I49" i="2"/>
  <c r="H52" i="6"/>
  <c r="M49" i="4"/>
  <c r="O49" i="4"/>
  <c r="S49" i="4"/>
  <c r="R49" i="4"/>
  <c r="Q49" i="4"/>
  <c r="P49" i="4"/>
  <c r="U49" i="3"/>
  <c r="M49" i="3"/>
  <c r="T49" i="3"/>
  <c r="S49" i="3"/>
  <c r="R49" i="3"/>
  <c r="Q49" i="3"/>
  <c r="P49" i="3"/>
  <c r="O49" i="3"/>
  <c r="T48" i="4"/>
  <c r="S49" i="5" l="1"/>
  <c r="T49" i="5"/>
  <c r="O49" i="5"/>
  <c r="U49" i="5"/>
  <c r="U52" i="6" s="1"/>
  <c r="P49" i="5"/>
  <c r="M49" i="5"/>
  <c r="N49" i="5"/>
  <c r="Q49" i="5"/>
  <c r="R49" i="5"/>
  <c r="I52" i="6"/>
  <c r="K49" i="2"/>
  <c r="K52" i="6" s="1"/>
  <c r="J49" i="2"/>
  <c r="I48" i="5"/>
  <c r="N48" i="4"/>
  <c r="F48" i="3"/>
  <c r="E48" i="5"/>
  <c r="L49" i="2" l="1"/>
  <c r="J52" i="6"/>
  <c r="G48" i="5"/>
  <c r="H48" i="5" s="1"/>
  <c r="V48" i="5"/>
  <c r="N52" i="6" l="1"/>
  <c r="L52" i="6"/>
  <c r="M49" i="2"/>
  <c r="M52" i="6" s="1"/>
  <c r="O49" i="2"/>
  <c r="O52" i="6" s="1"/>
  <c r="T49" i="2"/>
  <c r="T52" i="6" s="1"/>
  <c r="S49" i="2"/>
  <c r="S52" i="6" s="1"/>
  <c r="Q49" i="2"/>
  <c r="Q52" i="6" s="1"/>
  <c r="R49" i="2"/>
  <c r="R52" i="6" s="1"/>
  <c r="P49" i="2"/>
  <c r="P52" i="6" s="1"/>
  <c r="K48" i="5"/>
  <c r="J48" i="5"/>
  <c r="L48" i="5" l="1"/>
  <c r="O48" i="5" s="1"/>
  <c r="M48" i="5" l="1"/>
  <c r="U48" i="5"/>
  <c r="P48" i="5"/>
  <c r="T48" i="5"/>
  <c r="R48" i="5"/>
  <c r="N48" i="5"/>
  <c r="Q48" i="5"/>
  <c r="S48" i="5"/>
  <c r="N48" i="2" l="1"/>
  <c r="F48" i="2"/>
  <c r="W51" i="6" l="1"/>
  <c r="D51" i="6"/>
  <c r="C51" i="6"/>
  <c r="B51" i="6"/>
  <c r="E48" i="2"/>
  <c r="E48" i="3"/>
  <c r="E48" i="4"/>
  <c r="V48" i="4" s="1"/>
  <c r="F48" i="4" l="1"/>
  <c r="F51" i="6" s="1"/>
  <c r="E51" i="6"/>
  <c r="V48" i="2"/>
  <c r="G48" i="2"/>
  <c r="V48" i="3"/>
  <c r="G48" i="3"/>
  <c r="H48" i="3" s="1"/>
  <c r="I48" i="3" s="1"/>
  <c r="G48" i="4"/>
  <c r="H48" i="4" s="1"/>
  <c r="I48" i="4" s="1"/>
  <c r="W50" i="6"/>
  <c r="V50" i="6"/>
  <c r="K50" i="6"/>
  <c r="I50" i="6"/>
  <c r="H50" i="6"/>
  <c r="G50" i="6"/>
  <c r="F50" i="6"/>
  <c r="E50" i="6"/>
  <c r="D50" i="6"/>
  <c r="C50" i="6"/>
  <c r="B50" i="6"/>
  <c r="G51" i="6" l="1"/>
  <c r="V51" i="6"/>
  <c r="H48" i="2"/>
  <c r="K48" i="3"/>
  <c r="J48" i="3"/>
  <c r="L48" i="3" s="1"/>
  <c r="N48" i="3" s="1"/>
  <c r="J48" i="4"/>
  <c r="K48" i="4"/>
  <c r="U48" i="3" l="1"/>
  <c r="T48" i="3"/>
  <c r="I48" i="2"/>
  <c r="J48" i="2" s="1"/>
  <c r="H51" i="6"/>
  <c r="R48" i="3"/>
  <c r="Q48" i="3"/>
  <c r="S48" i="3"/>
  <c r="M48" i="3"/>
  <c r="P48" i="3"/>
  <c r="O48" i="3"/>
  <c r="L48" i="4"/>
  <c r="I47" i="5"/>
  <c r="F47" i="4"/>
  <c r="F47" i="3"/>
  <c r="U48" i="4" l="1"/>
  <c r="U51" i="6" s="1"/>
  <c r="J51" i="6"/>
  <c r="K48" i="2"/>
  <c r="K51" i="6" s="1"/>
  <c r="I51" i="6"/>
  <c r="M48" i="4"/>
  <c r="S48" i="4"/>
  <c r="R48" i="4"/>
  <c r="O48" i="4"/>
  <c r="Q48" i="4"/>
  <c r="P48" i="4"/>
  <c r="T47" i="2"/>
  <c r="F47" i="2"/>
  <c r="L48" i="2" l="1"/>
  <c r="E47" i="5"/>
  <c r="V47" i="5" s="1"/>
  <c r="E47" i="4"/>
  <c r="G47" i="4" s="1"/>
  <c r="E47" i="3"/>
  <c r="E47" i="2"/>
  <c r="T48" i="2" l="1"/>
  <c r="T60" i="2" s="1"/>
  <c r="L51" i="6"/>
  <c r="P48" i="2"/>
  <c r="P51" i="6" s="1"/>
  <c r="N51" i="6"/>
  <c r="S48" i="2"/>
  <c r="S51" i="6" s="1"/>
  <c r="R48" i="2"/>
  <c r="R51" i="6" s="1"/>
  <c r="O48" i="2"/>
  <c r="O51" i="6" s="1"/>
  <c r="Q48" i="2"/>
  <c r="Q51" i="6" s="1"/>
  <c r="M48" i="2"/>
  <c r="M51" i="6" s="1"/>
  <c r="G47" i="5"/>
  <c r="H47" i="5" s="1"/>
  <c r="J47" i="5" s="1"/>
  <c r="J50" i="6" s="1"/>
  <c r="H47" i="4"/>
  <c r="I47" i="4" s="1"/>
  <c r="J47" i="4" s="1"/>
  <c r="V47" i="4"/>
  <c r="V47" i="3"/>
  <c r="G47" i="3"/>
  <c r="H47" i="3"/>
  <c r="I47" i="3" s="1"/>
  <c r="V47" i="2"/>
  <c r="H47" i="2"/>
  <c r="I47" i="2" s="1"/>
  <c r="G47" i="2"/>
  <c r="I46" i="5"/>
  <c r="J46" i="5" s="1"/>
  <c r="N46" i="4"/>
  <c r="T46" i="2"/>
  <c r="N46" i="2"/>
  <c r="F46" i="2"/>
  <c r="T51" i="6" l="1"/>
  <c r="K47" i="5"/>
  <c r="L47" i="5" s="1"/>
  <c r="O47" i="5" s="1"/>
  <c r="K47" i="4"/>
  <c r="L47" i="4" s="1"/>
  <c r="N47" i="4" s="1"/>
  <c r="K47" i="3"/>
  <c r="J47" i="3"/>
  <c r="J47" i="2"/>
  <c r="K47" i="2"/>
  <c r="W49" i="6"/>
  <c r="D49" i="6"/>
  <c r="C49" i="6"/>
  <c r="B49" i="6"/>
  <c r="E46" i="5"/>
  <c r="V46" i="5" s="1"/>
  <c r="E46" i="4"/>
  <c r="V46" i="4" s="1"/>
  <c r="E46" i="3"/>
  <c r="F46" i="3" s="1"/>
  <c r="E46" i="2"/>
  <c r="V46" i="2" s="1"/>
  <c r="N47" i="5" l="1"/>
  <c r="U47" i="5"/>
  <c r="M47" i="5"/>
  <c r="T47" i="5"/>
  <c r="S47" i="5"/>
  <c r="P47" i="5"/>
  <c r="R47" i="5"/>
  <c r="Q47" i="5"/>
  <c r="M47" i="4"/>
  <c r="S47" i="4"/>
  <c r="R47" i="4"/>
  <c r="Q47" i="4"/>
  <c r="P47" i="4"/>
  <c r="O47" i="4"/>
  <c r="L47" i="3"/>
  <c r="L47" i="2"/>
  <c r="E49" i="6"/>
  <c r="G46" i="5"/>
  <c r="H46" i="5" s="1"/>
  <c r="K46" i="5" s="1"/>
  <c r="F46" i="4"/>
  <c r="H46" i="4" s="1"/>
  <c r="I46" i="4" s="1"/>
  <c r="K46" i="4" s="1"/>
  <c r="G46" i="4"/>
  <c r="V46" i="3"/>
  <c r="V49" i="6" s="1"/>
  <c r="G46" i="3"/>
  <c r="G46" i="2"/>
  <c r="U47" i="3" l="1"/>
  <c r="U50" i="6" s="1"/>
  <c r="L50" i="6"/>
  <c r="T47" i="3"/>
  <c r="T50" i="6" s="1"/>
  <c r="N47" i="3"/>
  <c r="N50" i="6" s="1"/>
  <c r="N47" i="2"/>
  <c r="O47" i="3"/>
  <c r="M47" i="3"/>
  <c r="M50" i="6" s="1"/>
  <c r="R47" i="3"/>
  <c r="R50" i="6" s="1"/>
  <c r="P47" i="3"/>
  <c r="P50" i="6" s="1"/>
  <c r="S47" i="3"/>
  <c r="S50" i="6" s="1"/>
  <c r="Q47" i="3"/>
  <c r="S47" i="2"/>
  <c r="R47" i="2"/>
  <c r="Q47" i="2"/>
  <c r="P47" i="2"/>
  <c r="O47" i="2"/>
  <c r="M47" i="2"/>
  <c r="F49" i="6"/>
  <c r="G49" i="6"/>
  <c r="L46" i="5"/>
  <c r="J46" i="4"/>
  <c r="L46" i="4" s="1"/>
  <c r="H46" i="3"/>
  <c r="I46" i="3" s="1"/>
  <c r="K46" i="3" s="1"/>
  <c r="H46" i="2"/>
  <c r="N45" i="4"/>
  <c r="N45" i="3"/>
  <c r="F45" i="3"/>
  <c r="T45" i="2"/>
  <c r="N45" i="2"/>
  <c r="N46" i="5" l="1"/>
  <c r="O46" i="5"/>
  <c r="Q50" i="6"/>
  <c r="O50" i="6"/>
  <c r="I46" i="2"/>
  <c r="K46" i="2" s="1"/>
  <c r="H49" i="6"/>
  <c r="R46" i="5"/>
  <c r="S46" i="5"/>
  <c r="Q46" i="5"/>
  <c r="M46" i="5"/>
  <c r="T46" i="5"/>
  <c r="U46" i="5"/>
  <c r="P46" i="5"/>
  <c r="U46" i="4"/>
  <c r="M46" i="4"/>
  <c r="T46" i="4"/>
  <c r="S46" i="4"/>
  <c r="R46" i="4"/>
  <c r="Q46" i="4"/>
  <c r="O46" i="4"/>
  <c r="P46" i="4"/>
  <c r="J46" i="3"/>
  <c r="W48" i="6"/>
  <c r="D48" i="6"/>
  <c r="C48" i="6"/>
  <c r="B48" i="6"/>
  <c r="E45" i="5"/>
  <c r="G45" i="5" s="1"/>
  <c r="E45" i="4"/>
  <c r="V45" i="4" s="1"/>
  <c r="E45" i="3"/>
  <c r="V45" i="3" s="1"/>
  <c r="E45" i="2"/>
  <c r="V45" i="2" s="1"/>
  <c r="K49" i="6" l="1"/>
  <c r="J46" i="2"/>
  <c r="J49" i="6" s="1"/>
  <c r="I49" i="6"/>
  <c r="L46" i="3"/>
  <c r="N46" i="3" s="1"/>
  <c r="E48" i="6"/>
  <c r="V45" i="5"/>
  <c r="V48" i="6" s="1"/>
  <c r="H45" i="5"/>
  <c r="I45" i="5" s="1"/>
  <c r="F45" i="4"/>
  <c r="H45" i="4" s="1"/>
  <c r="I45" i="4" s="1"/>
  <c r="K45" i="4" s="1"/>
  <c r="G45" i="4"/>
  <c r="G45" i="3"/>
  <c r="F45" i="2"/>
  <c r="G45" i="2"/>
  <c r="I44" i="5"/>
  <c r="G44" i="5"/>
  <c r="N44" i="4"/>
  <c r="U44" i="3"/>
  <c r="T44" i="3"/>
  <c r="F44" i="3"/>
  <c r="T44" i="2"/>
  <c r="N44" i="2"/>
  <c r="O46" i="3" l="1"/>
  <c r="L46" i="2"/>
  <c r="S46" i="3"/>
  <c r="T46" i="3"/>
  <c r="Q46" i="3"/>
  <c r="U46" i="3"/>
  <c r="U49" i="6" s="1"/>
  <c r="P46" i="3"/>
  <c r="M46" i="3"/>
  <c r="R46" i="3"/>
  <c r="G48" i="6"/>
  <c r="H45" i="2"/>
  <c r="F48" i="6"/>
  <c r="K45" i="5"/>
  <c r="J45" i="5"/>
  <c r="L45" i="5" s="1"/>
  <c r="J45" i="4"/>
  <c r="L45" i="4" s="1"/>
  <c r="S45" i="4" s="1"/>
  <c r="H45" i="3"/>
  <c r="I45" i="3" s="1"/>
  <c r="J45" i="3" s="1"/>
  <c r="W47" i="6"/>
  <c r="D47" i="6"/>
  <c r="C47" i="6"/>
  <c r="B47" i="6"/>
  <c r="E44" i="5"/>
  <c r="V44" i="5" s="1"/>
  <c r="E44" i="4"/>
  <c r="V44" i="4" s="1"/>
  <c r="E44" i="3"/>
  <c r="V44" i="3" s="1"/>
  <c r="E44" i="2"/>
  <c r="F44" i="2" s="1"/>
  <c r="T49" i="6" l="1"/>
  <c r="N49" i="6"/>
  <c r="L49" i="6"/>
  <c r="P46" i="2"/>
  <c r="P49" i="6" s="1"/>
  <c r="O46" i="2"/>
  <c r="O49" i="6" s="1"/>
  <c r="R46" i="2"/>
  <c r="R49" i="6" s="1"/>
  <c r="S46" i="2"/>
  <c r="S49" i="6" s="1"/>
  <c r="M46" i="2"/>
  <c r="M49" i="6" s="1"/>
  <c r="Q46" i="2"/>
  <c r="Q49" i="6" s="1"/>
  <c r="U45" i="4"/>
  <c r="P45" i="4"/>
  <c r="M45" i="4"/>
  <c r="O45" i="4"/>
  <c r="Q45" i="4"/>
  <c r="T45" i="4"/>
  <c r="R45" i="4"/>
  <c r="I45" i="2"/>
  <c r="H48" i="6"/>
  <c r="M45" i="5"/>
  <c r="T45" i="5"/>
  <c r="S45" i="5"/>
  <c r="R45" i="5"/>
  <c r="Q45" i="5"/>
  <c r="P45" i="5"/>
  <c r="O45" i="5"/>
  <c r="N45" i="5"/>
  <c r="U45" i="5"/>
  <c r="K45" i="3"/>
  <c r="L45" i="3" s="1"/>
  <c r="H44" i="5"/>
  <c r="E47" i="6"/>
  <c r="G44" i="4"/>
  <c r="F44" i="4"/>
  <c r="H44" i="4" s="1"/>
  <c r="I44" i="4" s="1"/>
  <c r="G44" i="3"/>
  <c r="V44" i="2"/>
  <c r="V47" i="6" s="1"/>
  <c r="G44" i="2"/>
  <c r="I43" i="5"/>
  <c r="G43" i="5"/>
  <c r="O43" i="4"/>
  <c r="N43" i="4"/>
  <c r="T43" i="3"/>
  <c r="U43" i="3"/>
  <c r="Q43" i="3"/>
  <c r="O43" i="3"/>
  <c r="N43" i="3"/>
  <c r="F43" i="3"/>
  <c r="T43" i="2"/>
  <c r="Q43" i="2"/>
  <c r="U45" i="3" l="1"/>
  <c r="U48" i="6" s="1"/>
  <c r="T45" i="3"/>
  <c r="I48" i="6"/>
  <c r="K45" i="2"/>
  <c r="K48" i="6" s="1"/>
  <c r="J45" i="2"/>
  <c r="M45" i="3"/>
  <c r="Q45" i="3"/>
  <c r="P45" i="3"/>
  <c r="S45" i="3"/>
  <c r="R45" i="3"/>
  <c r="O45" i="3"/>
  <c r="K44" i="5"/>
  <c r="F47" i="6"/>
  <c r="G47" i="6"/>
  <c r="H44" i="3"/>
  <c r="I44" i="3" s="1"/>
  <c r="K44" i="3" s="1"/>
  <c r="K44" i="4"/>
  <c r="J44" i="4"/>
  <c r="L44" i="4" s="1"/>
  <c r="H44" i="2"/>
  <c r="O43" i="2"/>
  <c r="N43" i="2"/>
  <c r="F43" i="2"/>
  <c r="J48" i="6" l="1"/>
  <c r="L45" i="2"/>
  <c r="J44" i="5"/>
  <c r="L44" i="5" s="1"/>
  <c r="O44" i="4"/>
  <c r="O60" i="4" s="1"/>
  <c r="J44" i="3"/>
  <c r="L44" i="3" s="1"/>
  <c r="I44" i="2"/>
  <c r="K44" i="2" s="1"/>
  <c r="H47" i="6"/>
  <c r="U44" i="4"/>
  <c r="M44" i="4"/>
  <c r="T44" i="4"/>
  <c r="S44" i="4"/>
  <c r="R44" i="4"/>
  <c r="Q44" i="4"/>
  <c r="P44" i="4"/>
  <c r="W46" i="6"/>
  <c r="D46" i="6"/>
  <c r="C46" i="6"/>
  <c r="B46" i="6"/>
  <c r="E43" i="5"/>
  <c r="V43" i="5" s="1"/>
  <c r="E43" i="4"/>
  <c r="F43" i="4" s="1"/>
  <c r="E43" i="3"/>
  <c r="T48" i="6" l="1"/>
  <c r="L48" i="6"/>
  <c r="N48" i="6"/>
  <c r="R45" i="2"/>
  <c r="R48" i="6" s="1"/>
  <c r="Q45" i="2"/>
  <c r="Q48" i="6" s="1"/>
  <c r="P45" i="2"/>
  <c r="P48" i="6" s="1"/>
  <c r="S45" i="2"/>
  <c r="S48" i="6" s="1"/>
  <c r="O45" i="2"/>
  <c r="O48" i="6" s="1"/>
  <c r="M45" i="2"/>
  <c r="M48" i="6" s="1"/>
  <c r="O44" i="5"/>
  <c r="U44" i="5"/>
  <c r="U47" i="6" s="1"/>
  <c r="T44" i="5"/>
  <c r="P44" i="5"/>
  <c r="N44" i="5"/>
  <c r="S44" i="5"/>
  <c r="Q44" i="5"/>
  <c r="M44" i="5"/>
  <c r="R44" i="5"/>
  <c r="O44" i="3"/>
  <c r="N44" i="3"/>
  <c r="Q44" i="3"/>
  <c r="K47" i="6"/>
  <c r="J44" i="2"/>
  <c r="J47" i="6" s="1"/>
  <c r="I47" i="6"/>
  <c r="P44" i="3"/>
  <c r="R44" i="3"/>
  <c r="S44" i="3"/>
  <c r="M44" i="3"/>
  <c r="H43" i="5"/>
  <c r="K43" i="5" s="1"/>
  <c r="V43" i="4"/>
  <c r="G43" i="4"/>
  <c r="H43" i="4" s="1"/>
  <c r="I43" i="4" s="1"/>
  <c r="H43" i="3"/>
  <c r="I43" i="3" s="1"/>
  <c r="V43" i="3"/>
  <c r="G43" i="3"/>
  <c r="E43" i="2"/>
  <c r="L44" i="2" l="1"/>
  <c r="F46" i="6"/>
  <c r="E46" i="6"/>
  <c r="J43" i="5"/>
  <c r="L43" i="5" s="1"/>
  <c r="K43" i="4"/>
  <c r="J43" i="4"/>
  <c r="K43" i="3"/>
  <c r="J43" i="3"/>
  <c r="L43" i="3" s="1"/>
  <c r="V43" i="2"/>
  <c r="V46" i="6" s="1"/>
  <c r="G43" i="2"/>
  <c r="G46" i="6" s="1"/>
  <c r="Q42" i="3"/>
  <c r="G42" i="5"/>
  <c r="F42" i="4"/>
  <c r="U42" i="3"/>
  <c r="T42" i="3"/>
  <c r="O42" i="3"/>
  <c r="N42" i="3"/>
  <c r="U43" i="5" l="1"/>
  <c r="T43" i="5"/>
  <c r="O43" i="5"/>
  <c r="T47" i="6"/>
  <c r="O44" i="2"/>
  <c r="N47" i="6"/>
  <c r="Q44" i="2"/>
  <c r="L47" i="6"/>
  <c r="S44" i="2"/>
  <c r="S47" i="6" s="1"/>
  <c r="P44" i="2"/>
  <c r="P47" i="6" s="1"/>
  <c r="R44" i="2"/>
  <c r="R47" i="6" s="1"/>
  <c r="M44" i="2"/>
  <c r="M47" i="6" s="1"/>
  <c r="L43" i="4"/>
  <c r="U43" i="4" s="1"/>
  <c r="H43" i="2"/>
  <c r="I43" i="2"/>
  <c r="I46" i="6" s="1"/>
  <c r="H46" i="6"/>
  <c r="N43" i="5"/>
  <c r="M43" i="5"/>
  <c r="S43" i="5"/>
  <c r="R43" i="5"/>
  <c r="P43" i="5"/>
  <c r="Q43" i="5"/>
  <c r="P43" i="4"/>
  <c r="S43" i="3"/>
  <c r="R43" i="3"/>
  <c r="P43" i="3"/>
  <c r="M43" i="3"/>
  <c r="K43" i="2"/>
  <c r="K46" i="6" s="1"/>
  <c r="J43" i="2"/>
  <c r="J46" i="6" s="1"/>
  <c r="O42" i="2"/>
  <c r="F42" i="2"/>
  <c r="W45" i="6"/>
  <c r="D45" i="6"/>
  <c r="C45" i="6"/>
  <c r="B45" i="6"/>
  <c r="E42" i="5"/>
  <c r="V42" i="5" s="1"/>
  <c r="E42" i="4"/>
  <c r="E42" i="3"/>
  <c r="E42" i="2"/>
  <c r="Q47" i="6" l="1"/>
  <c r="Q60" i="2"/>
  <c r="O47" i="6"/>
  <c r="O60" i="2"/>
  <c r="U46" i="6"/>
  <c r="Q43" i="4"/>
  <c r="R43" i="4"/>
  <c r="S43" i="4"/>
  <c r="T43" i="4"/>
  <c r="M43" i="4"/>
  <c r="L43" i="2"/>
  <c r="E45" i="6"/>
  <c r="H42" i="5"/>
  <c r="V42" i="4"/>
  <c r="G42" i="4"/>
  <c r="H42" i="4" s="1"/>
  <c r="I42" i="4" s="1"/>
  <c r="F42" i="3"/>
  <c r="H42" i="3" s="1"/>
  <c r="I42" i="3" s="1"/>
  <c r="V42" i="3"/>
  <c r="G42" i="3"/>
  <c r="V42" i="2"/>
  <c r="G42" i="2"/>
  <c r="W44" i="6"/>
  <c r="S43" i="2" l="1"/>
  <c r="S46" i="6" s="1"/>
  <c r="L46" i="6"/>
  <c r="O46" i="6"/>
  <c r="N46" i="6"/>
  <c r="M43" i="2"/>
  <c r="M46" i="6" s="1"/>
  <c r="Q46" i="6"/>
  <c r="P43" i="2"/>
  <c r="P46" i="6" s="1"/>
  <c r="T46" i="6"/>
  <c r="R43" i="2"/>
  <c r="R46" i="6" s="1"/>
  <c r="I42" i="5"/>
  <c r="J42" i="5" s="1"/>
  <c r="V45" i="6"/>
  <c r="G45" i="6"/>
  <c r="F45" i="6"/>
  <c r="H42" i="2"/>
  <c r="K42" i="5"/>
  <c r="K42" i="4"/>
  <c r="J42" i="4"/>
  <c r="K42" i="3"/>
  <c r="J42" i="3"/>
  <c r="I41" i="5"/>
  <c r="U41" i="4"/>
  <c r="Q41" i="4"/>
  <c r="O41" i="4"/>
  <c r="N41" i="4"/>
  <c r="F41" i="4"/>
  <c r="U41" i="3"/>
  <c r="T41" i="3"/>
  <c r="Q41" i="3"/>
  <c r="O41" i="3"/>
  <c r="N41" i="3"/>
  <c r="T41" i="2"/>
  <c r="O41" i="2"/>
  <c r="N41" i="2"/>
  <c r="F41" i="2"/>
  <c r="L42" i="5" l="1"/>
  <c r="I42" i="2"/>
  <c r="H45" i="6"/>
  <c r="L42" i="4"/>
  <c r="L42" i="3"/>
  <c r="D44" i="6"/>
  <c r="C44" i="6"/>
  <c r="B44" i="6"/>
  <c r="E41" i="5"/>
  <c r="G41" i="5" s="1"/>
  <c r="E41" i="4"/>
  <c r="E41" i="3"/>
  <c r="V41" i="3" s="1"/>
  <c r="E41" i="2"/>
  <c r="G41" i="2" s="1"/>
  <c r="N42" i="5" l="1"/>
  <c r="U42" i="5"/>
  <c r="U45" i="6" s="1"/>
  <c r="O42" i="5"/>
  <c r="T42" i="5"/>
  <c r="R42" i="5"/>
  <c r="P42" i="5"/>
  <c r="S42" i="5"/>
  <c r="Q42" i="5"/>
  <c r="M42" i="5"/>
  <c r="O42" i="4"/>
  <c r="N42" i="4"/>
  <c r="T42" i="4"/>
  <c r="U42" i="4"/>
  <c r="Q42" i="4"/>
  <c r="Q60" i="4" s="1"/>
  <c r="R42" i="3"/>
  <c r="I45" i="6"/>
  <c r="K42" i="2"/>
  <c r="K45" i="6" s="1"/>
  <c r="J42" i="2"/>
  <c r="R42" i="4"/>
  <c r="P42" i="4"/>
  <c r="S42" i="4"/>
  <c r="M42" i="4"/>
  <c r="M42" i="3"/>
  <c r="P42" i="3"/>
  <c r="S42" i="3"/>
  <c r="F41" i="3"/>
  <c r="F44" i="6" s="1"/>
  <c r="E44" i="6"/>
  <c r="H41" i="5"/>
  <c r="V41" i="5"/>
  <c r="V41" i="4"/>
  <c r="G41" i="4"/>
  <c r="H41" i="4" s="1"/>
  <c r="I41" i="4" s="1"/>
  <c r="G41" i="3"/>
  <c r="V41" i="2"/>
  <c r="G40" i="5"/>
  <c r="O40" i="4"/>
  <c r="N40" i="4"/>
  <c r="F40" i="4"/>
  <c r="U40" i="3"/>
  <c r="T40" i="3"/>
  <c r="Q40" i="3"/>
  <c r="O40" i="3"/>
  <c r="N40" i="3"/>
  <c r="F40" i="3"/>
  <c r="J45" i="6" l="1"/>
  <c r="L42" i="2"/>
  <c r="V44" i="6"/>
  <c r="G44" i="6"/>
  <c r="H41" i="2"/>
  <c r="J41" i="5"/>
  <c r="K41" i="5"/>
  <c r="J41" i="4"/>
  <c r="K41" i="4"/>
  <c r="H41" i="3"/>
  <c r="I41" i="3" s="1"/>
  <c r="K41" i="3" s="1"/>
  <c r="T40" i="2"/>
  <c r="O40" i="2"/>
  <c r="N40" i="2"/>
  <c r="F40" i="2"/>
  <c r="T42" i="2" l="1"/>
  <c r="T45" i="6" s="1"/>
  <c r="L45" i="6"/>
  <c r="O45" i="6"/>
  <c r="N42" i="2"/>
  <c r="N45" i="6" s="1"/>
  <c r="S42" i="2"/>
  <c r="S45" i="6" s="1"/>
  <c r="Q42" i="2"/>
  <c r="Q45" i="6" s="1"/>
  <c r="M42" i="2"/>
  <c r="M45" i="6" s="1"/>
  <c r="R42" i="2"/>
  <c r="R45" i="6" s="1"/>
  <c r="P42" i="2"/>
  <c r="P45" i="6" s="1"/>
  <c r="I41" i="2"/>
  <c r="H44" i="6"/>
  <c r="L41" i="5"/>
  <c r="L41" i="4"/>
  <c r="J41" i="3"/>
  <c r="L41" i="3" s="1"/>
  <c r="W43" i="6"/>
  <c r="D43" i="6"/>
  <c r="C43" i="6"/>
  <c r="B43" i="6"/>
  <c r="E40" i="5"/>
  <c r="E40" i="4"/>
  <c r="E40" i="3"/>
  <c r="E40" i="2"/>
  <c r="U41" i="5" l="1"/>
  <c r="U44" i="6" s="1"/>
  <c r="O41" i="5"/>
  <c r="T41" i="5"/>
  <c r="I44" i="6"/>
  <c r="K41" i="2"/>
  <c r="K44" i="6" s="1"/>
  <c r="J41" i="2"/>
  <c r="M41" i="5"/>
  <c r="Q41" i="5"/>
  <c r="S41" i="5"/>
  <c r="R41" i="5"/>
  <c r="P41" i="5"/>
  <c r="N41" i="5"/>
  <c r="R41" i="4"/>
  <c r="M41" i="4"/>
  <c r="P41" i="4"/>
  <c r="S41" i="4"/>
  <c r="P41" i="3"/>
  <c r="S41" i="3"/>
  <c r="R41" i="3"/>
  <c r="M41" i="3"/>
  <c r="E43" i="6"/>
  <c r="V40" i="5"/>
  <c r="H40" i="5"/>
  <c r="I40" i="5" s="1"/>
  <c r="V40" i="4"/>
  <c r="G40" i="4"/>
  <c r="H40" i="4" s="1"/>
  <c r="I40" i="4" s="1"/>
  <c r="F43" i="6"/>
  <c r="V40" i="3"/>
  <c r="G40" i="3"/>
  <c r="V40" i="2"/>
  <c r="G40" i="2"/>
  <c r="U39" i="3"/>
  <c r="T39" i="3"/>
  <c r="Q39" i="2"/>
  <c r="J44" i="6" l="1"/>
  <c r="L41" i="2"/>
  <c r="V43" i="6"/>
  <c r="G43" i="6"/>
  <c r="H40" i="2"/>
  <c r="J40" i="5"/>
  <c r="K40" i="5"/>
  <c r="K40" i="4"/>
  <c r="J40" i="4"/>
  <c r="H40" i="3"/>
  <c r="I40" i="3" s="1"/>
  <c r="J40" i="3" s="1"/>
  <c r="W42" i="6"/>
  <c r="V42" i="6"/>
  <c r="I42" i="6"/>
  <c r="H42" i="6"/>
  <c r="G42" i="6"/>
  <c r="F42" i="6"/>
  <c r="E42" i="6"/>
  <c r="D42" i="6"/>
  <c r="C42" i="6"/>
  <c r="B42" i="6"/>
  <c r="K39" i="5"/>
  <c r="J39" i="5"/>
  <c r="I39" i="5"/>
  <c r="O39" i="4"/>
  <c r="N39" i="4"/>
  <c r="F39" i="4"/>
  <c r="Q39" i="3"/>
  <c r="O39" i="3"/>
  <c r="N39" i="3"/>
  <c r="T39" i="2"/>
  <c r="O39" i="2"/>
  <c r="N39" i="2"/>
  <c r="F39" i="2"/>
  <c r="J42" i="6" l="1"/>
  <c r="J60" i="5"/>
  <c r="K42" i="6"/>
  <c r="K60" i="5"/>
  <c r="N44" i="6"/>
  <c r="L44" i="6"/>
  <c r="O44" i="6"/>
  <c r="T44" i="6"/>
  <c r="P41" i="2"/>
  <c r="P44" i="6" s="1"/>
  <c r="S41" i="2"/>
  <c r="S44" i="6" s="1"/>
  <c r="R41" i="2"/>
  <c r="R44" i="6" s="1"/>
  <c r="Q41" i="2"/>
  <c r="Q44" i="6" s="1"/>
  <c r="M41" i="2"/>
  <c r="M44" i="6" s="1"/>
  <c r="K40" i="3"/>
  <c r="L40" i="3" s="1"/>
  <c r="I40" i="2"/>
  <c r="H43" i="6"/>
  <c r="L40" i="5"/>
  <c r="L40" i="4"/>
  <c r="E39" i="5"/>
  <c r="G39" i="5" s="1"/>
  <c r="E39" i="4"/>
  <c r="E39" i="3"/>
  <c r="V39" i="3" s="1"/>
  <c r="E39" i="2"/>
  <c r="U40" i="5" l="1"/>
  <c r="O40" i="5"/>
  <c r="R40" i="5"/>
  <c r="S40" i="5"/>
  <c r="T40" i="5"/>
  <c r="Q40" i="5"/>
  <c r="P40" i="3"/>
  <c r="S40" i="3"/>
  <c r="R40" i="3"/>
  <c r="M40" i="3"/>
  <c r="I43" i="6"/>
  <c r="K40" i="2"/>
  <c r="K43" i="6" s="1"/>
  <c r="J40" i="2"/>
  <c r="N40" i="5"/>
  <c r="M40" i="5"/>
  <c r="P40" i="5"/>
  <c r="T40" i="4"/>
  <c r="S40" i="4"/>
  <c r="R40" i="4"/>
  <c r="Q40" i="4"/>
  <c r="P40" i="4"/>
  <c r="U40" i="4"/>
  <c r="M40" i="4"/>
  <c r="F39" i="3"/>
  <c r="H39" i="3" s="1"/>
  <c r="I39" i="3" s="1"/>
  <c r="V39" i="5"/>
  <c r="H39" i="5"/>
  <c r="V39" i="4"/>
  <c r="G39" i="4"/>
  <c r="G39" i="3"/>
  <c r="V39" i="2"/>
  <c r="G39" i="2"/>
  <c r="O38" i="5"/>
  <c r="I38" i="5"/>
  <c r="G38" i="5"/>
  <c r="U38" i="4"/>
  <c r="Q38" i="4"/>
  <c r="O38" i="4"/>
  <c r="N38" i="4"/>
  <c r="U38" i="3"/>
  <c r="T38" i="3"/>
  <c r="Q38" i="3"/>
  <c r="O38" i="3"/>
  <c r="N38" i="3"/>
  <c r="F38" i="3"/>
  <c r="U43" i="6" l="1"/>
  <c r="J43" i="6"/>
  <c r="L40" i="2"/>
  <c r="H39" i="4"/>
  <c r="I39" i="4" s="1"/>
  <c r="J39" i="4" s="1"/>
  <c r="K39" i="3"/>
  <c r="J39" i="3"/>
  <c r="H39" i="2"/>
  <c r="I39" i="2" s="1"/>
  <c r="K39" i="2" s="1"/>
  <c r="N38" i="2"/>
  <c r="F38" i="2"/>
  <c r="W41" i="6"/>
  <c r="D41" i="6"/>
  <c r="C41" i="6"/>
  <c r="B41" i="6"/>
  <c r="E38" i="5"/>
  <c r="E38" i="4"/>
  <c r="F38" i="4" s="1"/>
  <c r="E38" i="3"/>
  <c r="V38" i="3" s="1"/>
  <c r="E38" i="2"/>
  <c r="L43" i="6" l="1"/>
  <c r="T43" i="6"/>
  <c r="Q40" i="2"/>
  <c r="Q43" i="6" s="1"/>
  <c r="N43" i="6"/>
  <c r="O43" i="6"/>
  <c r="P40" i="2"/>
  <c r="P43" i="6" s="1"/>
  <c r="M40" i="2"/>
  <c r="M43" i="6" s="1"/>
  <c r="S40" i="2"/>
  <c r="S43" i="6" s="1"/>
  <c r="R40" i="2"/>
  <c r="R43" i="6" s="1"/>
  <c r="L39" i="3"/>
  <c r="L39" i="5"/>
  <c r="L60" i="5" s="1"/>
  <c r="K39" i="4"/>
  <c r="L39" i="4" s="1"/>
  <c r="M39" i="3"/>
  <c r="S39" i="3"/>
  <c r="R39" i="3"/>
  <c r="P39" i="3"/>
  <c r="J39" i="2"/>
  <c r="L39" i="2" s="1"/>
  <c r="E41" i="6"/>
  <c r="H38" i="5"/>
  <c r="V38" i="5"/>
  <c r="V38" i="4"/>
  <c r="G38" i="4"/>
  <c r="G38" i="3"/>
  <c r="F41" i="6"/>
  <c r="V38" i="2"/>
  <c r="V41" i="6" s="1"/>
  <c r="G38" i="2"/>
  <c r="M39" i="5" l="1"/>
  <c r="L42" i="6"/>
  <c r="N39" i="5"/>
  <c r="P39" i="5"/>
  <c r="U39" i="5"/>
  <c r="U42" i="6" s="1"/>
  <c r="O39" i="5"/>
  <c r="T39" i="4"/>
  <c r="U39" i="4"/>
  <c r="Q39" i="4"/>
  <c r="Q39" i="5"/>
  <c r="Q42" i="6" s="1"/>
  <c r="R39" i="5"/>
  <c r="R42" i="6" s="1"/>
  <c r="S39" i="5"/>
  <c r="S42" i="6" s="1"/>
  <c r="T39" i="5"/>
  <c r="T42" i="6" s="1"/>
  <c r="M39" i="4"/>
  <c r="S39" i="4"/>
  <c r="R39" i="4"/>
  <c r="P39" i="4"/>
  <c r="P39" i="2"/>
  <c r="M39" i="2"/>
  <c r="S39" i="2"/>
  <c r="R39" i="2"/>
  <c r="G41" i="6"/>
  <c r="H38" i="2"/>
  <c r="K38" i="5"/>
  <c r="J38" i="5"/>
  <c r="H38" i="4"/>
  <c r="I38" i="4" s="1"/>
  <c r="K38" i="4" s="1"/>
  <c r="H38" i="3"/>
  <c r="I38" i="3" s="1"/>
  <c r="J38" i="3" s="1"/>
  <c r="T37" i="2"/>
  <c r="N37" i="2"/>
  <c r="O37" i="5"/>
  <c r="U37" i="4"/>
  <c r="T37" i="4"/>
  <c r="Q37" i="4"/>
  <c r="N37" i="4"/>
  <c r="F37" i="4"/>
  <c r="N37" i="3"/>
  <c r="O42" i="6" l="1"/>
  <c r="O60" i="5"/>
  <c r="P42" i="6"/>
  <c r="P60" i="5"/>
  <c r="N42" i="6"/>
  <c r="N60" i="5"/>
  <c r="M42" i="6"/>
  <c r="M60" i="5"/>
  <c r="I38" i="2"/>
  <c r="H41" i="6"/>
  <c r="L38" i="5"/>
  <c r="J38" i="4"/>
  <c r="L38" i="4" s="1"/>
  <c r="K38" i="3"/>
  <c r="L38" i="3" s="1"/>
  <c r="F37" i="2"/>
  <c r="I41" i="6" l="1"/>
  <c r="K38" i="2"/>
  <c r="K41" i="6" s="1"/>
  <c r="J38" i="2"/>
  <c r="T38" i="5"/>
  <c r="S38" i="5"/>
  <c r="R38" i="5"/>
  <c r="Q38" i="5"/>
  <c r="U38" i="5"/>
  <c r="U41" i="6" s="1"/>
  <c r="M38" i="5"/>
  <c r="P38" i="5"/>
  <c r="N38" i="5"/>
  <c r="S38" i="4"/>
  <c r="R38" i="4"/>
  <c r="P38" i="4"/>
  <c r="M38" i="4"/>
  <c r="S38" i="3"/>
  <c r="P38" i="3"/>
  <c r="M38" i="3"/>
  <c r="R38" i="3"/>
  <c r="W40" i="6"/>
  <c r="D40" i="6"/>
  <c r="C40" i="6"/>
  <c r="B40" i="6"/>
  <c r="E37" i="5"/>
  <c r="G37" i="5" s="1"/>
  <c r="E37" i="4"/>
  <c r="E37" i="3"/>
  <c r="V37" i="3" s="1"/>
  <c r="E37" i="2"/>
  <c r="V37" i="2" s="1"/>
  <c r="L38" i="2" l="1"/>
  <c r="J41" i="6"/>
  <c r="E40" i="6"/>
  <c r="H37" i="5"/>
  <c r="I37" i="5" s="1"/>
  <c r="V37" i="5"/>
  <c r="V37" i="4"/>
  <c r="G37" i="4"/>
  <c r="H37" i="4" s="1"/>
  <c r="I37" i="4" s="1"/>
  <c r="G37" i="3"/>
  <c r="F37" i="3"/>
  <c r="G37" i="2"/>
  <c r="O36" i="5"/>
  <c r="G36" i="5"/>
  <c r="U36" i="4"/>
  <c r="Q36" i="4"/>
  <c r="N36" i="4"/>
  <c r="F36" i="4"/>
  <c r="U36" i="3"/>
  <c r="T36" i="3"/>
  <c r="Q36" i="3"/>
  <c r="O36" i="3"/>
  <c r="N36" i="3"/>
  <c r="T36" i="2"/>
  <c r="R36" i="2"/>
  <c r="S36" i="2"/>
  <c r="Q36" i="2"/>
  <c r="O36" i="2"/>
  <c r="N36" i="2"/>
  <c r="L41" i="6" l="1"/>
  <c r="T38" i="2"/>
  <c r="T41" i="6" s="1"/>
  <c r="N41" i="6"/>
  <c r="S38" i="2"/>
  <c r="S41" i="6" s="1"/>
  <c r="P38" i="2"/>
  <c r="P41" i="6" s="1"/>
  <c r="O38" i="2"/>
  <c r="O41" i="6" s="1"/>
  <c r="M38" i="2"/>
  <c r="M41" i="6" s="1"/>
  <c r="R38" i="2"/>
  <c r="R41" i="6" s="1"/>
  <c r="Q38" i="2"/>
  <c r="Q41" i="6" s="1"/>
  <c r="V40" i="6"/>
  <c r="H37" i="3"/>
  <c r="I37" i="3" s="1"/>
  <c r="G40" i="6"/>
  <c r="F40" i="6"/>
  <c r="J37" i="5"/>
  <c r="K37" i="5"/>
  <c r="K37" i="4"/>
  <c r="J37" i="4"/>
  <c r="K37" i="3"/>
  <c r="J37" i="3"/>
  <c r="H37" i="2"/>
  <c r="W39" i="6"/>
  <c r="D39" i="6"/>
  <c r="C39" i="6"/>
  <c r="B39" i="6"/>
  <c r="E36" i="5"/>
  <c r="E36" i="4"/>
  <c r="E36" i="3"/>
  <c r="V36" i="3" s="1"/>
  <c r="E36" i="2"/>
  <c r="E39" i="6" s="1"/>
  <c r="L37" i="3" l="1"/>
  <c r="Q37" i="3" s="1"/>
  <c r="O37" i="3"/>
  <c r="U37" i="3"/>
  <c r="T37" i="3"/>
  <c r="I37" i="2"/>
  <c r="J37" i="2" s="1"/>
  <c r="H40" i="6"/>
  <c r="L37" i="5"/>
  <c r="L37" i="4"/>
  <c r="M37" i="3"/>
  <c r="S37" i="3"/>
  <c r="R37" i="3"/>
  <c r="P37" i="3"/>
  <c r="F36" i="3"/>
  <c r="H36" i="5"/>
  <c r="I36" i="5" s="1"/>
  <c r="V36" i="5"/>
  <c r="V36" i="4"/>
  <c r="G36" i="4"/>
  <c r="H36" i="4" s="1"/>
  <c r="I36" i="4" s="1"/>
  <c r="G36" i="3"/>
  <c r="V36" i="2"/>
  <c r="F36" i="2"/>
  <c r="G36" i="2"/>
  <c r="U35" i="5"/>
  <c r="T35" i="5"/>
  <c r="O35" i="5"/>
  <c r="G35" i="5"/>
  <c r="N35" i="4"/>
  <c r="N35" i="3"/>
  <c r="F35" i="3"/>
  <c r="J40" i="6" l="1"/>
  <c r="K37" i="2"/>
  <c r="K40" i="6" s="1"/>
  <c r="I40" i="6"/>
  <c r="U37" i="5"/>
  <c r="U40" i="6" s="1"/>
  <c r="M37" i="5"/>
  <c r="T37" i="5"/>
  <c r="S37" i="5"/>
  <c r="R37" i="5"/>
  <c r="P37" i="5"/>
  <c r="N37" i="5"/>
  <c r="Q37" i="5"/>
  <c r="P37" i="4"/>
  <c r="O37" i="4"/>
  <c r="R37" i="4"/>
  <c r="S37" i="4"/>
  <c r="M37" i="4"/>
  <c r="V39" i="6"/>
  <c r="H36" i="3"/>
  <c r="I36" i="3" s="1"/>
  <c r="G39" i="6"/>
  <c r="H36" i="2"/>
  <c r="F39" i="6"/>
  <c r="K36" i="5"/>
  <c r="J36" i="5"/>
  <c r="J36" i="4"/>
  <c r="K36" i="4"/>
  <c r="K36" i="3"/>
  <c r="J36" i="3"/>
  <c r="T35" i="2"/>
  <c r="O35" i="2"/>
  <c r="N35" i="2"/>
  <c r="W38" i="6"/>
  <c r="D38" i="6"/>
  <c r="C38" i="6"/>
  <c r="B38" i="6"/>
  <c r="E35" i="5"/>
  <c r="V35" i="5" s="1"/>
  <c r="E35" i="4"/>
  <c r="V35" i="4" s="1"/>
  <c r="E35" i="3"/>
  <c r="E35" i="2"/>
  <c r="E38" i="6" s="1"/>
  <c r="L37" i="2" l="1"/>
  <c r="L40" i="6" s="1"/>
  <c r="O37" i="2"/>
  <c r="O40" i="6" s="1"/>
  <c r="T40" i="6"/>
  <c r="Q37" i="2"/>
  <c r="Q40" i="6" s="1"/>
  <c r="S37" i="2"/>
  <c r="S40" i="6" s="1"/>
  <c r="P37" i="2"/>
  <c r="P40" i="6" s="1"/>
  <c r="M37" i="2"/>
  <c r="M40" i="6" s="1"/>
  <c r="I36" i="2"/>
  <c r="H39" i="6"/>
  <c r="L36" i="5"/>
  <c r="L36" i="4"/>
  <c r="L36" i="3"/>
  <c r="H35" i="5"/>
  <c r="G35" i="4"/>
  <c r="F35" i="4"/>
  <c r="V35" i="3"/>
  <c r="G35" i="3"/>
  <c r="V35" i="2"/>
  <c r="F35" i="2"/>
  <c r="G35" i="2"/>
  <c r="R37" i="2" l="1"/>
  <c r="R40" i="6" s="1"/>
  <c r="N40" i="6"/>
  <c r="U36" i="5"/>
  <c r="U39" i="6" s="1"/>
  <c r="T36" i="5"/>
  <c r="I39" i="6"/>
  <c r="K36" i="2"/>
  <c r="K39" i="6" s="1"/>
  <c r="J36" i="2"/>
  <c r="N36" i="5"/>
  <c r="R36" i="5"/>
  <c r="S36" i="5"/>
  <c r="P36" i="5"/>
  <c r="Q36" i="5"/>
  <c r="M36" i="5"/>
  <c r="R36" i="4"/>
  <c r="M36" i="4"/>
  <c r="S36" i="4"/>
  <c r="P36" i="4"/>
  <c r="O36" i="4"/>
  <c r="M36" i="3"/>
  <c r="S36" i="3"/>
  <c r="R36" i="3"/>
  <c r="P36" i="3"/>
  <c r="I35" i="5"/>
  <c r="K35" i="5" s="1"/>
  <c r="H35" i="4"/>
  <c r="I35" i="4" s="1"/>
  <c r="J35" i="4" s="1"/>
  <c r="F38" i="6"/>
  <c r="V38" i="6"/>
  <c r="G38" i="6"/>
  <c r="H35" i="3"/>
  <c r="I35" i="3" s="1"/>
  <c r="J35" i="3" s="1"/>
  <c r="H35" i="2"/>
  <c r="J39" i="6" l="1"/>
  <c r="L36" i="2"/>
  <c r="J35" i="5"/>
  <c r="L35" i="5" s="1"/>
  <c r="K35" i="4"/>
  <c r="L35" i="4" s="1"/>
  <c r="M35" i="4" s="1"/>
  <c r="I35" i="2"/>
  <c r="K35" i="2" s="1"/>
  <c r="H38" i="6"/>
  <c r="K35" i="3"/>
  <c r="L35" i="3" s="1"/>
  <c r="S39" i="6" l="1"/>
  <c r="L39" i="6"/>
  <c r="T39" i="6"/>
  <c r="O39" i="6"/>
  <c r="N39" i="6"/>
  <c r="P36" i="2"/>
  <c r="P39" i="6" s="1"/>
  <c r="M36" i="2"/>
  <c r="M39" i="6" s="1"/>
  <c r="R39" i="6"/>
  <c r="Q39" i="6"/>
  <c r="N35" i="5"/>
  <c r="M35" i="5"/>
  <c r="S35" i="5"/>
  <c r="Q35" i="5"/>
  <c r="R35" i="5"/>
  <c r="P35" i="5"/>
  <c r="Q35" i="4"/>
  <c r="P35" i="4"/>
  <c r="R35" i="4"/>
  <c r="S35" i="4"/>
  <c r="O35" i="4"/>
  <c r="T35" i="4"/>
  <c r="U35" i="4"/>
  <c r="T35" i="3"/>
  <c r="U35" i="3"/>
  <c r="Q35" i="3"/>
  <c r="O35" i="3"/>
  <c r="K38" i="6"/>
  <c r="J35" i="2"/>
  <c r="J38" i="6" s="1"/>
  <c r="I38" i="6"/>
  <c r="S35" i="3"/>
  <c r="R35" i="3"/>
  <c r="P35" i="3"/>
  <c r="M35" i="3"/>
  <c r="U38" i="6" l="1"/>
  <c r="L35" i="2"/>
  <c r="L38" i="6" l="1"/>
  <c r="N38" i="6"/>
  <c r="O38" i="6"/>
  <c r="T38" i="6"/>
  <c r="Q35" i="2"/>
  <c r="Q38" i="6" s="1"/>
  <c r="P35" i="2"/>
  <c r="P38" i="6" s="1"/>
  <c r="R35" i="2"/>
  <c r="R38" i="6" s="1"/>
  <c r="S35" i="2"/>
  <c r="S38" i="6" s="1"/>
  <c r="M35" i="2"/>
  <c r="M38" i="6" s="1"/>
  <c r="I34" i="5" l="1"/>
  <c r="U34" i="4" l="1"/>
  <c r="O34" i="4"/>
  <c r="N34" i="4"/>
  <c r="U34" i="3"/>
  <c r="T34" i="3"/>
  <c r="Q34" i="3"/>
  <c r="O34" i="3"/>
  <c r="N34" i="3"/>
  <c r="O34" i="2"/>
  <c r="N34" i="2"/>
  <c r="W37" i="6" l="1"/>
  <c r="D37" i="6"/>
  <c r="C37" i="6"/>
  <c r="B37" i="6"/>
  <c r="J34" i="5"/>
  <c r="K34" i="5"/>
  <c r="E34" i="5"/>
  <c r="G34" i="5" s="1"/>
  <c r="H34" i="5" s="1"/>
  <c r="E34" i="4"/>
  <c r="G34" i="4" s="1"/>
  <c r="E34" i="3"/>
  <c r="E34" i="2"/>
  <c r="G34" i="2" s="1"/>
  <c r="F34" i="2" l="1"/>
  <c r="E37" i="6"/>
  <c r="V34" i="5"/>
  <c r="L34" i="5"/>
  <c r="F34" i="4"/>
  <c r="H34" i="4" s="1"/>
  <c r="I34" i="4" s="1"/>
  <c r="V34" i="4"/>
  <c r="F34" i="3"/>
  <c r="H34" i="3" s="1"/>
  <c r="I34" i="3" s="1"/>
  <c r="V34" i="3"/>
  <c r="G34" i="3"/>
  <c r="G37" i="6" s="1"/>
  <c r="V34" i="2"/>
  <c r="U33" i="3"/>
  <c r="T33" i="3"/>
  <c r="N33" i="3"/>
  <c r="U33" i="5"/>
  <c r="T33" i="5"/>
  <c r="S34" i="5" l="1"/>
  <c r="R34" i="5"/>
  <c r="Q34" i="5"/>
  <c r="P34" i="5"/>
  <c r="N34" i="5"/>
  <c r="M34" i="5"/>
  <c r="O34" i="5"/>
  <c r="U34" i="5"/>
  <c r="T34" i="5"/>
  <c r="V37" i="6"/>
  <c r="F37" i="6"/>
  <c r="H34" i="2"/>
  <c r="I34" i="2" s="1"/>
  <c r="K34" i="4"/>
  <c r="J34" i="4"/>
  <c r="L34" i="4" s="1"/>
  <c r="K34" i="3"/>
  <c r="J34" i="3"/>
  <c r="G33" i="5"/>
  <c r="U33" i="4"/>
  <c r="T33" i="4"/>
  <c r="Q33" i="4"/>
  <c r="O33" i="4"/>
  <c r="N33" i="4"/>
  <c r="Q33" i="3"/>
  <c r="O33" i="3"/>
  <c r="Q34" i="4" l="1"/>
  <c r="I37" i="6"/>
  <c r="K34" i="2"/>
  <c r="K37" i="6" s="1"/>
  <c r="J34" i="2"/>
  <c r="J37" i="6" s="1"/>
  <c r="H37" i="6"/>
  <c r="M34" i="4"/>
  <c r="S34" i="4"/>
  <c r="R34" i="4"/>
  <c r="P34" i="4"/>
  <c r="L34" i="3"/>
  <c r="O33" i="2"/>
  <c r="N33" i="2"/>
  <c r="F33" i="2"/>
  <c r="W36" i="6"/>
  <c r="D36" i="6"/>
  <c r="C36" i="6"/>
  <c r="B36" i="6"/>
  <c r="U37" i="6" l="1"/>
  <c r="L34" i="2"/>
  <c r="S34" i="2" s="1"/>
  <c r="S34" i="3"/>
  <c r="R34" i="3"/>
  <c r="P34" i="3"/>
  <c r="M34" i="3"/>
  <c r="E33" i="5"/>
  <c r="H33" i="5" s="1"/>
  <c r="E33" i="4"/>
  <c r="F33" i="4" s="1"/>
  <c r="E33" i="3"/>
  <c r="F33" i="3" s="1"/>
  <c r="E33" i="2"/>
  <c r="E36" i="6" s="1"/>
  <c r="S37" i="6" l="1"/>
  <c r="R34" i="2"/>
  <c r="R37" i="6" s="1"/>
  <c r="M34" i="2"/>
  <c r="M37" i="6" s="1"/>
  <c r="N37" i="6"/>
  <c r="P34" i="2"/>
  <c r="P37" i="6" s="1"/>
  <c r="O37" i="6"/>
  <c r="T34" i="2"/>
  <c r="T37" i="6" s="1"/>
  <c r="L37" i="6"/>
  <c r="Q34" i="2"/>
  <c r="Q37" i="6" s="1"/>
  <c r="V33" i="5"/>
  <c r="K33" i="5"/>
  <c r="J33" i="5"/>
  <c r="V33" i="4"/>
  <c r="G33" i="4"/>
  <c r="V33" i="3"/>
  <c r="G33" i="3"/>
  <c r="V33" i="2"/>
  <c r="F36" i="6"/>
  <c r="G33" i="2"/>
  <c r="V36" i="6" l="1"/>
  <c r="G36" i="6"/>
  <c r="L33" i="5"/>
  <c r="H33" i="4"/>
  <c r="I33" i="4" s="1"/>
  <c r="J33" i="4" s="1"/>
  <c r="H33" i="3"/>
  <c r="I33" i="3" s="1"/>
  <c r="J33" i="3" s="1"/>
  <c r="H33" i="2"/>
  <c r="U32" i="4"/>
  <c r="T32" i="4"/>
  <c r="I33" i="2" l="1"/>
  <c r="H36" i="6"/>
  <c r="R33" i="5"/>
  <c r="S33" i="5"/>
  <c r="K33" i="4"/>
  <c r="L33" i="4" s="1"/>
  <c r="K33" i="3"/>
  <c r="L33" i="3" s="1"/>
  <c r="J33" i="2"/>
  <c r="N32" i="4"/>
  <c r="F32" i="4"/>
  <c r="Q32" i="3"/>
  <c r="O32" i="3"/>
  <c r="N32" i="3"/>
  <c r="F32" i="3"/>
  <c r="T32" i="2"/>
  <c r="O32" i="2"/>
  <c r="N32" i="2"/>
  <c r="R33" i="3" l="1"/>
  <c r="J36" i="6"/>
  <c r="K33" i="2"/>
  <c r="K36" i="6" s="1"/>
  <c r="I36" i="6"/>
  <c r="U36" i="6"/>
  <c r="S33" i="4"/>
  <c r="R33" i="4"/>
  <c r="P33" i="4"/>
  <c r="M33" i="4"/>
  <c r="S33" i="3"/>
  <c r="P33" i="3"/>
  <c r="M33" i="3"/>
  <c r="W35" i="6"/>
  <c r="D35" i="6"/>
  <c r="C35" i="6"/>
  <c r="B35" i="6"/>
  <c r="E32" i="5"/>
  <c r="V32" i="5" s="1"/>
  <c r="E32" i="4"/>
  <c r="V32" i="4" s="1"/>
  <c r="E32" i="3"/>
  <c r="E32" i="2"/>
  <c r="F32" i="2" s="1"/>
  <c r="L33" i="2" l="1"/>
  <c r="E35" i="6"/>
  <c r="H32" i="5"/>
  <c r="I32" i="5" s="1"/>
  <c r="G32" i="4"/>
  <c r="V32" i="3"/>
  <c r="G32" i="3"/>
  <c r="G32" i="2"/>
  <c r="V32" i="2"/>
  <c r="R33" i="2" l="1"/>
  <c r="R36" i="6" s="1"/>
  <c r="L36" i="6"/>
  <c r="O36" i="6"/>
  <c r="T33" i="2"/>
  <c r="T36" i="6" s="1"/>
  <c r="N36" i="6"/>
  <c r="M33" i="2"/>
  <c r="M36" i="6" s="1"/>
  <c r="Q33" i="2"/>
  <c r="Q36" i="6" s="1"/>
  <c r="P33" i="2"/>
  <c r="P36" i="6" s="1"/>
  <c r="S33" i="2"/>
  <c r="S36" i="6" s="1"/>
  <c r="V35" i="6"/>
  <c r="F35" i="6"/>
  <c r="H32" i="2"/>
  <c r="G35" i="6"/>
  <c r="K32" i="5"/>
  <c r="J32" i="5"/>
  <c r="H32" i="4"/>
  <c r="I32" i="4" s="1"/>
  <c r="K32" i="4" s="1"/>
  <c r="H32" i="3"/>
  <c r="I32" i="3" s="1"/>
  <c r="J32" i="3" s="1"/>
  <c r="Q31" i="4"/>
  <c r="O31" i="4"/>
  <c r="N31" i="4"/>
  <c r="F31" i="4"/>
  <c r="O31" i="3"/>
  <c r="N31" i="3"/>
  <c r="T31" i="2"/>
  <c r="Q31" i="2"/>
  <c r="O31" i="2"/>
  <c r="N31" i="2"/>
  <c r="W34" i="6"/>
  <c r="D34" i="6"/>
  <c r="C34" i="6"/>
  <c r="B34" i="6"/>
  <c r="E31" i="5"/>
  <c r="G31" i="5" s="1"/>
  <c r="E31" i="4"/>
  <c r="E31" i="3"/>
  <c r="V31" i="3" s="1"/>
  <c r="E31" i="2"/>
  <c r="E34" i="6" l="1"/>
  <c r="I32" i="2"/>
  <c r="H35" i="6"/>
  <c r="L32" i="5"/>
  <c r="J32" i="4"/>
  <c r="L32" i="4" s="1"/>
  <c r="K32" i="3"/>
  <c r="L32" i="3" s="1"/>
  <c r="F31" i="3"/>
  <c r="V31" i="5"/>
  <c r="F31" i="5"/>
  <c r="H31" i="5" s="1"/>
  <c r="I31" i="5" s="1"/>
  <c r="V31" i="4"/>
  <c r="G31" i="4"/>
  <c r="H31" i="4" s="1"/>
  <c r="I31" i="4" s="1"/>
  <c r="G31" i="3"/>
  <c r="H31" i="3" s="1"/>
  <c r="I31" i="3" s="1"/>
  <c r="V31" i="2"/>
  <c r="G31" i="2"/>
  <c r="F31" i="2"/>
  <c r="Q32" i="5" l="1"/>
  <c r="O32" i="5"/>
  <c r="N32" i="5"/>
  <c r="U32" i="5"/>
  <c r="T32" i="5"/>
  <c r="O32" i="4"/>
  <c r="Q32" i="4"/>
  <c r="I35" i="6"/>
  <c r="J32" i="2"/>
  <c r="K32" i="2"/>
  <c r="K35" i="6" s="1"/>
  <c r="M32" i="5"/>
  <c r="R32" i="5"/>
  <c r="P32" i="5"/>
  <c r="S32" i="5"/>
  <c r="R32" i="4"/>
  <c r="M32" i="4"/>
  <c r="P32" i="4"/>
  <c r="S32" i="4"/>
  <c r="P32" i="3"/>
  <c r="M32" i="3"/>
  <c r="S32" i="3"/>
  <c r="R32" i="3"/>
  <c r="F34" i="6"/>
  <c r="G34" i="6"/>
  <c r="V34" i="6"/>
  <c r="K31" i="5"/>
  <c r="J31" i="5"/>
  <c r="K31" i="4"/>
  <c r="J31" i="4"/>
  <c r="K31" i="3"/>
  <c r="J31" i="3"/>
  <c r="H31" i="2"/>
  <c r="U35" i="6" l="1"/>
  <c r="J35" i="6"/>
  <c r="L32" i="2"/>
  <c r="L31" i="5"/>
  <c r="L31" i="3"/>
  <c r="I31" i="2"/>
  <c r="H34" i="6"/>
  <c r="L31" i="4"/>
  <c r="U31" i="5" l="1"/>
  <c r="O31" i="5"/>
  <c r="N31" i="5"/>
  <c r="T35" i="6"/>
  <c r="Q32" i="2"/>
  <c r="Q35" i="6" s="1"/>
  <c r="O35" i="6"/>
  <c r="N35" i="6"/>
  <c r="L35" i="6"/>
  <c r="S32" i="2"/>
  <c r="S35" i="6" s="1"/>
  <c r="M32" i="2"/>
  <c r="M35" i="6" s="1"/>
  <c r="R32" i="2"/>
  <c r="R35" i="6" s="1"/>
  <c r="P32" i="2"/>
  <c r="P35" i="6" s="1"/>
  <c r="M31" i="5"/>
  <c r="P31" i="5"/>
  <c r="Q31" i="5"/>
  <c r="R31" i="5"/>
  <c r="S31" i="5"/>
  <c r="T31" i="5"/>
  <c r="R31" i="3"/>
  <c r="Q31" i="3"/>
  <c r="T31" i="3"/>
  <c r="M31" i="3"/>
  <c r="U31" i="3" s="1"/>
  <c r="P31" i="3"/>
  <c r="S31" i="3"/>
  <c r="K31" i="2"/>
  <c r="K34" i="6" s="1"/>
  <c r="I34" i="6"/>
  <c r="J31" i="2"/>
  <c r="S31" i="4"/>
  <c r="M31" i="4"/>
  <c r="R31" i="4"/>
  <c r="P31" i="4"/>
  <c r="U34" i="6" l="1"/>
  <c r="L31" i="2"/>
  <c r="J34" i="6"/>
  <c r="O34" i="6" l="1"/>
  <c r="L34" i="6"/>
  <c r="Q34" i="6"/>
  <c r="P31" i="2"/>
  <c r="P34" i="6" s="1"/>
  <c r="M31" i="2"/>
  <c r="M34" i="6" s="1"/>
  <c r="N34" i="6"/>
  <c r="R31" i="2"/>
  <c r="R34" i="6" s="1"/>
  <c r="T34" i="6"/>
  <c r="S31" i="2"/>
  <c r="S34" i="6" s="1"/>
  <c r="O30" i="4" l="1"/>
  <c r="M30" i="4"/>
  <c r="M60" i="4" s="1"/>
  <c r="N30" i="4"/>
  <c r="F30" i="4"/>
  <c r="T30" i="3"/>
  <c r="Q30" i="3"/>
  <c r="O30" i="3"/>
  <c r="N30" i="3"/>
  <c r="F30" i="3"/>
  <c r="O30" i="2"/>
  <c r="N30" i="2"/>
  <c r="W33" i="6" l="1"/>
  <c r="D33" i="6"/>
  <c r="C33" i="6"/>
  <c r="B33" i="6"/>
  <c r="E30" i="5"/>
  <c r="V30" i="5" s="1"/>
  <c r="E30" i="4"/>
  <c r="E30" i="3"/>
  <c r="G30" i="3" s="1"/>
  <c r="E30" i="2"/>
  <c r="F30" i="2" s="1"/>
  <c r="F30" i="5" l="1"/>
  <c r="E33" i="6"/>
  <c r="G30" i="5"/>
  <c r="V30" i="4"/>
  <c r="G30" i="4"/>
  <c r="H30" i="4" s="1"/>
  <c r="I30" i="4" s="1"/>
  <c r="V30" i="3"/>
  <c r="H30" i="3"/>
  <c r="I30" i="3" s="1"/>
  <c r="V30" i="2"/>
  <c r="G30" i="2"/>
  <c r="T29" i="4"/>
  <c r="O29" i="4"/>
  <c r="N29" i="4"/>
  <c r="T29" i="3"/>
  <c r="O29" i="3"/>
  <c r="N29" i="3"/>
  <c r="T29" i="2"/>
  <c r="Q29" i="2"/>
  <c r="O29" i="2"/>
  <c r="N29" i="2"/>
  <c r="F29" i="2"/>
  <c r="G33" i="6" l="1"/>
  <c r="F33" i="6"/>
  <c r="H30" i="2"/>
  <c r="V33" i="6"/>
  <c r="I30" i="2"/>
  <c r="H30" i="5"/>
  <c r="I30" i="5" s="1"/>
  <c r="J30" i="5" s="1"/>
  <c r="K30" i="4"/>
  <c r="J30" i="4"/>
  <c r="K30" i="3"/>
  <c r="J30" i="3"/>
  <c r="W32" i="6"/>
  <c r="D32" i="6"/>
  <c r="C32" i="6"/>
  <c r="B32" i="6"/>
  <c r="E29" i="5"/>
  <c r="E29" i="4"/>
  <c r="G29" i="4" s="1"/>
  <c r="E29" i="3"/>
  <c r="G29" i="3" s="1"/>
  <c r="E29" i="2"/>
  <c r="V29" i="5" l="1"/>
  <c r="F29" i="5"/>
  <c r="H33" i="6"/>
  <c r="L30" i="3"/>
  <c r="R30" i="3" s="1"/>
  <c r="I33" i="6"/>
  <c r="J30" i="2"/>
  <c r="J33" i="6" s="1"/>
  <c r="K30" i="2"/>
  <c r="K30" i="5"/>
  <c r="L30" i="5" s="1"/>
  <c r="L30" i="4"/>
  <c r="F29" i="3"/>
  <c r="E32" i="6"/>
  <c r="G29" i="5"/>
  <c r="V29" i="4"/>
  <c r="F29" i="4"/>
  <c r="H29" i="4" s="1"/>
  <c r="I29" i="4" s="1"/>
  <c r="V29" i="3"/>
  <c r="H29" i="2"/>
  <c r="V29" i="2"/>
  <c r="G29" i="2"/>
  <c r="U28" i="5"/>
  <c r="T28" i="5"/>
  <c r="Q28" i="5"/>
  <c r="O28" i="5"/>
  <c r="N28" i="5"/>
  <c r="F28" i="5"/>
  <c r="T28" i="4"/>
  <c r="Q28" i="4"/>
  <c r="O28" i="4"/>
  <c r="N28" i="4"/>
  <c r="F28" i="3"/>
  <c r="H29" i="5" l="1"/>
  <c r="I29" i="5" s="1"/>
  <c r="K29" i="5" s="1"/>
  <c r="T30" i="5"/>
  <c r="N30" i="5"/>
  <c r="Q30" i="5"/>
  <c r="U30" i="5"/>
  <c r="O30" i="5"/>
  <c r="U30" i="4"/>
  <c r="T30" i="4"/>
  <c r="M30" i="3"/>
  <c r="U30" i="3" s="1"/>
  <c r="S30" i="3"/>
  <c r="P30" i="3"/>
  <c r="K33" i="6"/>
  <c r="L30" i="2"/>
  <c r="P30" i="2" s="1"/>
  <c r="P30" i="5"/>
  <c r="M30" i="5"/>
  <c r="S30" i="5"/>
  <c r="R30" i="5"/>
  <c r="P30" i="4"/>
  <c r="Q30" i="4"/>
  <c r="R30" i="4"/>
  <c r="S30" i="4"/>
  <c r="V32" i="6"/>
  <c r="G32" i="6"/>
  <c r="F32" i="6"/>
  <c r="H29" i="3"/>
  <c r="I29" i="3" s="1"/>
  <c r="I29" i="2"/>
  <c r="H32" i="6"/>
  <c r="J29" i="5"/>
  <c r="L29" i="5" s="1"/>
  <c r="K29" i="4"/>
  <c r="J29" i="4"/>
  <c r="L29" i="4" s="1"/>
  <c r="K29" i="3"/>
  <c r="J29" i="3"/>
  <c r="J29" i="2"/>
  <c r="T28" i="2"/>
  <c r="O28" i="2"/>
  <c r="N28" i="2"/>
  <c r="F28" i="2"/>
  <c r="T29" i="5" l="1"/>
  <c r="O29" i="5"/>
  <c r="U29" i="5"/>
  <c r="N29" i="5"/>
  <c r="Q29" i="5"/>
  <c r="U33" i="6"/>
  <c r="M30" i="2"/>
  <c r="T30" i="2"/>
  <c r="Q30" i="2"/>
  <c r="Q33" i="6" s="1"/>
  <c r="O33" i="6"/>
  <c r="N33" i="6"/>
  <c r="R30" i="2"/>
  <c r="R33" i="6" s="1"/>
  <c r="P33" i="6"/>
  <c r="T33" i="6"/>
  <c r="M33" i="6"/>
  <c r="S30" i="2"/>
  <c r="S33" i="6" s="1"/>
  <c r="L33" i="6"/>
  <c r="Q29" i="4"/>
  <c r="I32" i="6"/>
  <c r="K29" i="2"/>
  <c r="K32" i="6" s="1"/>
  <c r="L29" i="2"/>
  <c r="M29" i="2" s="1"/>
  <c r="J32" i="6"/>
  <c r="S29" i="5"/>
  <c r="R29" i="5"/>
  <c r="M29" i="5"/>
  <c r="P29" i="5"/>
  <c r="S29" i="4"/>
  <c r="R29" i="4"/>
  <c r="P29" i="4"/>
  <c r="M29" i="4"/>
  <c r="U29" i="4" s="1"/>
  <c r="L29" i="3"/>
  <c r="S29" i="2"/>
  <c r="R29" i="2"/>
  <c r="P29" i="2"/>
  <c r="W31" i="6"/>
  <c r="E31" i="6"/>
  <c r="D31" i="6"/>
  <c r="C31" i="6"/>
  <c r="B31" i="6"/>
  <c r="E28" i="2"/>
  <c r="V28" i="2" s="1"/>
  <c r="E28" i="3"/>
  <c r="E28" i="4"/>
  <c r="E28" i="5"/>
  <c r="L32" i="6" l="1"/>
  <c r="T32" i="6"/>
  <c r="S29" i="3"/>
  <c r="S32" i="6" s="1"/>
  <c r="Q29" i="3"/>
  <c r="Q32" i="6" s="1"/>
  <c r="N32" i="6"/>
  <c r="M29" i="3"/>
  <c r="U29" i="3" s="1"/>
  <c r="U32" i="6" s="1"/>
  <c r="R29" i="3"/>
  <c r="R32" i="6" s="1"/>
  <c r="P29" i="3"/>
  <c r="P32" i="6" s="1"/>
  <c r="O32" i="6"/>
  <c r="G28" i="2"/>
  <c r="V28" i="3"/>
  <c r="G28" i="3"/>
  <c r="F28" i="4"/>
  <c r="H28" i="4" s="1"/>
  <c r="I28" i="4" s="1"/>
  <c r="V28" i="4"/>
  <c r="G28" i="4"/>
  <c r="V28" i="5"/>
  <c r="G28" i="5"/>
  <c r="N27" i="5"/>
  <c r="F27" i="5"/>
  <c r="T27" i="4"/>
  <c r="Q27" i="4"/>
  <c r="O27" i="4"/>
  <c r="N27" i="4"/>
  <c r="F27" i="2"/>
  <c r="M32" i="6" l="1"/>
  <c r="F31" i="6"/>
  <c r="G31" i="6"/>
  <c r="V31" i="6"/>
  <c r="H28" i="2"/>
  <c r="I28" i="2" s="1"/>
  <c r="J28" i="2" s="1"/>
  <c r="H28" i="3"/>
  <c r="I28" i="3" s="1"/>
  <c r="K28" i="3" s="1"/>
  <c r="J28" i="4"/>
  <c r="K28" i="4"/>
  <c r="H28" i="5"/>
  <c r="I28" i="5" s="1"/>
  <c r="J28" i="5" s="1"/>
  <c r="W30" i="6"/>
  <c r="D30" i="6"/>
  <c r="C30" i="6"/>
  <c r="B30" i="6"/>
  <c r="E27" i="5"/>
  <c r="V27" i="5" s="1"/>
  <c r="E27" i="4"/>
  <c r="V27" i="4" s="1"/>
  <c r="E27" i="3"/>
  <c r="V27" i="3" s="1"/>
  <c r="E27" i="2"/>
  <c r="V27" i="2" s="1"/>
  <c r="L28" i="4" l="1"/>
  <c r="H31" i="6"/>
  <c r="K28" i="2"/>
  <c r="I31" i="6"/>
  <c r="J28" i="3"/>
  <c r="L28" i="3" s="1"/>
  <c r="R28" i="4"/>
  <c r="M28" i="4"/>
  <c r="U28" i="4" s="1"/>
  <c r="S28" i="4"/>
  <c r="P28" i="4"/>
  <c r="K28" i="5"/>
  <c r="L28" i="5" s="1"/>
  <c r="V30" i="6"/>
  <c r="F27" i="4"/>
  <c r="E30" i="6"/>
  <c r="G27" i="5"/>
  <c r="G27" i="4"/>
  <c r="H27" i="4" s="1"/>
  <c r="I27" i="4" s="1"/>
  <c r="F27" i="3"/>
  <c r="H27" i="3" s="1"/>
  <c r="I27" i="3" s="1"/>
  <c r="G27" i="3"/>
  <c r="G27" i="2"/>
  <c r="O26" i="5"/>
  <c r="N26" i="5"/>
  <c r="F26" i="5"/>
  <c r="T26" i="4"/>
  <c r="O26" i="4"/>
  <c r="N26" i="4"/>
  <c r="F26" i="4"/>
  <c r="T26" i="2"/>
  <c r="Q26" i="2"/>
  <c r="O26" i="2"/>
  <c r="N26" i="2"/>
  <c r="E26" i="5"/>
  <c r="E26" i="4"/>
  <c r="E26" i="3"/>
  <c r="G26" i="3" s="1"/>
  <c r="E26" i="2"/>
  <c r="W29" i="6"/>
  <c r="D29" i="6"/>
  <c r="C29" i="6"/>
  <c r="B29" i="6"/>
  <c r="K31" i="6" l="1"/>
  <c r="O28" i="3"/>
  <c r="T28" i="3"/>
  <c r="Q28" i="3"/>
  <c r="N28" i="3"/>
  <c r="J31" i="6"/>
  <c r="L28" i="2"/>
  <c r="P28" i="2" s="1"/>
  <c r="S28" i="3"/>
  <c r="P28" i="3"/>
  <c r="R28" i="3"/>
  <c r="M28" i="3"/>
  <c r="U28" i="3" s="1"/>
  <c r="P28" i="5"/>
  <c r="S28" i="5"/>
  <c r="M28" i="5"/>
  <c r="R28" i="5"/>
  <c r="H27" i="5"/>
  <c r="I27" i="5" s="1"/>
  <c r="K27" i="5" s="1"/>
  <c r="G30" i="6"/>
  <c r="H27" i="2"/>
  <c r="F30" i="6"/>
  <c r="K27" i="4"/>
  <c r="J27" i="4"/>
  <c r="K27" i="3"/>
  <c r="J27" i="3"/>
  <c r="E29" i="6"/>
  <c r="V26" i="5"/>
  <c r="G26" i="5"/>
  <c r="V26" i="4"/>
  <c r="G26" i="4"/>
  <c r="H26" i="4" s="1"/>
  <c r="I26" i="4" s="1"/>
  <c r="F26" i="3"/>
  <c r="H26" i="3" s="1"/>
  <c r="I26" i="3" s="1"/>
  <c r="V26" i="3"/>
  <c r="V26" i="2"/>
  <c r="F26" i="2"/>
  <c r="G26" i="2"/>
  <c r="U31" i="6" l="1"/>
  <c r="P31" i="6"/>
  <c r="T31" i="6"/>
  <c r="S28" i="2"/>
  <c r="S31" i="6" s="1"/>
  <c r="O31" i="6"/>
  <c r="Q28" i="2"/>
  <c r="Q31" i="6" s="1"/>
  <c r="L31" i="6"/>
  <c r="M28" i="2"/>
  <c r="M31" i="6" s="1"/>
  <c r="N31" i="6"/>
  <c r="R28" i="2"/>
  <c r="R31" i="6" s="1"/>
  <c r="J27" i="5"/>
  <c r="L27" i="5" s="1"/>
  <c r="O27" i="5"/>
  <c r="L27" i="3"/>
  <c r="M27" i="3" s="1"/>
  <c r="U27" i="3" s="1"/>
  <c r="I27" i="2"/>
  <c r="H30" i="6"/>
  <c r="U27" i="5"/>
  <c r="P27" i="5"/>
  <c r="S27" i="5"/>
  <c r="Q27" i="5"/>
  <c r="M27" i="5"/>
  <c r="T27" i="5"/>
  <c r="R27" i="5"/>
  <c r="L27" i="4"/>
  <c r="H26" i="5"/>
  <c r="I26" i="5" s="1"/>
  <c r="K26" i="5" s="1"/>
  <c r="J26" i="4"/>
  <c r="K26" i="4"/>
  <c r="G29" i="6"/>
  <c r="K26" i="3"/>
  <c r="J26" i="3"/>
  <c r="F29" i="6"/>
  <c r="V29" i="6"/>
  <c r="H26" i="2"/>
  <c r="R27" i="3" l="1"/>
  <c r="S27" i="3"/>
  <c r="O27" i="3"/>
  <c r="T27" i="3"/>
  <c r="Q27" i="3"/>
  <c r="N27" i="3"/>
  <c r="P27" i="3"/>
  <c r="I30" i="6"/>
  <c r="K27" i="2"/>
  <c r="K30" i="6" s="1"/>
  <c r="J27" i="2"/>
  <c r="M27" i="4"/>
  <c r="U27" i="4" s="1"/>
  <c r="U30" i="6" s="1"/>
  <c r="S27" i="4"/>
  <c r="R27" i="4"/>
  <c r="P27" i="4"/>
  <c r="J26" i="5"/>
  <c r="L26" i="5" s="1"/>
  <c r="L26" i="3"/>
  <c r="L26" i="4"/>
  <c r="I26" i="2"/>
  <c r="H29" i="6"/>
  <c r="T26" i="3" l="1"/>
  <c r="Q26" i="3"/>
  <c r="N26" i="3"/>
  <c r="P26" i="3"/>
  <c r="O26" i="3"/>
  <c r="R26" i="3"/>
  <c r="S26" i="3"/>
  <c r="M26" i="3"/>
  <c r="U26" i="3" s="1"/>
  <c r="J30" i="6"/>
  <c r="L27" i="2"/>
  <c r="Q26" i="5"/>
  <c r="R26" i="5"/>
  <c r="S26" i="5"/>
  <c r="P26" i="5"/>
  <c r="T26" i="5"/>
  <c r="M26" i="5"/>
  <c r="U26" i="5"/>
  <c r="R26" i="4"/>
  <c r="Q26" i="4"/>
  <c r="S26" i="4"/>
  <c r="M26" i="4"/>
  <c r="U26" i="4" s="1"/>
  <c r="P26" i="4"/>
  <c r="K26" i="2"/>
  <c r="K29" i="6" s="1"/>
  <c r="I29" i="6"/>
  <c r="J26" i="2"/>
  <c r="U29" i="6" l="1"/>
  <c r="N27" i="2"/>
  <c r="N30" i="6" s="1"/>
  <c r="O27" i="2"/>
  <c r="O30" i="6" s="1"/>
  <c r="Q27" i="2"/>
  <c r="Q30" i="6" s="1"/>
  <c r="T27" i="2"/>
  <c r="T30" i="6" s="1"/>
  <c r="L30" i="6"/>
  <c r="M27" i="2"/>
  <c r="M30" i="6" s="1"/>
  <c r="S27" i="2"/>
  <c r="S30" i="6" s="1"/>
  <c r="R27" i="2"/>
  <c r="R30" i="6" s="1"/>
  <c r="P27" i="2"/>
  <c r="P30" i="6" s="1"/>
  <c r="L26" i="2"/>
  <c r="J29" i="6"/>
  <c r="Q29" i="6" l="1"/>
  <c r="N29" i="6"/>
  <c r="O29" i="6"/>
  <c r="S26" i="2"/>
  <c r="S29" i="6" s="1"/>
  <c r="P26" i="2"/>
  <c r="P29" i="6" s="1"/>
  <c r="T29" i="6"/>
  <c r="R26" i="2"/>
  <c r="R29" i="6" s="1"/>
  <c r="L29" i="6"/>
  <c r="M26" i="2"/>
  <c r="M29" i="6" s="1"/>
  <c r="N25" i="5" l="1"/>
  <c r="T25" i="4"/>
  <c r="Q25" i="4"/>
  <c r="O25" i="4"/>
  <c r="N25" i="4"/>
  <c r="F25" i="4"/>
  <c r="T25" i="2"/>
  <c r="Q25" i="2"/>
  <c r="O25" i="2"/>
  <c r="N25" i="2"/>
  <c r="W28" i="6"/>
  <c r="D28" i="6"/>
  <c r="C28" i="6"/>
  <c r="B28" i="6"/>
  <c r="E25" i="5"/>
  <c r="E25" i="4"/>
  <c r="G25" i="4" s="1"/>
  <c r="E25" i="3"/>
  <c r="E25" i="2"/>
  <c r="E28" i="6" l="1"/>
  <c r="F25" i="5"/>
  <c r="V25" i="5"/>
  <c r="G25" i="5"/>
  <c r="H25" i="4"/>
  <c r="I25" i="4" s="1"/>
  <c r="V25" i="4"/>
  <c r="F25" i="3"/>
  <c r="V25" i="3"/>
  <c r="G25" i="3"/>
  <c r="V25" i="2"/>
  <c r="F25" i="2"/>
  <c r="G25" i="2"/>
  <c r="H25" i="5" l="1"/>
  <c r="I25" i="5" s="1"/>
  <c r="J25" i="5" s="1"/>
  <c r="H25" i="3"/>
  <c r="I25" i="3" s="1"/>
  <c r="J25" i="3" s="1"/>
  <c r="V28" i="6"/>
  <c r="G28" i="6"/>
  <c r="H25" i="2"/>
  <c r="F28" i="6"/>
  <c r="K25" i="4"/>
  <c r="J25" i="4"/>
  <c r="K25" i="5" l="1"/>
  <c r="L25" i="5" s="1"/>
  <c r="L25" i="4"/>
  <c r="K25" i="3"/>
  <c r="L25" i="3" s="1"/>
  <c r="I25" i="2"/>
  <c r="H28" i="6"/>
  <c r="O25" i="3" l="1"/>
  <c r="Q25" i="3"/>
  <c r="N25" i="3"/>
  <c r="T25" i="3"/>
  <c r="S25" i="5"/>
  <c r="S60" i="5" s="1"/>
  <c r="R25" i="5"/>
  <c r="R60" i="5" s="1"/>
  <c r="O25" i="5"/>
  <c r="R25" i="4"/>
  <c r="S25" i="3"/>
  <c r="R25" i="3"/>
  <c r="U25" i="5"/>
  <c r="Q25" i="5"/>
  <c r="T25" i="5"/>
  <c r="P25" i="5"/>
  <c r="M25" i="5"/>
  <c r="P25" i="4"/>
  <c r="S25" i="4"/>
  <c r="M25" i="4"/>
  <c r="U25" i="4" s="1"/>
  <c r="M25" i="3"/>
  <c r="U25" i="3" s="1"/>
  <c r="P25" i="3"/>
  <c r="I28" i="6"/>
  <c r="K25" i="2"/>
  <c r="K28" i="6" s="1"/>
  <c r="J25" i="2"/>
  <c r="U28" i="6" l="1"/>
  <c r="J28" i="6"/>
  <c r="L25" i="2"/>
  <c r="T28" i="6" l="1"/>
  <c r="S25" i="2"/>
  <c r="R25" i="2"/>
  <c r="N28" i="6"/>
  <c r="L28" i="6"/>
  <c r="M25" i="2"/>
  <c r="M28" i="6" s="1"/>
  <c r="Q28" i="6"/>
  <c r="P25" i="2"/>
  <c r="P28" i="6" s="1"/>
  <c r="O28" i="6"/>
  <c r="S28" i="6" l="1"/>
  <c r="S60" i="2"/>
  <c r="R28" i="6"/>
  <c r="R60" i="2"/>
  <c r="W27" i="6"/>
  <c r="D27" i="6"/>
  <c r="C27" i="6"/>
  <c r="B27" i="6"/>
  <c r="T24" i="2"/>
  <c r="S24" i="2"/>
  <c r="R24" i="2"/>
  <c r="N24" i="2"/>
  <c r="E24" i="5"/>
  <c r="E24" i="4"/>
  <c r="F24" i="4" s="1"/>
  <c r="E24" i="3"/>
  <c r="V24" i="3" s="1"/>
  <c r="E24" i="2"/>
  <c r="E27" i="6" l="1"/>
  <c r="F24" i="5"/>
  <c r="H24" i="5" s="1"/>
  <c r="I24" i="5" s="1"/>
  <c r="V24" i="5"/>
  <c r="G24" i="5"/>
  <c r="V24" i="4"/>
  <c r="G24" i="4"/>
  <c r="F24" i="3"/>
  <c r="G24" i="3"/>
  <c r="V24" i="2"/>
  <c r="F24" i="2"/>
  <c r="H24" i="2" s="1"/>
  <c r="I24" i="2" s="1"/>
  <c r="G24" i="2"/>
  <c r="F27" i="6" l="1"/>
  <c r="V27" i="6"/>
  <c r="H24" i="4"/>
  <c r="G27" i="6"/>
  <c r="K24" i="5"/>
  <c r="J24" i="5"/>
  <c r="H24" i="3"/>
  <c r="I24" i="3" s="1"/>
  <c r="K24" i="3" s="1"/>
  <c r="K24" i="2"/>
  <c r="J24" i="2"/>
  <c r="I24" i="4" l="1"/>
  <c r="H27" i="6"/>
  <c r="L24" i="5"/>
  <c r="P24" i="5" s="1"/>
  <c r="M24" i="5"/>
  <c r="Q24" i="5"/>
  <c r="U24" i="5"/>
  <c r="J24" i="3"/>
  <c r="L24" i="3" s="1"/>
  <c r="L24" i="2"/>
  <c r="S24" i="3" l="1"/>
  <c r="N24" i="3"/>
  <c r="R24" i="3"/>
  <c r="O24" i="3"/>
  <c r="S24" i="5"/>
  <c r="R24" i="5"/>
  <c r="O24" i="5"/>
  <c r="N24" i="5"/>
  <c r="T24" i="5"/>
  <c r="I27" i="6"/>
  <c r="K24" i="4"/>
  <c r="K27" i="6" s="1"/>
  <c r="J24" i="4"/>
  <c r="M24" i="3"/>
  <c r="U24" i="3" s="1"/>
  <c r="O24" i="2"/>
  <c r="P24" i="3"/>
  <c r="T24" i="3"/>
  <c r="Q24" i="3"/>
  <c r="P24" i="2"/>
  <c r="M24" i="2"/>
  <c r="Q24" i="2"/>
  <c r="L24" i="4" l="1"/>
  <c r="J27" i="6"/>
  <c r="S23" i="2"/>
  <c r="R23" i="2"/>
  <c r="O23" i="2"/>
  <c r="L27" i="6" l="1"/>
  <c r="T24" i="4"/>
  <c r="T27" i="6" s="1"/>
  <c r="O24" i="4"/>
  <c r="O27" i="6" s="1"/>
  <c r="N24" i="4"/>
  <c r="N27" i="6" s="1"/>
  <c r="S24" i="4"/>
  <c r="S27" i="6" s="1"/>
  <c r="R24" i="4"/>
  <c r="R27" i="6" s="1"/>
  <c r="Q24" i="4"/>
  <c r="Q27" i="6" s="1"/>
  <c r="P24" i="4"/>
  <c r="P27" i="6" s="1"/>
  <c r="M24" i="4"/>
  <c r="W26" i="6"/>
  <c r="D26" i="6"/>
  <c r="C26" i="6"/>
  <c r="B26" i="6"/>
  <c r="E23" i="5"/>
  <c r="G23" i="5" s="1"/>
  <c r="E23" i="4"/>
  <c r="E23" i="3"/>
  <c r="E23" i="2"/>
  <c r="F23" i="2" s="1"/>
  <c r="E26" i="6" l="1"/>
  <c r="G23" i="4"/>
  <c r="F23" i="4"/>
  <c r="U24" i="4"/>
  <c r="U27" i="6" s="1"/>
  <c r="M27" i="6"/>
  <c r="H23" i="4"/>
  <c r="I23" i="4" s="1"/>
  <c r="J23" i="4" s="1"/>
  <c r="F23" i="5"/>
  <c r="H23" i="5" s="1"/>
  <c r="I23" i="5" s="1"/>
  <c r="V23" i="5"/>
  <c r="V23" i="4"/>
  <c r="F23" i="3"/>
  <c r="H23" i="3" s="1"/>
  <c r="I23" i="3" s="1"/>
  <c r="V23" i="3"/>
  <c r="G23" i="3"/>
  <c r="V23" i="2"/>
  <c r="G23" i="2"/>
  <c r="V26" i="6" l="1"/>
  <c r="G26" i="6"/>
  <c r="F26" i="6"/>
  <c r="K23" i="5"/>
  <c r="J23" i="5"/>
  <c r="K23" i="4"/>
  <c r="L23" i="4" s="1"/>
  <c r="K23" i="3"/>
  <c r="J23" i="3"/>
  <c r="H23" i="2"/>
  <c r="F22" i="2"/>
  <c r="W25" i="6"/>
  <c r="D25" i="6"/>
  <c r="C25" i="6"/>
  <c r="B25" i="6"/>
  <c r="E22" i="5"/>
  <c r="V22" i="5" s="1"/>
  <c r="E22" i="4"/>
  <c r="V22" i="4" s="1"/>
  <c r="E22" i="3"/>
  <c r="G22" i="3" s="1"/>
  <c r="E22" i="2"/>
  <c r="V22" i="2" s="1"/>
  <c r="N23" i="4" l="1"/>
  <c r="T23" i="4"/>
  <c r="Q23" i="4"/>
  <c r="O23" i="4"/>
  <c r="F22" i="4"/>
  <c r="L23" i="3"/>
  <c r="I23" i="2"/>
  <c r="H26" i="6"/>
  <c r="L23" i="5"/>
  <c r="R23" i="4"/>
  <c r="M23" i="4"/>
  <c r="U23" i="4" s="1"/>
  <c r="P23" i="4"/>
  <c r="S23" i="4"/>
  <c r="F22" i="5"/>
  <c r="F22" i="3"/>
  <c r="F60" i="3" s="1"/>
  <c r="E25" i="6"/>
  <c r="G22" i="5"/>
  <c r="G22" i="4"/>
  <c r="V22" i="3"/>
  <c r="V25" i="6" s="1"/>
  <c r="G22" i="2"/>
  <c r="O23" i="3" l="1"/>
  <c r="S23" i="3"/>
  <c r="N23" i="3"/>
  <c r="R23" i="3"/>
  <c r="S23" i="5"/>
  <c r="R23" i="5"/>
  <c r="O23" i="5"/>
  <c r="M23" i="5"/>
  <c r="M23" i="3"/>
  <c r="U23" i="3" s="1"/>
  <c r="P23" i="3"/>
  <c r="Q23" i="3"/>
  <c r="T23" i="3"/>
  <c r="J23" i="2"/>
  <c r="J26" i="6" s="1"/>
  <c r="I26" i="6"/>
  <c r="K23" i="2"/>
  <c r="P23" i="5"/>
  <c r="N23" i="5"/>
  <c r="U23" i="5"/>
  <c r="Q23" i="5"/>
  <c r="T23" i="5"/>
  <c r="H22" i="5"/>
  <c r="I22" i="5" s="1"/>
  <c r="K22" i="5" s="1"/>
  <c r="G25" i="6"/>
  <c r="F25" i="6"/>
  <c r="H22" i="3"/>
  <c r="H22" i="2"/>
  <c r="H22" i="4"/>
  <c r="I22" i="4" s="1"/>
  <c r="J22" i="4" s="1"/>
  <c r="I22" i="3" l="1"/>
  <c r="H60" i="3"/>
  <c r="U26" i="6"/>
  <c r="L23" i="2"/>
  <c r="K26" i="6"/>
  <c r="J22" i="5"/>
  <c r="L22" i="5" s="1"/>
  <c r="K22" i="4"/>
  <c r="L22" i="4" s="1"/>
  <c r="H25" i="6"/>
  <c r="I22" i="2"/>
  <c r="J22" i="3" l="1"/>
  <c r="J60" i="3" s="1"/>
  <c r="I60" i="3"/>
  <c r="K22" i="3"/>
  <c r="I25" i="6"/>
  <c r="T22" i="5"/>
  <c r="T60" i="5" s="1"/>
  <c r="O22" i="5"/>
  <c r="T22" i="4"/>
  <c r="O22" i="4"/>
  <c r="N22" i="4"/>
  <c r="L26" i="6"/>
  <c r="Q23" i="2"/>
  <c r="Q26" i="6" s="1"/>
  <c r="O26" i="6"/>
  <c r="P23" i="2"/>
  <c r="P26" i="6" s="1"/>
  <c r="M23" i="2"/>
  <c r="M26" i="6" s="1"/>
  <c r="N23" i="2"/>
  <c r="N26" i="6" s="1"/>
  <c r="T23" i="2"/>
  <c r="T26" i="6" s="1"/>
  <c r="S26" i="6"/>
  <c r="R26" i="6"/>
  <c r="P22" i="5"/>
  <c r="R22" i="5"/>
  <c r="N22" i="5"/>
  <c r="Q22" i="5"/>
  <c r="Q60" i="5" s="1"/>
  <c r="U22" i="5"/>
  <c r="S22" i="5"/>
  <c r="M22" i="5"/>
  <c r="M22" i="4"/>
  <c r="U22" i="4" s="1"/>
  <c r="K22" i="2"/>
  <c r="K25" i="6" s="1"/>
  <c r="J22" i="2"/>
  <c r="Q22" i="4"/>
  <c r="P22" i="4"/>
  <c r="R22" i="4"/>
  <c r="S22" i="4"/>
  <c r="J25" i="6" l="1"/>
  <c r="L22" i="3"/>
  <c r="K60" i="3"/>
  <c r="L22" i="2"/>
  <c r="O22" i="2" s="1"/>
  <c r="N22" i="2"/>
  <c r="Q22" i="2"/>
  <c r="L60" i="3" l="1"/>
  <c r="R22" i="3"/>
  <c r="R60" i="3" s="1"/>
  <c r="P22" i="3"/>
  <c r="P60" i="3" s="1"/>
  <c r="N22" i="3"/>
  <c r="N60" i="3" s="1"/>
  <c r="Q22" i="3"/>
  <c r="Q60" i="3" s="1"/>
  <c r="M22" i="3"/>
  <c r="S22" i="3"/>
  <c r="S60" i="3" s="1"/>
  <c r="T22" i="3"/>
  <c r="T60" i="3" s="1"/>
  <c r="O22" i="3"/>
  <c r="O60" i="3" s="1"/>
  <c r="L25" i="6"/>
  <c r="S22" i="2"/>
  <c r="T22" i="2"/>
  <c r="P22" i="2"/>
  <c r="P25" i="6" s="1"/>
  <c r="M22" i="2"/>
  <c r="R22" i="2"/>
  <c r="R25" i="6" s="1"/>
  <c r="M25" i="6" l="1"/>
  <c r="O25" i="6"/>
  <c r="T25" i="6"/>
  <c r="U22" i="3"/>
  <c r="U25" i="6" s="1"/>
  <c r="M60" i="3"/>
  <c r="N25" i="6"/>
  <c r="Q25" i="6"/>
  <c r="S25" i="6"/>
  <c r="T21" i="3"/>
  <c r="Q21" i="3"/>
  <c r="O21" i="3"/>
  <c r="N21" i="3"/>
  <c r="F21" i="3"/>
  <c r="O21" i="2"/>
  <c r="N21" i="2"/>
  <c r="F21" i="2"/>
  <c r="W24" i="6" l="1"/>
  <c r="E21" i="5" l="1"/>
  <c r="F21" i="5" s="1"/>
  <c r="E21" i="4"/>
  <c r="F21" i="4" s="1"/>
  <c r="E21" i="3"/>
  <c r="E21" i="2"/>
  <c r="D24" i="6"/>
  <c r="C24" i="6"/>
  <c r="B24" i="6"/>
  <c r="V21" i="5" l="1"/>
  <c r="G21" i="5"/>
  <c r="V21" i="4"/>
  <c r="G21" i="4"/>
  <c r="H21" i="4" s="1"/>
  <c r="I21" i="4" s="1"/>
  <c r="K21" i="4" s="1"/>
  <c r="V21" i="3"/>
  <c r="G21" i="3"/>
  <c r="H21" i="3" s="1"/>
  <c r="I21" i="3" s="1"/>
  <c r="E24" i="6"/>
  <c r="V21" i="2"/>
  <c r="G21" i="2"/>
  <c r="T20" i="3"/>
  <c r="O20" i="3"/>
  <c r="N20" i="3"/>
  <c r="F20" i="3"/>
  <c r="H21" i="5" l="1"/>
  <c r="I21" i="5" s="1"/>
  <c r="K21" i="5" s="1"/>
  <c r="J21" i="4"/>
  <c r="L21" i="4" s="1"/>
  <c r="G24" i="6"/>
  <c r="V24" i="6"/>
  <c r="K21" i="3"/>
  <c r="J21" i="3"/>
  <c r="F24" i="6"/>
  <c r="H21" i="2"/>
  <c r="T20" i="2"/>
  <c r="Q20" i="2"/>
  <c r="O20" i="2"/>
  <c r="N20" i="2"/>
  <c r="F20" i="2"/>
  <c r="O21" i="4" l="1"/>
  <c r="N21" i="4"/>
  <c r="T21" i="4"/>
  <c r="J21" i="5"/>
  <c r="L21" i="5" s="1"/>
  <c r="M21" i="4"/>
  <c r="U21" i="4" s="1"/>
  <c r="S21" i="4"/>
  <c r="R21" i="4"/>
  <c r="Q21" i="4"/>
  <c r="P21" i="4"/>
  <c r="L21" i="3"/>
  <c r="I21" i="2"/>
  <c r="H24" i="6"/>
  <c r="W23" i="6"/>
  <c r="D23" i="6"/>
  <c r="C23" i="6"/>
  <c r="B23" i="6"/>
  <c r="E20" i="2"/>
  <c r="E20" i="3"/>
  <c r="E20" i="4"/>
  <c r="G20" i="4" s="1"/>
  <c r="E20" i="5"/>
  <c r="U21" i="5" l="1"/>
  <c r="T21" i="5"/>
  <c r="Q21" i="5"/>
  <c r="O21" i="5"/>
  <c r="N21" i="5"/>
  <c r="P21" i="5"/>
  <c r="M21" i="5"/>
  <c r="S21" i="5"/>
  <c r="R21" i="5"/>
  <c r="S21" i="3"/>
  <c r="R21" i="3"/>
  <c r="M21" i="3"/>
  <c r="U21" i="3" s="1"/>
  <c r="P21" i="3"/>
  <c r="K21" i="2"/>
  <c r="K24" i="6" s="1"/>
  <c r="J21" i="2"/>
  <c r="I24" i="6"/>
  <c r="V20" i="5"/>
  <c r="F20" i="5"/>
  <c r="E23" i="6"/>
  <c r="G20" i="2"/>
  <c r="V20" i="2"/>
  <c r="G20" i="3"/>
  <c r="H20" i="3" s="1"/>
  <c r="I20" i="3" s="1"/>
  <c r="V20" i="3"/>
  <c r="V20" i="4"/>
  <c r="F20" i="4"/>
  <c r="H20" i="4" s="1"/>
  <c r="I20" i="4" s="1"/>
  <c r="J20" i="4" s="1"/>
  <c r="G20" i="5"/>
  <c r="E19" i="5"/>
  <c r="F19" i="5" s="1"/>
  <c r="T19" i="3"/>
  <c r="Q19" i="3"/>
  <c r="O19" i="3"/>
  <c r="N19" i="3"/>
  <c r="T19" i="2"/>
  <c r="N19" i="2"/>
  <c r="F19" i="2"/>
  <c r="W22" i="6"/>
  <c r="U24" i="6" l="1"/>
  <c r="L21" i="2"/>
  <c r="J24" i="6"/>
  <c r="F23" i="6"/>
  <c r="G23" i="6"/>
  <c r="V23" i="6"/>
  <c r="H20" i="2"/>
  <c r="K20" i="3"/>
  <c r="J20" i="3"/>
  <c r="K20" i="4"/>
  <c r="L20" i="4" s="1"/>
  <c r="H20" i="5"/>
  <c r="I20" i="5" s="1"/>
  <c r="J20" i="5" s="1"/>
  <c r="D22" i="6"/>
  <c r="C22" i="6"/>
  <c r="B22" i="6"/>
  <c r="V19" i="5"/>
  <c r="E19" i="4"/>
  <c r="E19" i="3"/>
  <c r="E19" i="2"/>
  <c r="N20" i="4" l="1"/>
  <c r="T20" i="4"/>
  <c r="O20" i="4"/>
  <c r="T21" i="2"/>
  <c r="T24" i="6" s="1"/>
  <c r="Q21" i="2"/>
  <c r="O24" i="6"/>
  <c r="N24" i="6"/>
  <c r="S21" i="2"/>
  <c r="S24" i="6" s="1"/>
  <c r="R21" i="2"/>
  <c r="R24" i="6" s="1"/>
  <c r="Q24" i="6"/>
  <c r="P21" i="2"/>
  <c r="P24" i="6" s="1"/>
  <c r="L24" i="6"/>
  <c r="M21" i="2"/>
  <c r="M24" i="6" s="1"/>
  <c r="I20" i="2"/>
  <c r="J20" i="2" s="1"/>
  <c r="H23" i="6"/>
  <c r="L20" i="3"/>
  <c r="S20" i="4"/>
  <c r="Q20" i="4"/>
  <c r="R20" i="4"/>
  <c r="P20" i="4"/>
  <c r="M20" i="4"/>
  <c r="U20" i="4" s="1"/>
  <c r="K20" i="5"/>
  <c r="L20" i="5" s="1"/>
  <c r="V19" i="3"/>
  <c r="F19" i="3"/>
  <c r="H19" i="3" s="1"/>
  <c r="I19" i="3" s="1"/>
  <c r="G19" i="2"/>
  <c r="E22" i="6"/>
  <c r="G19" i="5"/>
  <c r="F19" i="4"/>
  <c r="H19" i="4" s="1"/>
  <c r="I19" i="4" s="1"/>
  <c r="V19" i="4"/>
  <c r="G19" i="4"/>
  <c r="G19" i="3"/>
  <c r="V19" i="2"/>
  <c r="T18" i="3"/>
  <c r="O18" i="3"/>
  <c r="N18" i="3"/>
  <c r="F18" i="3"/>
  <c r="T18" i="2"/>
  <c r="O18" i="2"/>
  <c r="N18" i="2"/>
  <c r="F18" i="2"/>
  <c r="U20" i="5" l="1"/>
  <c r="T20" i="5"/>
  <c r="O20" i="5"/>
  <c r="N20" i="5"/>
  <c r="Q20" i="3"/>
  <c r="J23" i="6"/>
  <c r="K20" i="2"/>
  <c r="K23" i="6" s="1"/>
  <c r="I23" i="6"/>
  <c r="S20" i="3"/>
  <c r="R20" i="3"/>
  <c r="P20" i="3"/>
  <c r="M20" i="3"/>
  <c r="U20" i="3" s="1"/>
  <c r="R20" i="5"/>
  <c r="Q20" i="5"/>
  <c r="M20" i="5"/>
  <c r="P20" i="5"/>
  <c r="S20" i="5"/>
  <c r="V22" i="6"/>
  <c r="H19" i="5"/>
  <c r="I19" i="5" s="1"/>
  <c r="K19" i="5" s="1"/>
  <c r="F22" i="6"/>
  <c r="G22" i="6"/>
  <c r="H19" i="2"/>
  <c r="I19" i="2"/>
  <c r="H22" i="6"/>
  <c r="J19" i="4"/>
  <c r="K19" i="4"/>
  <c r="K19" i="3"/>
  <c r="J19" i="3"/>
  <c r="L19" i="3" s="1"/>
  <c r="E18" i="5"/>
  <c r="V18" i="5" s="1"/>
  <c r="E18" i="4"/>
  <c r="F18" i="4" s="1"/>
  <c r="E18" i="3"/>
  <c r="V18" i="3" s="1"/>
  <c r="E18" i="2"/>
  <c r="G18" i="2" s="1"/>
  <c r="W21" i="6"/>
  <c r="D21" i="6"/>
  <c r="C21" i="6"/>
  <c r="B21" i="6"/>
  <c r="U23" i="6" l="1"/>
  <c r="L20" i="2"/>
  <c r="P20" i="2" s="1"/>
  <c r="P23" i="6" s="1"/>
  <c r="I22" i="6"/>
  <c r="J19" i="5"/>
  <c r="L19" i="5" s="1"/>
  <c r="J19" i="2"/>
  <c r="K19" i="2"/>
  <c r="K22" i="6" s="1"/>
  <c r="L19" i="4"/>
  <c r="M19" i="3"/>
  <c r="U19" i="3" s="1"/>
  <c r="S19" i="3"/>
  <c r="R19" i="3"/>
  <c r="P19" i="3"/>
  <c r="L19" i="2"/>
  <c r="G18" i="5"/>
  <c r="F18" i="5"/>
  <c r="G18" i="4"/>
  <c r="H18" i="4" s="1"/>
  <c r="I18" i="4" s="1"/>
  <c r="V18" i="4"/>
  <c r="G18" i="3"/>
  <c r="H18" i="3"/>
  <c r="I18" i="3" s="1"/>
  <c r="E21" i="6"/>
  <c r="V18" i="2"/>
  <c r="H18" i="5" l="1"/>
  <c r="I18" i="5" s="1"/>
  <c r="O19" i="4"/>
  <c r="N19" i="4"/>
  <c r="M20" i="2"/>
  <c r="M23" i="6" s="1"/>
  <c r="S20" i="2"/>
  <c r="S23" i="6" s="1"/>
  <c r="O23" i="6"/>
  <c r="L23" i="6"/>
  <c r="Q23" i="6"/>
  <c r="R20" i="2"/>
  <c r="R23" i="6" s="1"/>
  <c r="T23" i="6"/>
  <c r="N23" i="6"/>
  <c r="U19" i="5"/>
  <c r="T19" i="5"/>
  <c r="Q19" i="5"/>
  <c r="O19" i="5"/>
  <c r="N19" i="5"/>
  <c r="N22" i="6" s="1"/>
  <c r="S19" i="5"/>
  <c r="M19" i="5"/>
  <c r="J22" i="6"/>
  <c r="R19" i="5"/>
  <c r="P19" i="5"/>
  <c r="Q19" i="4"/>
  <c r="T19" i="4"/>
  <c r="T22" i="6" s="1"/>
  <c r="L22" i="6"/>
  <c r="O19" i="2"/>
  <c r="R19" i="4"/>
  <c r="P19" i="4"/>
  <c r="M19" i="4"/>
  <c r="U19" i="4" s="1"/>
  <c r="S19" i="4"/>
  <c r="M19" i="2"/>
  <c r="S19" i="2"/>
  <c r="R19" i="2"/>
  <c r="Q19" i="2"/>
  <c r="P19" i="2"/>
  <c r="J18" i="5"/>
  <c r="K18" i="5"/>
  <c r="K18" i="4"/>
  <c r="J18" i="4"/>
  <c r="L18" i="4" s="1"/>
  <c r="G21" i="6"/>
  <c r="V21" i="6"/>
  <c r="J18" i="3"/>
  <c r="K18" i="3"/>
  <c r="F21" i="6"/>
  <c r="H18" i="2"/>
  <c r="T17" i="3"/>
  <c r="O17" i="3"/>
  <c r="N17" i="3"/>
  <c r="T18" i="4" l="1"/>
  <c r="O18" i="4"/>
  <c r="N18" i="4"/>
  <c r="Q18" i="4"/>
  <c r="U22" i="6"/>
  <c r="M22" i="6"/>
  <c r="Q22" i="6"/>
  <c r="O22" i="6"/>
  <c r="S22" i="6"/>
  <c r="R22" i="6"/>
  <c r="P22" i="6"/>
  <c r="L18" i="3"/>
  <c r="L18" i="5"/>
  <c r="M18" i="4"/>
  <c r="U18" i="4" s="1"/>
  <c r="S18" i="4"/>
  <c r="R18" i="4"/>
  <c r="P18" i="4"/>
  <c r="R18" i="3"/>
  <c r="Q18" i="3"/>
  <c r="M18" i="3"/>
  <c r="U18" i="3" s="1"/>
  <c r="S18" i="3"/>
  <c r="P18" i="3"/>
  <c r="H21" i="6"/>
  <c r="I18" i="2"/>
  <c r="E17" i="5"/>
  <c r="F17" i="5" s="1"/>
  <c r="E17" i="4"/>
  <c r="G17" i="4" s="1"/>
  <c r="E17" i="3"/>
  <c r="E17" i="2"/>
  <c r="V17" i="2" s="1"/>
  <c r="W20" i="6"/>
  <c r="D20" i="6"/>
  <c r="C20" i="6"/>
  <c r="B20" i="6"/>
  <c r="O18" i="5" l="1"/>
  <c r="N18" i="5"/>
  <c r="Q18" i="5"/>
  <c r="U18" i="5"/>
  <c r="U21" i="6" s="1"/>
  <c r="T18" i="5"/>
  <c r="S18" i="5"/>
  <c r="R18" i="5"/>
  <c r="M18" i="5"/>
  <c r="P18" i="5"/>
  <c r="I21" i="6"/>
  <c r="K18" i="2"/>
  <c r="K21" i="6" s="1"/>
  <c r="J18" i="2"/>
  <c r="F17" i="4"/>
  <c r="H17" i="4" s="1"/>
  <c r="I17" i="4" s="1"/>
  <c r="G17" i="5"/>
  <c r="H17" i="5" s="1"/>
  <c r="I17" i="5" s="1"/>
  <c r="V17" i="5"/>
  <c r="V17" i="4"/>
  <c r="F17" i="3"/>
  <c r="V17" i="3"/>
  <c r="G17" i="3"/>
  <c r="G17" i="2"/>
  <c r="E20" i="6"/>
  <c r="F17" i="2"/>
  <c r="J21" i="6" l="1"/>
  <c r="L18" i="2"/>
  <c r="K17" i="5"/>
  <c r="J17" i="5"/>
  <c r="V20" i="6"/>
  <c r="K17" i="4"/>
  <c r="J17" i="4"/>
  <c r="H17" i="3"/>
  <c r="I17" i="3" s="1"/>
  <c r="K17" i="3" s="1"/>
  <c r="F20" i="6"/>
  <c r="G20" i="6"/>
  <c r="H17" i="2"/>
  <c r="T16" i="3"/>
  <c r="O16" i="3"/>
  <c r="N16" i="3"/>
  <c r="T21" i="6" l="1"/>
  <c r="O21" i="6"/>
  <c r="N21" i="6"/>
  <c r="M18" i="2"/>
  <c r="M21" i="6" s="1"/>
  <c r="S18" i="2"/>
  <c r="S21" i="6" s="1"/>
  <c r="R18" i="2"/>
  <c r="R21" i="6" s="1"/>
  <c r="Q18" i="2"/>
  <c r="Q21" i="6" s="1"/>
  <c r="P18" i="2"/>
  <c r="P21" i="6" s="1"/>
  <c r="L21" i="6"/>
  <c r="L17" i="5"/>
  <c r="L17" i="4"/>
  <c r="J17" i="3"/>
  <c r="L17" i="3" s="1"/>
  <c r="I17" i="2"/>
  <c r="H20" i="6"/>
  <c r="E16" i="5"/>
  <c r="F16" i="5" s="1"/>
  <c r="E16" i="4"/>
  <c r="E16" i="3"/>
  <c r="F16" i="3" s="1"/>
  <c r="E16" i="2"/>
  <c r="F16" i="2" s="1"/>
  <c r="W19" i="6"/>
  <c r="D19" i="6"/>
  <c r="C19" i="6"/>
  <c r="B19" i="6"/>
  <c r="V16" i="4" l="1"/>
  <c r="F16" i="4"/>
  <c r="T17" i="4"/>
  <c r="Q17" i="4"/>
  <c r="O17" i="4"/>
  <c r="N17" i="4"/>
  <c r="T17" i="5"/>
  <c r="U17" i="5"/>
  <c r="O17" i="5"/>
  <c r="Q17" i="5"/>
  <c r="N17" i="5"/>
  <c r="S17" i="5"/>
  <c r="R17" i="5"/>
  <c r="M17" i="5"/>
  <c r="P17" i="5"/>
  <c r="M17" i="4"/>
  <c r="U17" i="4" s="1"/>
  <c r="S17" i="4"/>
  <c r="P17" i="4"/>
  <c r="R17" i="4"/>
  <c r="P17" i="3"/>
  <c r="M17" i="3"/>
  <c r="U17" i="3" s="1"/>
  <c r="S17" i="3"/>
  <c r="R17" i="3"/>
  <c r="Q17" i="3"/>
  <c r="I20" i="6"/>
  <c r="K17" i="2"/>
  <c r="K20" i="6" s="1"/>
  <c r="J17" i="2"/>
  <c r="H16" i="4"/>
  <c r="I16" i="4" s="1"/>
  <c r="V16" i="5"/>
  <c r="G16" i="5"/>
  <c r="H16" i="5" s="1"/>
  <c r="I16" i="5" s="1"/>
  <c r="K16" i="5" s="1"/>
  <c r="G16" i="4"/>
  <c r="E19" i="6"/>
  <c r="G16" i="3"/>
  <c r="H16" i="3" s="1"/>
  <c r="I16" i="3" s="1"/>
  <c r="V16" i="3"/>
  <c r="G16" i="2"/>
  <c r="V16" i="2"/>
  <c r="U20" i="6" l="1"/>
  <c r="J20" i="6"/>
  <c r="L17" i="2"/>
  <c r="J16" i="5"/>
  <c r="L16" i="5" s="1"/>
  <c r="K16" i="4"/>
  <c r="J16" i="4"/>
  <c r="F19" i="6"/>
  <c r="V19" i="6"/>
  <c r="G19" i="6"/>
  <c r="J16" i="3"/>
  <c r="K16" i="3"/>
  <c r="H16" i="2"/>
  <c r="T15" i="3"/>
  <c r="Q15" i="3"/>
  <c r="N15" i="3"/>
  <c r="U16" i="5" l="1"/>
  <c r="T16" i="5"/>
  <c r="N16" i="5"/>
  <c r="Q16" i="5"/>
  <c r="O16" i="5"/>
  <c r="N17" i="2"/>
  <c r="T17" i="2"/>
  <c r="O17" i="2"/>
  <c r="T20" i="6"/>
  <c r="Q17" i="2"/>
  <c r="Q20" i="6" s="1"/>
  <c r="M17" i="2"/>
  <c r="M20" i="6" s="1"/>
  <c r="S17" i="2"/>
  <c r="S20" i="6" s="1"/>
  <c r="R17" i="2"/>
  <c r="R20" i="6" s="1"/>
  <c r="O20" i="6"/>
  <c r="P17" i="2"/>
  <c r="P20" i="6" s="1"/>
  <c r="L20" i="6"/>
  <c r="N20" i="6"/>
  <c r="R16" i="5"/>
  <c r="S16" i="5"/>
  <c r="M16" i="5"/>
  <c r="P16" i="5"/>
  <c r="L16" i="4"/>
  <c r="L16" i="3"/>
  <c r="H19" i="6"/>
  <c r="I16" i="2"/>
  <c r="W18" i="6"/>
  <c r="D18" i="6"/>
  <c r="C18" i="6"/>
  <c r="B18" i="6"/>
  <c r="E15" i="5"/>
  <c r="F15" i="5" s="1"/>
  <c r="E15" i="4"/>
  <c r="F15" i="4" s="1"/>
  <c r="E15" i="3"/>
  <c r="E15" i="2"/>
  <c r="V15" i="2" s="1"/>
  <c r="O16" i="4" l="1"/>
  <c r="T16" i="4"/>
  <c r="Q16" i="4"/>
  <c r="N16" i="4"/>
  <c r="F15" i="2"/>
  <c r="S16" i="3"/>
  <c r="Q16" i="3"/>
  <c r="P16" i="4"/>
  <c r="S16" i="4"/>
  <c r="M16" i="4"/>
  <c r="U16" i="4" s="1"/>
  <c r="R16" i="4"/>
  <c r="M16" i="3"/>
  <c r="U16" i="3" s="1"/>
  <c r="R16" i="3"/>
  <c r="P16" i="3"/>
  <c r="I19" i="6"/>
  <c r="K16" i="2"/>
  <c r="K19" i="6" s="1"/>
  <c r="J16" i="2"/>
  <c r="E18" i="6"/>
  <c r="V15" i="5"/>
  <c r="G15" i="5"/>
  <c r="H15" i="5" s="1"/>
  <c r="I15" i="5" s="1"/>
  <c r="V15" i="4"/>
  <c r="G15" i="4"/>
  <c r="H15" i="4" s="1"/>
  <c r="I15" i="4" s="1"/>
  <c r="F15" i="3"/>
  <c r="H15" i="3" s="1"/>
  <c r="I15" i="3" s="1"/>
  <c r="V15" i="3"/>
  <c r="G15" i="3"/>
  <c r="G15" i="2"/>
  <c r="T14" i="3"/>
  <c r="O14" i="3"/>
  <c r="N14" i="3"/>
  <c r="U19" i="6" l="1"/>
  <c r="L16" i="2"/>
  <c r="J19" i="6"/>
  <c r="V18" i="6"/>
  <c r="F18" i="6"/>
  <c r="G18" i="6"/>
  <c r="J15" i="5"/>
  <c r="K15" i="5"/>
  <c r="K15" i="4"/>
  <c r="J15" i="4"/>
  <c r="K15" i="3"/>
  <c r="J15" i="3"/>
  <c r="H15" i="2"/>
  <c r="N16" i="2" l="1"/>
  <c r="T16" i="2"/>
  <c r="O16" i="2"/>
  <c r="Q16" i="2"/>
  <c r="T19" i="6"/>
  <c r="Q19" i="6"/>
  <c r="S16" i="2"/>
  <c r="S19" i="6" s="1"/>
  <c r="R16" i="2"/>
  <c r="R19" i="6" s="1"/>
  <c r="P16" i="2"/>
  <c r="P19" i="6" s="1"/>
  <c r="O19" i="6"/>
  <c r="L19" i="6"/>
  <c r="N19" i="6"/>
  <c r="M16" i="2"/>
  <c r="M19" i="6" s="1"/>
  <c r="I15" i="2"/>
  <c r="H18" i="6"/>
  <c r="L15" i="5"/>
  <c r="N15" i="5" s="1"/>
  <c r="L15" i="4"/>
  <c r="N15" i="4" s="1"/>
  <c r="L15" i="3"/>
  <c r="W17" i="6"/>
  <c r="D17" i="6"/>
  <c r="C17" i="6"/>
  <c r="B17" i="6"/>
  <c r="E14" i="5"/>
  <c r="E14" i="4"/>
  <c r="F14" i="4" s="1"/>
  <c r="E14" i="3"/>
  <c r="F14" i="3" s="1"/>
  <c r="E14" i="2"/>
  <c r="F14" i="2" s="1"/>
  <c r="V14" i="5" l="1"/>
  <c r="F14" i="5"/>
  <c r="Q15" i="5"/>
  <c r="O15" i="5"/>
  <c r="M15" i="4"/>
  <c r="U15" i="4" s="1"/>
  <c r="O15" i="4"/>
  <c r="O15" i="3"/>
  <c r="K15" i="2"/>
  <c r="K18" i="6" s="1"/>
  <c r="I18" i="6"/>
  <c r="J15" i="2"/>
  <c r="R15" i="5"/>
  <c r="S15" i="5"/>
  <c r="P15" i="5"/>
  <c r="M15" i="5"/>
  <c r="Q15" i="4"/>
  <c r="T15" i="4"/>
  <c r="P15" i="4"/>
  <c r="S15" i="4"/>
  <c r="R15" i="4"/>
  <c r="P15" i="3"/>
  <c r="M15" i="3"/>
  <c r="U15" i="3" s="1"/>
  <c r="S15" i="3"/>
  <c r="R15" i="3"/>
  <c r="F17" i="6"/>
  <c r="E17" i="6"/>
  <c r="G14" i="5"/>
  <c r="G14" i="4"/>
  <c r="H14" i="4" s="1"/>
  <c r="I14" i="4" s="1"/>
  <c r="V14" i="4"/>
  <c r="G14" i="3"/>
  <c r="H14" i="3" s="1"/>
  <c r="I14" i="3" s="1"/>
  <c r="V14" i="3"/>
  <c r="V14" i="2"/>
  <c r="G14" i="2"/>
  <c r="F13" i="3"/>
  <c r="U18" i="6" l="1"/>
  <c r="L15" i="2"/>
  <c r="J18" i="6"/>
  <c r="G17" i="6"/>
  <c r="V17" i="6"/>
  <c r="H14" i="2"/>
  <c r="H14" i="5"/>
  <c r="I14" i="5" s="1"/>
  <c r="K14" i="5" s="1"/>
  <c r="J14" i="4"/>
  <c r="L14" i="4" s="1"/>
  <c r="K14" i="4"/>
  <c r="J14" i="3"/>
  <c r="K14" i="3"/>
  <c r="W16" i="6"/>
  <c r="D16" i="6"/>
  <c r="C16" i="6"/>
  <c r="B16" i="6"/>
  <c r="E13" i="5"/>
  <c r="F13" i="5" s="1"/>
  <c r="E13" i="4"/>
  <c r="E13" i="3"/>
  <c r="E13" i="2"/>
  <c r="G13" i="2" s="1"/>
  <c r="N14" i="4" l="1"/>
  <c r="O14" i="4"/>
  <c r="V13" i="4"/>
  <c r="F13" i="4"/>
  <c r="F13" i="2"/>
  <c r="Q15" i="2"/>
  <c r="O15" i="2"/>
  <c r="N15" i="2"/>
  <c r="T15" i="2"/>
  <c r="T18" i="6" s="1"/>
  <c r="O18" i="6"/>
  <c r="N18" i="6"/>
  <c r="L18" i="6"/>
  <c r="Q18" i="6"/>
  <c r="S15" i="2"/>
  <c r="S18" i="6" s="1"/>
  <c r="R15" i="2"/>
  <c r="R18" i="6" s="1"/>
  <c r="P15" i="2"/>
  <c r="P18" i="6" s="1"/>
  <c r="M15" i="2"/>
  <c r="M18" i="6" s="1"/>
  <c r="I14" i="2"/>
  <c r="H17" i="6"/>
  <c r="J14" i="5"/>
  <c r="L14" i="5" s="1"/>
  <c r="M14" i="4"/>
  <c r="U14" i="4" s="1"/>
  <c r="S14" i="4"/>
  <c r="T14" i="4"/>
  <c r="R14" i="4"/>
  <c r="Q14" i="4"/>
  <c r="P14" i="4"/>
  <c r="L14" i="3"/>
  <c r="E16" i="6"/>
  <c r="V13" i="5"/>
  <c r="G13" i="5"/>
  <c r="H13" i="5" s="1"/>
  <c r="I13" i="5" s="1"/>
  <c r="G13" i="4"/>
  <c r="H13" i="4" s="1"/>
  <c r="I13" i="4" s="1"/>
  <c r="G13" i="3"/>
  <c r="H13" i="3" s="1"/>
  <c r="I13" i="3" s="1"/>
  <c r="V13" i="3"/>
  <c r="V13" i="2"/>
  <c r="V16" i="6" l="1"/>
  <c r="O14" i="5"/>
  <c r="T14" i="5"/>
  <c r="N14" i="5"/>
  <c r="Q14" i="5"/>
  <c r="I17" i="6"/>
  <c r="K14" i="2"/>
  <c r="K17" i="6" s="1"/>
  <c r="J14" i="2"/>
  <c r="M14" i="5"/>
  <c r="U14" i="5" s="1"/>
  <c r="S14" i="5"/>
  <c r="R14" i="5"/>
  <c r="P14" i="5"/>
  <c r="M14" i="3"/>
  <c r="U14" i="3" s="1"/>
  <c r="S14" i="3"/>
  <c r="R14" i="3"/>
  <c r="Q14" i="3"/>
  <c r="P14" i="3"/>
  <c r="G16" i="6"/>
  <c r="H13" i="2"/>
  <c r="F16" i="6"/>
  <c r="K13" i="5"/>
  <c r="J13" i="5"/>
  <c r="J13" i="4"/>
  <c r="K13" i="4"/>
  <c r="K13" i="3"/>
  <c r="J13" i="3"/>
  <c r="L13" i="3" s="1"/>
  <c r="U17" i="6" l="1"/>
  <c r="J17" i="6"/>
  <c r="L14" i="2"/>
  <c r="Q13" i="3"/>
  <c r="O13" i="3"/>
  <c r="N13" i="3"/>
  <c r="I13" i="2"/>
  <c r="H16" i="6"/>
  <c r="L13" i="5"/>
  <c r="L13" i="4"/>
  <c r="N13" i="4" s="1"/>
  <c r="S13" i="3"/>
  <c r="T13" i="3"/>
  <c r="R13" i="3"/>
  <c r="P13" i="3"/>
  <c r="M13" i="3"/>
  <c r="U13" i="3" s="1"/>
  <c r="W15" i="6"/>
  <c r="D15" i="6"/>
  <c r="C15" i="6"/>
  <c r="B15" i="6"/>
  <c r="F12" i="4"/>
  <c r="O12" i="3"/>
  <c r="N12" i="3"/>
  <c r="E12" i="5"/>
  <c r="F12" i="5" s="1"/>
  <c r="E12" i="4"/>
  <c r="E12" i="3"/>
  <c r="T13" i="5" l="1"/>
  <c r="N13" i="5"/>
  <c r="Q13" i="5"/>
  <c r="O13" i="5"/>
  <c r="N14" i="2"/>
  <c r="T14" i="2"/>
  <c r="O14" i="2"/>
  <c r="Q14" i="2"/>
  <c r="Q17" i="6" s="1"/>
  <c r="N17" i="6"/>
  <c r="T17" i="6"/>
  <c r="O17" i="6"/>
  <c r="L17" i="6"/>
  <c r="P14" i="2"/>
  <c r="P17" i="6" s="1"/>
  <c r="S14" i="2"/>
  <c r="S17" i="6" s="1"/>
  <c r="M14" i="2"/>
  <c r="M17" i="6" s="1"/>
  <c r="R14" i="2"/>
  <c r="R17" i="6" s="1"/>
  <c r="S13" i="5"/>
  <c r="O13" i="4"/>
  <c r="Q13" i="4"/>
  <c r="T13" i="4"/>
  <c r="I16" i="6"/>
  <c r="J13" i="2"/>
  <c r="K13" i="2"/>
  <c r="K16" i="6" s="1"/>
  <c r="P13" i="5"/>
  <c r="R13" i="5"/>
  <c r="M13" i="5"/>
  <c r="U13" i="5" s="1"/>
  <c r="R13" i="4"/>
  <c r="M13" i="4"/>
  <c r="U13" i="4" s="1"/>
  <c r="S13" i="4"/>
  <c r="P13" i="4"/>
  <c r="V12" i="5"/>
  <c r="G12" i="5"/>
  <c r="H12" i="5" s="1"/>
  <c r="I12" i="5" s="1"/>
  <c r="V12" i="4"/>
  <c r="G12" i="4"/>
  <c r="H12" i="4" s="1"/>
  <c r="I12" i="4" s="1"/>
  <c r="F12" i="3"/>
  <c r="H12" i="3" s="1"/>
  <c r="I12" i="3" s="1"/>
  <c r="V12" i="3"/>
  <c r="G12" i="3"/>
  <c r="U16" i="6" l="1"/>
  <c r="L13" i="2"/>
  <c r="J16" i="6"/>
  <c r="K12" i="5"/>
  <c r="J12" i="5"/>
  <c r="K12" i="4"/>
  <c r="J12" i="4"/>
  <c r="J12" i="3"/>
  <c r="K12" i="3"/>
  <c r="T13" i="2" l="1"/>
  <c r="O13" i="2"/>
  <c r="N13" i="2"/>
  <c r="L16" i="6"/>
  <c r="N16" i="6"/>
  <c r="O16" i="6"/>
  <c r="T16" i="6"/>
  <c r="S13" i="2"/>
  <c r="S16" i="6" s="1"/>
  <c r="Q13" i="2"/>
  <c r="Q16" i="6" s="1"/>
  <c r="R13" i="2"/>
  <c r="R16" i="6" s="1"/>
  <c r="P13" i="2"/>
  <c r="P16" i="6" s="1"/>
  <c r="M13" i="2"/>
  <c r="M16" i="6" s="1"/>
  <c r="L12" i="5"/>
  <c r="L12" i="4"/>
  <c r="L12" i="3"/>
  <c r="T12" i="4" l="1"/>
  <c r="Q12" i="4"/>
  <c r="O12" i="4"/>
  <c r="N12" i="4"/>
  <c r="T12" i="5"/>
  <c r="N12" i="5"/>
  <c r="O12" i="5"/>
  <c r="S12" i="3"/>
  <c r="Q12" i="3"/>
  <c r="T12" i="3"/>
  <c r="S12" i="5"/>
  <c r="R12" i="5"/>
  <c r="Q12" i="5"/>
  <c r="P12" i="5"/>
  <c r="M12" i="5"/>
  <c r="U12" i="5" s="1"/>
  <c r="U15" i="6" s="1"/>
  <c r="P12" i="4"/>
  <c r="M12" i="4"/>
  <c r="U12" i="4" s="1"/>
  <c r="S12" i="4"/>
  <c r="R12" i="4"/>
  <c r="M12" i="3"/>
  <c r="U12" i="3" s="1"/>
  <c r="R12" i="3"/>
  <c r="P12" i="3"/>
  <c r="E12" i="2" l="1"/>
  <c r="F12" i="2" l="1"/>
  <c r="F15" i="6" s="1"/>
  <c r="E15" i="6"/>
  <c r="V12" i="2"/>
  <c r="V15" i="6" s="1"/>
  <c r="G12" i="2"/>
  <c r="E11" i="5"/>
  <c r="F11" i="5" s="1"/>
  <c r="T11" i="3"/>
  <c r="Q11" i="3"/>
  <c r="O11" i="3"/>
  <c r="N11" i="3"/>
  <c r="T11" i="2"/>
  <c r="Q11" i="2"/>
  <c r="O11" i="2"/>
  <c r="N11" i="2"/>
  <c r="F11" i="2"/>
  <c r="H12" i="2" l="1"/>
  <c r="G15" i="6"/>
  <c r="W14" i="6"/>
  <c r="D14" i="6"/>
  <c r="C14" i="6"/>
  <c r="B14" i="6"/>
  <c r="V11" i="5"/>
  <c r="E11" i="4"/>
  <c r="E11" i="3"/>
  <c r="F11" i="3" s="1"/>
  <c r="E11" i="2"/>
  <c r="I12" i="2" l="1"/>
  <c r="H15" i="6"/>
  <c r="E14" i="6"/>
  <c r="G11" i="5"/>
  <c r="H11" i="5" s="1"/>
  <c r="I11" i="5" s="1"/>
  <c r="K11" i="5" s="1"/>
  <c r="F11" i="4"/>
  <c r="V11" i="4"/>
  <c r="G11" i="4"/>
  <c r="V11" i="3"/>
  <c r="G11" i="3"/>
  <c r="H11" i="3" s="1"/>
  <c r="I11" i="3" s="1"/>
  <c r="V11" i="2"/>
  <c r="G11" i="2"/>
  <c r="I15" i="6" l="1"/>
  <c r="J12" i="2"/>
  <c r="K12" i="2"/>
  <c r="K15" i="6" s="1"/>
  <c r="G14" i="6"/>
  <c r="V14" i="6"/>
  <c r="H11" i="2"/>
  <c r="F14" i="6"/>
  <c r="J11" i="5"/>
  <c r="L11" i="5" s="1"/>
  <c r="H11" i="4"/>
  <c r="I11" i="4" s="1"/>
  <c r="K11" i="4" s="1"/>
  <c r="K11" i="3"/>
  <c r="J11" i="3"/>
  <c r="R11" i="5" l="1"/>
  <c r="N11" i="5"/>
  <c r="O11" i="5"/>
  <c r="T11" i="5"/>
  <c r="J15" i="6"/>
  <c r="L12" i="2"/>
  <c r="Q11" i="5"/>
  <c r="S11" i="5"/>
  <c r="M11" i="5"/>
  <c r="U11" i="5" s="1"/>
  <c r="P11" i="5"/>
  <c r="J11" i="4"/>
  <c r="L11" i="4" s="1"/>
  <c r="I11" i="2"/>
  <c r="H14" i="6"/>
  <c r="L11" i="3"/>
  <c r="T11" i="4" l="1"/>
  <c r="N11" i="4"/>
  <c r="O11" i="4"/>
  <c r="L15" i="6"/>
  <c r="N12" i="2"/>
  <c r="N15" i="6" s="1"/>
  <c r="O12" i="2"/>
  <c r="O15" i="6" s="1"/>
  <c r="M12" i="2"/>
  <c r="M15" i="6" s="1"/>
  <c r="R12" i="2"/>
  <c r="R15" i="6" s="1"/>
  <c r="Q12" i="2"/>
  <c r="Q15" i="6" s="1"/>
  <c r="T12" i="2"/>
  <c r="T15" i="6" s="1"/>
  <c r="S12" i="2"/>
  <c r="S15" i="6" s="1"/>
  <c r="P12" i="2"/>
  <c r="P15" i="6" s="1"/>
  <c r="Q11" i="4"/>
  <c r="S11" i="4"/>
  <c r="R11" i="4"/>
  <c r="M11" i="4"/>
  <c r="U11" i="4" s="1"/>
  <c r="P11" i="4"/>
  <c r="I14" i="6"/>
  <c r="K11" i="2"/>
  <c r="K14" i="6" s="1"/>
  <c r="J11" i="2"/>
  <c r="P11" i="3"/>
  <c r="M11" i="3"/>
  <c r="U11" i="3" s="1"/>
  <c r="S11" i="3"/>
  <c r="R11" i="3"/>
  <c r="U14" i="6" l="1"/>
  <c r="L11" i="2"/>
  <c r="J14" i="6"/>
  <c r="O14" i="6" l="1"/>
  <c r="N14" i="6"/>
  <c r="L14" i="6"/>
  <c r="T14" i="6"/>
  <c r="Q14" i="6"/>
  <c r="S11" i="2"/>
  <c r="S14" i="6" s="1"/>
  <c r="R11" i="2"/>
  <c r="R14" i="6" s="1"/>
  <c r="P11" i="2"/>
  <c r="P14" i="6" s="1"/>
  <c r="M11" i="2"/>
  <c r="M14" i="6" s="1"/>
  <c r="O10" i="3" l="1"/>
  <c r="N10" i="3"/>
  <c r="F10" i="3"/>
  <c r="T10" i="2"/>
  <c r="Q10" i="2"/>
  <c r="O10" i="2"/>
  <c r="N10" i="2"/>
  <c r="W13" i="6" l="1"/>
  <c r="D13" i="6"/>
  <c r="C13" i="6"/>
  <c r="B13" i="6"/>
  <c r="E10" i="5"/>
  <c r="E10" i="4"/>
  <c r="F10" i="4" s="1"/>
  <c r="E10" i="3"/>
  <c r="V10" i="3" s="1"/>
  <c r="F10" i="5" l="1"/>
  <c r="V10" i="5"/>
  <c r="G10" i="5"/>
  <c r="V10" i="4"/>
  <c r="G10" i="4"/>
  <c r="G10" i="3"/>
  <c r="H10" i="5" l="1"/>
  <c r="I10" i="5" s="1"/>
  <c r="K10" i="5" s="1"/>
  <c r="H10" i="4"/>
  <c r="I10" i="4" s="1"/>
  <c r="J10" i="4" s="1"/>
  <c r="H10" i="3"/>
  <c r="I10" i="3" s="1"/>
  <c r="K10" i="3" s="1"/>
  <c r="J10" i="5" l="1"/>
  <c r="L10" i="5" s="1"/>
  <c r="K10" i="4"/>
  <c r="L10" i="4" s="1"/>
  <c r="J10" i="3"/>
  <c r="L10" i="3" s="1"/>
  <c r="T10" i="4" l="1"/>
  <c r="Q10" i="4"/>
  <c r="O10" i="4"/>
  <c r="N10" i="4"/>
  <c r="T10" i="5"/>
  <c r="O10" i="5"/>
  <c r="N10" i="5"/>
  <c r="Q10" i="5"/>
  <c r="T10" i="3"/>
  <c r="Q10" i="3"/>
  <c r="S10" i="5"/>
  <c r="R10" i="5"/>
  <c r="P10" i="5"/>
  <c r="M10" i="5"/>
  <c r="U10" i="5" s="1"/>
  <c r="M10" i="4"/>
  <c r="U10" i="4" s="1"/>
  <c r="S10" i="4"/>
  <c r="R10" i="4"/>
  <c r="P10" i="4"/>
  <c r="P10" i="3"/>
  <c r="R10" i="3"/>
  <c r="S10" i="3"/>
  <c r="M10" i="3"/>
  <c r="U10" i="3" s="1"/>
  <c r="U13" i="6" l="1"/>
  <c r="E10" i="2"/>
  <c r="E13" i="6" s="1"/>
  <c r="V10" i="2" l="1"/>
  <c r="V13" i="6" s="1"/>
  <c r="F10" i="2"/>
  <c r="F13" i="6" s="1"/>
  <c r="G10" i="2"/>
  <c r="G13" i="6" s="1"/>
  <c r="T9" i="3"/>
  <c r="Q9" i="3"/>
  <c r="N9" i="3"/>
  <c r="T9" i="2"/>
  <c r="Q9" i="2"/>
  <c r="O9" i="2"/>
  <c r="N9" i="2"/>
  <c r="H10" i="2" l="1"/>
  <c r="F9" i="3"/>
  <c r="I10" i="2" l="1"/>
  <c r="H13" i="6"/>
  <c r="W12" i="6"/>
  <c r="D12" i="6"/>
  <c r="C12" i="6"/>
  <c r="B12" i="6"/>
  <c r="E9" i="5"/>
  <c r="F9" i="5" s="1"/>
  <c r="E9" i="4"/>
  <c r="E9" i="3"/>
  <c r="E9" i="2"/>
  <c r="V9" i="2" s="1"/>
  <c r="G9" i="4" l="1"/>
  <c r="F9" i="4"/>
  <c r="K10" i="2"/>
  <c r="K13" i="6" s="1"/>
  <c r="I13" i="6"/>
  <c r="J10" i="2"/>
  <c r="E12" i="6"/>
  <c r="F9" i="2"/>
  <c r="F12" i="6" s="1"/>
  <c r="V9" i="5"/>
  <c r="G9" i="5"/>
  <c r="H9" i="4"/>
  <c r="I9" i="4" s="1"/>
  <c r="V9" i="4"/>
  <c r="H9" i="3"/>
  <c r="I9" i="3" s="1"/>
  <c r="V9" i="3"/>
  <c r="G9" i="3"/>
  <c r="G9" i="2"/>
  <c r="T8" i="3"/>
  <c r="O8" i="3"/>
  <c r="N8" i="3"/>
  <c r="O8" i="2"/>
  <c r="N8" i="2"/>
  <c r="L10" i="2" l="1"/>
  <c r="J13" i="6"/>
  <c r="V12" i="6"/>
  <c r="G12" i="6"/>
  <c r="H9" i="5"/>
  <c r="I9" i="5" s="1"/>
  <c r="J9" i="5" s="1"/>
  <c r="J9" i="4"/>
  <c r="K9" i="4"/>
  <c r="K9" i="3"/>
  <c r="J9" i="3"/>
  <c r="H9" i="2"/>
  <c r="F8" i="3"/>
  <c r="F8" i="2"/>
  <c r="L13" i="6" l="1"/>
  <c r="T13" i="6"/>
  <c r="Q13" i="6"/>
  <c r="N13" i="6"/>
  <c r="O13" i="6"/>
  <c r="M10" i="2"/>
  <c r="M13" i="6" s="1"/>
  <c r="R10" i="2"/>
  <c r="R13" i="6" s="1"/>
  <c r="S10" i="2"/>
  <c r="S13" i="6" s="1"/>
  <c r="P10" i="2"/>
  <c r="P13" i="6" s="1"/>
  <c r="I9" i="2"/>
  <c r="H12" i="6"/>
  <c r="K9" i="5"/>
  <c r="L9" i="5" s="1"/>
  <c r="L9" i="4"/>
  <c r="N9" i="4" s="1"/>
  <c r="L9" i="3"/>
  <c r="J9" i="2"/>
  <c r="W11" i="6"/>
  <c r="D11" i="6"/>
  <c r="C11" i="6"/>
  <c r="B11" i="6"/>
  <c r="E8" i="5"/>
  <c r="A8" i="2"/>
  <c r="A8" i="5" s="1"/>
  <c r="E8" i="4"/>
  <c r="F8" i="4" s="1"/>
  <c r="E8" i="3"/>
  <c r="G8" i="3" s="1"/>
  <c r="E8" i="2"/>
  <c r="E11" i="6" s="1"/>
  <c r="V8" i="5" l="1"/>
  <c r="F8" i="5"/>
  <c r="Q9" i="5"/>
  <c r="O9" i="5"/>
  <c r="T9" i="5"/>
  <c r="N9" i="5"/>
  <c r="A11" i="6"/>
  <c r="A8" i="4"/>
  <c r="A9" i="2"/>
  <c r="M9" i="4"/>
  <c r="U9" i="4" s="1"/>
  <c r="T9" i="4"/>
  <c r="O9" i="4"/>
  <c r="O9" i="3"/>
  <c r="J12" i="6"/>
  <c r="K9" i="2"/>
  <c r="K12" i="6" s="1"/>
  <c r="I12" i="6"/>
  <c r="M9" i="5"/>
  <c r="U9" i="5" s="1"/>
  <c r="R9" i="5"/>
  <c r="P9" i="5"/>
  <c r="S9" i="5"/>
  <c r="P9" i="4"/>
  <c r="R9" i="4"/>
  <c r="S9" i="4"/>
  <c r="Q9" i="4"/>
  <c r="R9" i="3"/>
  <c r="P9" i="3"/>
  <c r="S9" i="3"/>
  <c r="M9" i="3"/>
  <c r="U9" i="3" s="1"/>
  <c r="G8" i="5"/>
  <c r="V8" i="4"/>
  <c r="G8" i="4"/>
  <c r="V8" i="3"/>
  <c r="H8" i="3"/>
  <c r="I8" i="3" s="1"/>
  <c r="V8" i="2"/>
  <c r="G8" i="2"/>
  <c r="N7" i="3"/>
  <c r="T7" i="2"/>
  <c r="Q7" i="2"/>
  <c r="O7" i="2"/>
  <c r="N7" i="2"/>
  <c r="A10" i="2" l="1"/>
  <c r="A9" i="4"/>
  <c r="A12" i="6"/>
  <c r="A9" i="5"/>
  <c r="U12" i="6"/>
  <c r="L9" i="2"/>
  <c r="V11" i="6"/>
  <c r="G11" i="6"/>
  <c r="H8" i="2"/>
  <c r="F11" i="6"/>
  <c r="H8" i="5"/>
  <c r="I8" i="5" s="1"/>
  <c r="K8" i="5" s="1"/>
  <c r="H8" i="4"/>
  <c r="I8" i="4" s="1"/>
  <c r="K8" i="4" s="1"/>
  <c r="K8" i="3"/>
  <c r="J8" i="3"/>
  <c r="F7" i="3"/>
  <c r="W10" i="6"/>
  <c r="D10" i="6"/>
  <c r="C10" i="6"/>
  <c r="B10" i="6"/>
  <c r="A10" i="6"/>
  <c r="E7" i="5"/>
  <c r="A7" i="5"/>
  <c r="E7" i="4"/>
  <c r="A7" i="4"/>
  <c r="F7" i="2"/>
  <c r="E7" i="3"/>
  <c r="V7" i="3" s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E7" i="2"/>
  <c r="V7" i="2" s="1"/>
  <c r="A11" i="2" l="1"/>
  <c r="A10" i="4"/>
  <c r="A10" i="5"/>
  <c r="A13" i="6"/>
  <c r="M9" i="2"/>
  <c r="M12" i="6" s="1"/>
  <c r="O12" i="6"/>
  <c r="N12" i="6"/>
  <c r="L12" i="6"/>
  <c r="P9" i="2"/>
  <c r="P12" i="6" s="1"/>
  <c r="R9" i="2"/>
  <c r="R12" i="6" s="1"/>
  <c r="T12" i="6"/>
  <c r="Q12" i="6"/>
  <c r="S9" i="2"/>
  <c r="S12" i="6" s="1"/>
  <c r="I8" i="2"/>
  <c r="H11" i="6"/>
  <c r="J8" i="5"/>
  <c r="L8" i="5" s="1"/>
  <c r="J8" i="4"/>
  <c r="L8" i="4" s="1"/>
  <c r="L8" i="3"/>
  <c r="E10" i="6"/>
  <c r="F7" i="5"/>
  <c r="V7" i="5"/>
  <c r="G7" i="5"/>
  <c r="F7" i="4"/>
  <c r="V7" i="4"/>
  <c r="V10" i="6" s="1"/>
  <c r="G7" i="4"/>
  <c r="G7" i="3"/>
  <c r="H7" i="3"/>
  <c r="I7" i="3" s="1"/>
  <c r="G7" i="2"/>
  <c r="T6" i="3"/>
  <c r="O6" i="3"/>
  <c r="N6" i="3"/>
  <c r="T6" i="2"/>
  <c r="O6" i="2"/>
  <c r="N6" i="2"/>
  <c r="F6" i="2"/>
  <c r="O8" i="4" l="1"/>
  <c r="N8" i="4"/>
  <c r="T8" i="4"/>
  <c r="N8" i="5"/>
  <c r="O8" i="5"/>
  <c r="T8" i="5"/>
  <c r="Q8" i="5"/>
  <c r="H7" i="5"/>
  <c r="I7" i="5" s="1"/>
  <c r="J7" i="5" s="1"/>
  <c r="A12" i="2"/>
  <c r="A11" i="5"/>
  <c r="A11" i="4"/>
  <c r="A14" i="6"/>
  <c r="Q8" i="4"/>
  <c r="I11" i="6"/>
  <c r="K8" i="2"/>
  <c r="K11" i="6" s="1"/>
  <c r="J8" i="2"/>
  <c r="R8" i="5"/>
  <c r="S8" i="5"/>
  <c r="P8" i="5"/>
  <c r="M8" i="5"/>
  <c r="U8" i="5" s="1"/>
  <c r="S8" i="4"/>
  <c r="R8" i="4"/>
  <c r="P8" i="4"/>
  <c r="M8" i="4"/>
  <c r="U8" i="4" s="1"/>
  <c r="M8" i="3"/>
  <c r="U8" i="3" s="1"/>
  <c r="S8" i="3"/>
  <c r="R8" i="3"/>
  <c r="Q8" i="3"/>
  <c r="P8" i="3"/>
  <c r="F10" i="6"/>
  <c r="G10" i="6"/>
  <c r="H7" i="2"/>
  <c r="H7" i="4"/>
  <c r="I7" i="4" s="1"/>
  <c r="J7" i="4" s="1"/>
  <c r="K7" i="3"/>
  <c r="J7" i="3"/>
  <c r="A9" i="6"/>
  <c r="K7" i="5" l="1"/>
  <c r="L7" i="5" s="1"/>
  <c r="A13" i="2"/>
  <c r="A12" i="4"/>
  <c r="A15" i="6"/>
  <c r="A12" i="5"/>
  <c r="U11" i="6"/>
  <c r="J11" i="6"/>
  <c r="L8" i="2"/>
  <c r="I7" i="2"/>
  <c r="H10" i="6"/>
  <c r="K7" i="4"/>
  <c r="L7" i="4" s="1"/>
  <c r="L7" i="3"/>
  <c r="E6" i="5"/>
  <c r="A6" i="5"/>
  <c r="A6" i="3"/>
  <c r="A6" i="4"/>
  <c r="E6" i="4"/>
  <c r="E6" i="3"/>
  <c r="T7" i="4" l="1"/>
  <c r="Q7" i="4"/>
  <c r="N7" i="4"/>
  <c r="O7" i="4"/>
  <c r="O7" i="5"/>
  <c r="N7" i="5"/>
  <c r="R7" i="5"/>
  <c r="M7" i="5"/>
  <c r="U7" i="5" s="1"/>
  <c r="T7" i="5"/>
  <c r="Q7" i="5"/>
  <c r="P7" i="5"/>
  <c r="S7" i="5"/>
  <c r="A14" i="2"/>
  <c r="A16" i="6"/>
  <c r="A13" i="4"/>
  <c r="A13" i="5"/>
  <c r="S8" i="2"/>
  <c r="S11" i="6" s="1"/>
  <c r="O11" i="6"/>
  <c r="Q8" i="2"/>
  <c r="Q11" i="6" s="1"/>
  <c r="N11" i="6"/>
  <c r="T8" i="2"/>
  <c r="T11" i="6" s="1"/>
  <c r="L11" i="6"/>
  <c r="M8" i="2"/>
  <c r="M11" i="6" s="1"/>
  <c r="R8" i="2"/>
  <c r="R11" i="6" s="1"/>
  <c r="P8" i="2"/>
  <c r="P11" i="6" s="1"/>
  <c r="P7" i="3"/>
  <c r="T7" i="3"/>
  <c r="O7" i="3"/>
  <c r="I10" i="6"/>
  <c r="J7" i="2"/>
  <c r="K7" i="2"/>
  <c r="K10" i="6" s="1"/>
  <c r="S7" i="4"/>
  <c r="R7" i="4"/>
  <c r="P7" i="4"/>
  <c r="M7" i="4"/>
  <c r="U7" i="4" s="1"/>
  <c r="Q7" i="3"/>
  <c r="R7" i="3"/>
  <c r="S7" i="3"/>
  <c r="M7" i="3"/>
  <c r="U7" i="3" s="1"/>
  <c r="G6" i="5"/>
  <c r="V6" i="5"/>
  <c r="F6" i="5"/>
  <c r="V6" i="4"/>
  <c r="G6" i="4"/>
  <c r="F6" i="4"/>
  <c r="V6" i="3"/>
  <c r="F6" i="3"/>
  <c r="G6" i="3"/>
  <c r="A15" i="2" l="1"/>
  <c r="A17" i="6"/>
  <c r="A14" i="5"/>
  <c r="A14" i="4"/>
  <c r="U10" i="6"/>
  <c r="J10" i="6"/>
  <c r="L7" i="2"/>
  <c r="H6" i="5"/>
  <c r="H6" i="4"/>
  <c r="H6" i="3"/>
  <c r="I6" i="5" l="1"/>
  <c r="A16" i="2"/>
  <c r="A15" i="5"/>
  <c r="A18" i="6"/>
  <c r="A15" i="4"/>
  <c r="N10" i="6"/>
  <c r="T10" i="6"/>
  <c r="O10" i="6"/>
  <c r="L10" i="6"/>
  <c r="M7" i="2"/>
  <c r="M10" i="6" s="1"/>
  <c r="R7" i="2"/>
  <c r="R10" i="6" s="1"/>
  <c r="Q10" i="6"/>
  <c r="S7" i="2"/>
  <c r="S10" i="6" s="1"/>
  <c r="P7" i="2"/>
  <c r="P10" i="6" s="1"/>
  <c r="J6" i="5"/>
  <c r="K6" i="5"/>
  <c r="I6" i="4"/>
  <c r="I6" i="3"/>
  <c r="A17" i="2" l="1"/>
  <c r="A16" i="4"/>
  <c r="A16" i="5"/>
  <c r="A19" i="6"/>
  <c r="L6" i="5"/>
  <c r="J6" i="4"/>
  <c r="K6" i="4"/>
  <c r="K6" i="3"/>
  <c r="J6" i="3"/>
  <c r="N6" i="5" l="1"/>
  <c r="T6" i="5"/>
  <c r="O6" i="5"/>
  <c r="Q6" i="5"/>
  <c r="A18" i="2"/>
  <c r="A20" i="6"/>
  <c r="A17" i="5"/>
  <c r="A17" i="4"/>
  <c r="P6" i="5"/>
  <c r="S6" i="5"/>
  <c r="R6" i="5"/>
  <c r="M6" i="5"/>
  <c r="L6" i="4"/>
  <c r="L6" i="3"/>
  <c r="T6" i="4" l="1"/>
  <c r="Q6" i="4"/>
  <c r="N6" i="4"/>
  <c r="A19" i="2"/>
  <c r="A21" i="6"/>
  <c r="A18" i="4"/>
  <c r="A18" i="5"/>
  <c r="U6" i="5"/>
  <c r="U60" i="5" s="1"/>
  <c r="R6" i="4"/>
  <c r="P6" i="4"/>
  <c r="M6" i="4"/>
  <c r="O6" i="4"/>
  <c r="S6" i="4"/>
  <c r="P6" i="3"/>
  <c r="R6" i="3"/>
  <c r="Q6" i="3"/>
  <c r="M6" i="3"/>
  <c r="S6" i="3"/>
  <c r="A20" i="2" l="1"/>
  <c r="A19" i="5"/>
  <c r="A22" i="6"/>
  <c r="A19" i="4"/>
  <c r="U6" i="4"/>
  <c r="U60" i="4" s="1"/>
  <c r="U6" i="3"/>
  <c r="U60" i="3" s="1"/>
  <c r="A21" i="2" l="1"/>
  <c r="A20" i="5"/>
  <c r="A20" i="4"/>
  <c r="A23" i="6"/>
  <c r="E6" i="2"/>
  <c r="A21" i="5" l="1"/>
  <c r="A22" i="2"/>
  <c r="A24" i="6"/>
  <c r="A21" i="4"/>
  <c r="A23" i="2" l="1"/>
  <c r="A22" i="5"/>
  <c r="A22" i="4"/>
  <c r="A25" i="6"/>
  <c r="V6" i="2"/>
  <c r="G6" i="2"/>
  <c r="A24" i="2" l="1"/>
  <c r="A25" i="2" s="1"/>
  <c r="A26" i="6"/>
  <c r="A23" i="4"/>
  <c r="A23" i="5"/>
  <c r="H6" i="2"/>
  <c r="A25" i="4" l="1"/>
  <c r="A26" i="2"/>
  <c r="A28" i="6"/>
  <c r="A25" i="5"/>
  <c r="A24" i="4"/>
  <c r="A24" i="5"/>
  <c r="A27" i="6"/>
  <c r="I6" i="2"/>
  <c r="A27" i="2" l="1"/>
  <c r="A29" i="6"/>
  <c r="A26" i="5"/>
  <c r="A26" i="4"/>
  <c r="K6" i="2"/>
  <c r="J6" i="2"/>
  <c r="A28" i="2" l="1"/>
  <c r="A27" i="5"/>
  <c r="A27" i="4"/>
  <c r="A30" i="6"/>
  <c r="L6" i="2"/>
  <c r="A29" i="2" l="1"/>
  <c r="A28" i="4"/>
  <c r="A28" i="5"/>
  <c r="A31" i="6"/>
  <c r="Q6" i="2"/>
  <c r="R6" i="2"/>
  <c r="P6" i="2"/>
  <c r="M6" i="2"/>
  <c r="S6" i="2"/>
  <c r="A30" i="2" l="1"/>
  <c r="A29" i="5"/>
  <c r="A29" i="4"/>
  <c r="A32" i="6"/>
  <c r="A31" i="2" l="1"/>
  <c r="A33" i="6"/>
  <c r="A30" i="4"/>
  <c r="A30" i="5"/>
  <c r="I9" i="6"/>
  <c r="I63" i="6" s="1"/>
  <c r="S9" i="6"/>
  <c r="S63" i="6" s="1"/>
  <c r="V9" i="6"/>
  <c r="V63" i="6" s="1"/>
  <c r="B9" i="6"/>
  <c r="B63" i="6" s="1"/>
  <c r="E9" i="6"/>
  <c r="E63" i="6" s="1"/>
  <c r="W9" i="6"/>
  <c r="N9" i="6"/>
  <c r="N63" i="6" s="1"/>
  <c r="R9" i="6"/>
  <c r="R63" i="6" s="1"/>
  <c r="Q9" i="6"/>
  <c r="Q63" i="6" s="1"/>
  <c r="U9" i="6"/>
  <c r="U63" i="6" s="1"/>
  <c r="F9" i="6"/>
  <c r="F63" i="6" s="1"/>
  <c r="P9" i="6"/>
  <c r="P63" i="6" s="1"/>
  <c r="J9" i="6"/>
  <c r="J63" i="6" s="1"/>
  <c r="T9" i="6"/>
  <c r="T63" i="6" s="1"/>
  <c r="M9" i="6"/>
  <c r="M63" i="6" s="1"/>
  <c r="G9" i="6"/>
  <c r="G63" i="6" s="1"/>
  <c r="C9" i="6"/>
  <c r="C63" i="6" s="1"/>
  <c r="H9" i="6"/>
  <c r="H63" i="6" s="1"/>
  <c r="L9" i="6"/>
  <c r="L63" i="6" s="1"/>
  <c r="D9" i="6"/>
  <c r="D63" i="6" s="1"/>
  <c r="O9" i="6"/>
  <c r="O63" i="6" s="1"/>
  <c r="K9" i="6"/>
  <c r="K63" i="6" s="1"/>
  <c r="A32" i="2" l="1"/>
  <c r="A34" i="6"/>
  <c r="A31" i="5"/>
  <c r="A31" i="4"/>
  <c r="A33" i="2" l="1"/>
  <c r="A32" i="5"/>
  <c r="A32" i="4"/>
  <c r="A35" i="6"/>
  <c r="A34" i="2" l="1"/>
  <c r="A36" i="6"/>
  <c r="A33" i="5"/>
  <c r="A33" i="4"/>
  <c r="A35" i="2" l="1"/>
  <c r="A37" i="6"/>
  <c r="A34" i="5"/>
  <c r="A34" i="4"/>
  <c r="A36" i="2" l="1"/>
  <c r="A38" i="6"/>
  <c r="A35" i="5"/>
  <c r="A35" i="4"/>
  <c r="A37" i="2" l="1"/>
  <c r="A39" i="6"/>
  <c r="A36" i="5"/>
  <c r="A36" i="4"/>
  <c r="A38" i="2" l="1"/>
  <c r="A40" i="6"/>
  <c r="A37" i="5"/>
  <c r="A37" i="4"/>
  <c r="A39" i="2" l="1"/>
  <c r="A41" i="6"/>
  <c r="A38" i="5"/>
  <c r="A38" i="4"/>
  <c r="A40" i="2" l="1"/>
  <c r="A42" i="6"/>
  <c r="A39" i="5"/>
  <c r="A39" i="4"/>
  <c r="A41" i="2" l="1"/>
  <c r="A43" i="6"/>
  <c r="A40" i="4"/>
  <c r="A40" i="5"/>
  <c r="A42" i="2" l="1"/>
  <c r="A44" i="6"/>
  <c r="A41" i="5"/>
  <c r="A41" i="4"/>
  <c r="A43" i="2" l="1"/>
  <c r="A42" i="5"/>
  <c r="A42" i="4"/>
  <c r="A45" i="6"/>
  <c r="A44" i="2" l="1"/>
  <c r="A43" i="4"/>
  <c r="A43" i="5"/>
  <c r="A46" i="6"/>
  <c r="A45" i="2" l="1"/>
  <c r="A44" i="5"/>
  <c r="A44" i="4"/>
  <c r="A47" i="6"/>
  <c r="A46" i="2" l="1"/>
  <c r="A45" i="5"/>
  <c r="A48" i="6"/>
  <c r="A45" i="4"/>
  <c r="A47" i="2" l="1"/>
  <c r="A49" i="6"/>
  <c r="A46" i="5"/>
  <c r="A46" i="4"/>
  <c r="A48" i="2" l="1"/>
  <c r="A50" i="6"/>
  <c r="A47" i="5"/>
  <c r="A47" i="4"/>
  <c r="A49" i="2" l="1"/>
  <c r="A48" i="4"/>
  <c r="A48" i="5"/>
  <c r="A51" i="6"/>
  <c r="A50" i="2" l="1"/>
  <c r="A52" i="6"/>
  <c r="A49" i="5"/>
  <c r="A49" i="4"/>
  <c r="A51" i="2" l="1"/>
  <c r="A53" i="6"/>
  <c r="A50" i="4"/>
  <c r="A50" i="5"/>
  <c r="A52" i="2" l="1"/>
  <c r="A54" i="6"/>
  <c r="A51" i="5"/>
  <c r="A51" i="4"/>
  <c r="A53" i="2" l="1"/>
  <c r="A55" i="6"/>
  <c r="A52" i="4"/>
  <c r="A52" i="5"/>
  <c r="A54" i="2" l="1"/>
  <c r="A56" i="6"/>
  <c r="A53" i="5"/>
  <c r="A53" i="4"/>
  <c r="A55" i="2" l="1"/>
  <c r="A57" i="6"/>
  <c r="A54" i="4"/>
  <c r="A54" i="5"/>
  <c r="A56" i="2" l="1"/>
  <c r="A55" i="5"/>
  <c r="A55" i="4"/>
  <c r="A58" i="6"/>
  <c r="A57" i="2" l="1"/>
  <c r="A59" i="6"/>
  <c r="A56" i="5"/>
  <c r="A56" i="4"/>
  <c r="A57" i="4" l="1"/>
  <c r="A60" i="6"/>
  <c r="A57" i="5"/>
</calcChain>
</file>

<file path=xl/sharedStrings.xml><?xml version="1.0" encoding="utf-8"?>
<sst xmlns="http://schemas.openxmlformats.org/spreadsheetml/2006/main" count="145" uniqueCount="41">
  <si>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</si>
  <si>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</si>
  <si>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</si>
  <si>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</si>
  <si>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</si>
  <si>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</si>
  <si>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</si>
  <si>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</si>
  <si>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</si>
  <si>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</si>
  <si>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</si>
  <si>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</si>
  <si>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</si>
  <si>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</si>
  <si>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</si>
  <si>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</si>
  <si>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</si>
  <si>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</si>
  <si>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</si>
  <si>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</si>
  <si>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</si>
  <si>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</si>
  <si>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</si>
  <si>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</si>
  <si>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</si>
  <si>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</si>
  <si>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</si>
  <si>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</si>
  <si>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</si>
  <si>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7/2/2022 *</t>
  </si>
  <si>
    <t>FY 2022</t>
  </si>
  <si>
    <t>FISCAL YEAR 2023</t>
  </si>
  <si>
    <t>* 2 days to start the fiscal year</t>
  </si>
  <si>
    <t>WEEKLY RACETRACK VIDEO REVENUE SUMMARY</t>
  </si>
  <si>
    <t>CITIES</t>
  </si>
  <si>
    <t>COUNTIES</t>
  </si>
  <si>
    <t>`</t>
  </si>
  <si>
    <t>2 CITIES</t>
  </si>
  <si>
    <t>FISCAL YEAR TO DATE AS OF JUNE 30, 2023</t>
  </si>
  <si>
    <t>6/30/2023 ***</t>
  </si>
  <si>
    <t>*** 6 days to end the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</si>
</sst>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44" fontId="0" fillId="0" borderId="0" xfId="1" applyNumberFormat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4" fontId="0" fillId="0" borderId="2" xfId="0" applyNumberFormat="1" applyFont="1" applyBorder="1"/>
    <xf numFmtId="44" fontId="0" fillId="0" borderId="2" xfId="0" applyNumberFormat="1" applyFont="1" applyBorder="1" applyAlignment="1">
      <alignment horizontal="center"/>
    </xf>
    <xf numFmtId="38" fontId="0" fillId="0" borderId="2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44" fontId="0" fillId="0" borderId="0" xfId="1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1" fillId="0" borderId="0" xfId="0" applyFont="1"/>
    <xf numFmtId="44" fontId="7" fillId="0" borderId="0" xfId="1" applyFont="1"/>
    <xf numFmtId="44" fontId="0" fillId="0" borderId="0" xfId="1" applyFont="1" applyBorder="1" applyAlignment="1">
      <alignment horizontal="center"/>
    </xf>
    <xf numFmtId="44" fontId="0" fillId="0" borderId="0" xfId="1" applyFont="1" applyFill="1"/>
    <xf numFmtId="44" fontId="0" fillId="0" borderId="0" xfId="1" applyNumberFormat="1" applyFont="1"/>
    <xf numFmtId="44" fontId="1" fillId="0" borderId="0" xfId="1" applyNumberFormat="1" applyFont="1"/>
    <xf numFmtId="44" fontId="0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</cellXfs>
  <cellStyles count="6">
    <cellStyle name="Comma 2" xfId="3"/>
    <cellStyle name="Currency" xfId="1" builtinId="4"/>
    <cellStyle name="Currency 2" xfId="4"/>
    <cellStyle name="Normal" xfId="0" builtinId="0"/>
    <cellStyle name="Normal 2" xfId="2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7"/>
  <sheetViews>
    <sheetView tabSelected="1" zoomScaleNormal="100" workbookViewId="0">
      <pane ySplit="7" topLeftCell="A35" activePane="bottomLeft" state="frozen"/>
      <selection pane="bottomLeft" sqref="A1:AE1"/>
    </sheetView>
  </sheetViews>
  <sheetFormatPr defaultRowHeight="15" customHeight="1" x14ac:dyDescent="0.25"/>
  <cols>
    <col min="1" max="1" width="13.7109375" style="2" customWidth="1"/>
    <col min="2" max="3" width="18.85546875" style="2" bestFit="1" customWidth="1"/>
    <col min="4" max="4" width="16.28515625" style="2" customWidth="1"/>
    <col min="5" max="5" width="17.28515625" style="2" bestFit="1" customWidth="1"/>
    <col min="6" max="6" width="16" style="2" customWidth="1"/>
    <col min="7" max="7" width="14.5703125" style="2" customWidth="1"/>
    <col min="8" max="8" width="17.28515625" style="2" customWidth="1"/>
    <col min="9" max="9" width="14.7109375" style="2" hidden="1" customWidth="1"/>
    <col min="10" max="10" width="14.85546875" style="2" customWidth="1"/>
    <col min="11" max="11" width="13.85546875" style="2" customWidth="1"/>
    <col min="12" max="12" width="17.28515625" style="2" bestFit="1" customWidth="1"/>
    <col min="13" max="13" width="17.28515625" style="2" customWidth="1"/>
    <col min="14" max="14" width="15.85546875" style="2" customWidth="1"/>
    <col min="15" max="15" width="16.140625" style="2" bestFit="1" customWidth="1"/>
    <col min="16" max="16" width="15.85546875" style="2" customWidth="1"/>
    <col min="17" max="17" width="15.5703125" style="2" customWidth="1"/>
    <col min="18" max="18" width="17" style="2" customWidth="1"/>
    <col min="19" max="19" width="15.85546875" style="2" customWidth="1"/>
    <col min="20" max="20" width="15" style="2" customWidth="1"/>
    <col min="21" max="21" width="14.85546875" style="2" customWidth="1"/>
    <col min="22" max="23" width="13.7109375" style="2" customWidth="1"/>
    <col min="24" max="16384" width="9.140625" style="2"/>
  </cols>
  <sheetData>
    <row r="1" spans="1:96" s="21" customFormat="1" ht="18.75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</row>
    <row r="2" spans="1:96" s="14" customFormat="1" ht="15" customHeight="1" x14ac:dyDescent="0.25">
      <c r="A2" s="29" t="s">
        <v>33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96" s="14" customFormat="1" ht="15" customHeight="1" x14ac:dyDescent="0.25">
      <c r="A3" s="29" t="s">
        <v>38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</row>
    <row r="4" spans="1:96" s="14" customFormat="1" ht="15" customHeight="1" x14ac:dyDescent="0.25">
      <c r="A4" s="29" t="s">
        <v>31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18" customFormat="1" ht="15" customHeight="1" x14ac:dyDescent="0.25"/>
    <row r="7" spans="1:96" s="3" customFormat="1" ht="45" customHeight="1" x14ac:dyDescent="0.25">
      <c r="A7" s="3" t="s">
        <v>2</v>
      </c>
      <c r="B7" s="3" t="s">
        <v>5</v>
      </c>
      <c r="C7" s="3" t="s">
        <v>6</v>
      </c>
      <c r="D7" s="3" t="s">
        <v>8</v>
      </c>
      <c r="E7" s="3" t="s">
        <v>9</v>
      </c>
      <c r="F7" s="3" t="s">
        <v>7</v>
      </c>
      <c r="G7" s="3" t="s">
        <v>10</v>
      </c>
      <c r="H7" s="3" t="s">
        <v>11</v>
      </c>
      <c r="I7" s="3" t="s">
        <v>3</v>
      </c>
      <c r="J7" s="3" t="s">
        <v>12</v>
      </c>
      <c r="K7" s="3" t="s">
        <v>13</v>
      </c>
      <c r="L7" s="3" t="s">
        <v>14</v>
      </c>
      <c r="M7" s="3" t="s">
        <v>1</v>
      </c>
      <c r="N7" s="3" t="s">
        <v>15</v>
      </c>
      <c r="O7" s="3" t="s">
        <v>10</v>
      </c>
      <c r="P7" s="3" t="s">
        <v>16</v>
      </c>
      <c r="Q7" s="3" t="s">
        <v>17</v>
      </c>
      <c r="R7" s="3" t="s">
        <v>18</v>
      </c>
      <c r="S7" s="3" t="s">
        <v>19</v>
      </c>
      <c r="T7" s="3" t="s">
        <v>35</v>
      </c>
      <c r="U7" s="3" t="s">
        <v>34</v>
      </c>
      <c r="V7" s="3" t="s">
        <v>20</v>
      </c>
      <c r="W7" s="3" t="s">
        <v>21</v>
      </c>
    </row>
    <row r="8" spans="1:96" s="20" customFormat="1" ht="15" customHeight="1" x14ac:dyDescent="0.25"/>
    <row r="9" spans="1:96" ht="15" customHeight="1" x14ac:dyDescent="0.25">
      <c r="A9" s="8" t="str">
        <f>Mountaineer!A6</f>
        <v>7/2/2022 *</v>
      </c>
      <c r="B9" s="9">
        <f>SUM('Mountaineer:Charles Town'!B6)</f>
        <v>49496523.009999998</v>
      </c>
      <c r="C9" s="9">
        <f>SUM('Mountaineer:Charles Town'!C6)</f>
        <v>44526353.25</v>
      </c>
      <c r="D9" s="9">
        <f>SUM('Mountaineer:Charles Town'!D6)</f>
        <v>713005</v>
      </c>
      <c r="E9" s="9">
        <f>SUM('Mountaineer:Charles Town'!E6)</f>
        <v>4257164.7599999979</v>
      </c>
      <c r="F9" s="9">
        <f>SUM('Mountaineer:Charles Town'!F6)</f>
        <v>170286.58000000002</v>
      </c>
      <c r="G9" s="9">
        <f>SUM('Mountaineer:Charles Town'!G6)</f>
        <v>0</v>
      </c>
      <c r="H9" s="9">
        <f>SUM('Mountaineer:Charles Town'!H6)</f>
        <v>4086878.1799999978</v>
      </c>
      <c r="I9" s="9">
        <f>SUM('Mountaineer:Charles Town'!I6)</f>
        <v>0</v>
      </c>
      <c r="J9" s="9">
        <f>SUM('Mountaineer:Charles Town'!J6)</f>
        <v>0</v>
      </c>
      <c r="K9" s="9">
        <f>SUM('Mountaineer:Charles Town'!K6)</f>
        <v>0</v>
      </c>
      <c r="L9" s="22">
        <f>SUM('Mountaineer:Charles Town'!L6)</f>
        <v>4086878.1799999978</v>
      </c>
      <c r="M9" s="9">
        <f>SUM('Mountaineer:Charles Town'!M6)</f>
        <v>1900398.34</v>
      </c>
      <c r="N9" s="9">
        <f>SUM('Mountaineer:Charles Town'!N6)</f>
        <v>1226063.5900000001</v>
      </c>
      <c r="O9" s="9">
        <f>SUM('Mountaineer:Charles Town'!O6)</f>
        <v>525163.81000000006</v>
      </c>
      <c r="P9" s="9">
        <f>SUM('Mountaineer:Charles Town'!P6)</f>
        <v>257473.32</v>
      </c>
      <c r="Q9" s="9">
        <f>SUM('Mountaineer:Charles Town'!Q6)</f>
        <v>40868.76</v>
      </c>
      <c r="R9" s="9">
        <f>SUM('Mountaineer:Charles Town'!R6)</f>
        <v>27586.42</v>
      </c>
      <c r="S9" s="9">
        <f>SUM('Mountaineer:Charles Town'!S6)</f>
        <v>27586.42</v>
      </c>
      <c r="T9" s="9">
        <f>SUM('Mountaineer:Charles Town'!T6)</f>
        <v>81737.51999999999</v>
      </c>
      <c r="U9" s="9">
        <f>SUM('Mountaineer:Charles Town'!U6)</f>
        <v>0</v>
      </c>
      <c r="V9" s="9">
        <f>SUM('Mountaineer:Charles Town'!V6)</f>
        <v>3657.9147717764436</v>
      </c>
      <c r="W9" s="7">
        <f>SUM('Mountaineer:Charles Town'!W6)</f>
        <v>4233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Mountaineer!A7</f>
        <v>44751</v>
      </c>
      <c r="B10" s="9">
        <f>SUM('Mountaineer:Charles Town'!B7)</f>
        <v>121709735.57000001</v>
      </c>
      <c r="C10" s="9">
        <f>SUM('Mountaineer:Charles Town'!C7)</f>
        <v>109360525.28999999</v>
      </c>
      <c r="D10" s="9">
        <f>SUM('Mountaineer:Charles Town'!D7)</f>
        <v>1721758</v>
      </c>
      <c r="E10" s="9">
        <f>SUM('Mountaineer:Charles Town'!E7)</f>
        <v>10627452.280000014</v>
      </c>
      <c r="F10" s="9">
        <f>SUM('Mountaineer:Charles Town'!F7)</f>
        <v>425098.08</v>
      </c>
      <c r="G10" s="9">
        <f>SUM('Mountaineer:Charles Town'!G7)</f>
        <v>0</v>
      </c>
      <c r="H10" s="9">
        <f>SUM('Mountaineer:Charles Town'!H7)</f>
        <v>10202354.200000014</v>
      </c>
      <c r="I10" s="9">
        <f>SUM('Mountaineer:Charles Town'!I7)</f>
        <v>0</v>
      </c>
      <c r="J10" s="9">
        <f>SUM('Mountaineer:Charles Town'!J7)</f>
        <v>0</v>
      </c>
      <c r="K10" s="9">
        <f>SUM('Mountaineer:Charles Town'!K7)</f>
        <v>0</v>
      </c>
      <c r="L10" s="22">
        <f>SUM('Mountaineer:Charles Town'!L7)</f>
        <v>10202354.200000014</v>
      </c>
      <c r="M10" s="9">
        <f>SUM('Mountaineer:Charles Town'!M7)</f>
        <v>4744094.6900000004</v>
      </c>
      <c r="N10" s="9">
        <f>SUM('Mountaineer:Charles Town'!N7)</f>
        <v>3060706.29</v>
      </c>
      <c r="O10" s="9">
        <f>SUM('Mountaineer:Charles Town'!O7)</f>
        <v>1311002.51</v>
      </c>
      <c r="P10" s="9">
        <f>SUM('Mountaineer:Charles Town'!P7)</f>
        <v>642748.31000000006</v>
      </c>
      <c r="Q10" s="9">
        <f>SUM('Mountaineer:Charles Town'!Q7)</f>
        <v>102023.54000000001</v>
      </c>
      <c r="R10" s="9">
        <f>SUM('Mountaineer:Charles Town'!R7)</f>
        <v>68865.89</v>
      </c>
      <c r="S10" s="9">
        <f>SUM('Mountaineer:Charles Town'!S7)</f>
        <v>68865.89</v>
      </c>
      <c r="T10" s="9">
        <f>SUM('Mountaineer:Charles Town'!T7)</f>
        <v>204047.08000000002</v>
      </c>
      <c r="U10" s="9">
        <f>SUM('Mountaineer:Charles Town'!U7)</f>
        <v>0</v>
      </c>
      <c r="V10" s="9">
        <f>SUM('Mountaineer:Charles Town'!V7)</f>
        <v>8927.9050382250207</v>
      </c>
      <c r="W10" s="7">
        <f>SUM('Mountaineer:Charles Town'!W7)</f>
        <v>4272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Mountaineer!A8</f>
        <v>44758</v>
      </c>
      <c r="B11" s="9">
        <f>SUM('Mountaineer:Charles Town'!B8)</f>
        <v>105715136.01000001</v>
      </c>
      <c r="C11" s="9">
        <f>SUM('Mountaineer:Charles Town'!C8)</f>
        <v>94810698.620000005</v>
      </c>
      <c r="D11" s="9">
        <f>SUM('Mountaineer:Charles Town'!D8)</f>
        <v>1458740</v>
      </c>
      <c r="E11" s="9">
        <f>SUM('Mountaineer:Charles Town'!E8)</f>
        <v>9445697.390000008</v>
      </c>
      <c r="F11" s="9">
        <f>SUM('Mountaineer:Charles Town'!F8)</f>
        <v>377827.9</v>
      </c>
      <c r="G11" s="9">
        <f>SUM('Mountaineer:Charles Town'!G8)</f>
        <v>0</v>
      </c>
      <c r="H11" s="9">
        <f>SUM('Mountaineer:Charles Town'!H8)</f>
        <v>9067869.4900000095</v>
      </c>
      <c r="I11" s="9">
        <f>SUM('Mountaineer:Charles Town'!I8)</f>
        <v>0</v>
      </c>
      <c r="J11" s="9">
        <f>SUM('Mountaineer:Charles Town'!J8)</f>
        <v>0</v>
      </c>
      <c r="K11" s="9">
        <f>SUM('Mountaineer:Charles Town'!K8)</f>
        <v>0</v>
      </c>
      <c r="L11" s="22">
        <f>SUM('Mountaineer:Charles Town'!L8)</f>
        <v>9067869.4900000095</v>
      </c>
      <c r="M11" s="9">
        <f>SUM('Mountaineer:Charles Town'!M8)</f>
        <v>4216559.3099999996</v>
      </c>
      <c r="N11" s="9">
        <f>SUM('Mountaineer:Charles Town'!N8)</f>
        <v>2720360.96</v>
      </c>
      <c r="O11" s="9">
        <f>SUM('Mountaineer:Charles Town'!O8)</f>
        <v>1165221.17</v>
      </c>
      <c r="P11" s="9">
        <f>SUM('Mountaineer:Charles Town'!P8)</f>
        <v>571275.77</v>
      </c>
      <c r="Q11" s="9">
        <f>SUM('Mountaineer:Charles Town'!Q8)</f>
        <v>90678.68</v>
      </c>
      <c r="R11" s="9">
        <f>SUM('Mountaineer:Charles Town'!R8)</f>
        <v>61208.119999999995</v>
      </c>
      <c r="S11" s="9">
        <f>SUM('Mountaineer:Charles Town'!S8)</f>
        <v>61208.119999999995</v>
      </c>
      <c r="T11" s="9">
        <f>SUM('Mountaineer:Charles Town'!T8)</f>
        <v>181357.36000000002</v>
      </c>
      <c r="U11" s="9">
        <f>SUM('Mountaineer:Charles Town'!U8)</f>
        <v>0</v>
      </c>
      <c r="V11" s="9">
        <f>SUM('Mountaineer:Charles Town'!V8)</f>
        <v>7848.1548736263067</v>
      </c>
      <c r="W11" s="7">
        <f>SUM('Mountaineer:Charles Town'!W8)</f>
        <v>4331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Mountaineer!A9</f>
        <v>44765</v>
      </c>
      <c r="B12" s="9">
        <f>SUM('Mountaineer:Charles Town'!B9)</f>
        <v>109452488.89</v>
      </c>
      <c r="C12" s="9">
        <f>SUM('Mountaineer:Charles Town'!C9)</f>
        <v>98561718.810000002</v>
      </c>
      <c r="D12" s="9">
        <f>SUM('Mountaineer:Charles Town'!D9)</f>
        <v>1513324</v>
      </c>
      <c r="E12" s="9">
        <f>SUM('Mountaineer:Charles Town'!E9)</f>
        <v>9377446.0799999889</v>
      </c>
      <c r="F12" s="9">
        <f>SUM('Mountaineer:Charles Town'!F9)</f>
        <v>375097.87</v>
      </c>
      <c r="G12" s="9">
        <f>SUM('Mountaineer:Charles Town'!G9)</f>
        <v>0</v>
      </c>
      <c r="H12" s="9">
        <f>SUM('Mountaineer:Charles Town'!H9)</f>
        <v>9002348.2099999897</v>
      </c>
      <c r="I12" s="9">
        <f>SUM('Mountaineer:Charles Town'!I9)</f>
        <v>0</v>
      </c>
      <c r="J12" s="9">
        <f>SUM('Mountaineer:Charles Town'!J9)</f>
        <v>0</v>
      </c>
      <c r="K12" s="9">
        <f>SUM('Mountaineer:Charles Town'!K9)</f>
        <v>0</v>
      </c>
      <c r="L12" s="22">
        <f>SUM('Mountaineer:Charles Town'!L9)</f>
        <v>9002348.2099999897</v>
      </c>
      <c r="M12" s="9">
        <f>SUM('Mountaineer:Charles Town'!M9)</f>
        <v>4186091.92</v>
      </c>
      <c r="N12" s="9">
        <f>SUM('Mountaineer:Charles Town'!N9)</f>
        <v>2700704.37</v>
      </c>
      <c r="O12" s="9">
        <f>SUM('Mountaineer:Charles Town'!O9)</f>
        <v>1156801.78</v>
      </c>
      <c r="P12" s="9">
        <f>SUM('Mountaineer:Charles Town'!P9)</f>
        <v>567147.93999999994</v>
      </c>
      <c r="Q12" s="9">
        <f>SUM('Mountaineer:Charles Town'!Q9)</f>
        <v>90023.5</v>
      </c>
      <c r="R12" s="9">
        <f>SUM('Mountaineer:Charles Town'!R9)</f>
        <v>60765.850000000006</v>
      </c>
      <c r="S12" s="9">
        <f>SUM('Mountaineer:Charles Town'!S9)</f>
        <v>60765.850000000006</v>
      </c>
      <c r="T12" s="9">
        <f>SUM('Mountaineer:Charles Town'!T9)</f>
        <v>180047</v>
      </c>
      <c r="U12" s="9">
        <f>SUM('Mountaineer:Charles Town'!U9)</f>
        <v>0</v>
      </c>
      <c r="V12" s="9">
        <f>SUM('Mountaineer:Charles Town'!V9)</f>
        <v>7728.8721016341187</v>
      </c>
      <c r="W12" s="7">
        <f>SUM('Mountaineer:Charles Town'!W9)</f>
        <v>4381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Mountaineer!A10</f>
        <v>44772</v>
      </c>
      <c r="B13" s="9">
        <f>SUM('Mountaineer:Charles Town'!B10)</f>
        <v>113620636.25</v>
      </c>
      <c r="C13" s="9">
        <f>SUM('Mountaineer:Charles Town'!C10)</f>
        <v>102153528.94</v>
      </c>
      <c r="D13" s="9">
        <f>SUM('Mountaineer:Charles Town'!D10)</f>
        <v>1490507</v>
      </c>
      <c r="E13" s="9">
        <f>SUM('Mountaineer:Charles Town'!E10)</f>
        <v>9976600.3100000024</v>
      </c>
      <c r="F13" s="9">
        <f>SUM('Mountaineer:Charles Town'!F10)</f>
        <v>399064.01</v>
      </c>
      <c r="G13" s="9">
        <f>SUM('Mountaineer:Charles Town'!G10)</f>
        <v>0</v>
      </c>
      <c r="H13" s="9">
        <f>SUM('Mountaineer:Charles Town'!H10)</f>
        <v>9577536.3000000007</v>
      </c>
      <c r="I13" s="9">
        <f>SUM('Mountaineer:Charles Town'!I10)</f>
        <v>0</v>
      </c>
      <c r="J13" s="9">
        <f>SUM('Mountaineer:Charles Town'!J10)</f>
        <v>0</v>
      </c>
      <c r="K13" s="9">
        <f>SUM('Mountaineer:Charles Town'!K10)</f>
        <v>0</v>
      </c>
      <c r="L13" s="22">
        <f>SUM('Mountaineer:Charles Town'!L10)</f>
        <v>9577536.3000000007</v>
      </c>
      <c r="M13" s="9">
        <f>SUM('Mountaineer:Charles Town'!M10)</f>
        <v>4453554.38</v>
      </c>
      <c r="N13" s="9">
        <f>SUM('Mountaineer:Charles Town'!N10)</f>
        <v>2873260.7800000003</v>
      </c>
      <c r="O13" s="9">
        <f>SUM('Mountaineer:Charles Town'!O10)</f>
        <v>1230713.5</v>
      </c>
      <c r="P13" s="9">
        <f>SUM('Mountaineer:Charles Town'!P10)</f>
        <v>603384.78</v>
      </c>
      <c r="Q13" s="9">
        <f>SUM('Mountaineer:Charles Town'!Q10)</f>
        <v>95775.38</v>
      </c>
      <c r="R13" s="9">
        <f>SUM('Mountaineer:Charles Town'!R10)</f>
        <v>64648.36</v>
      </c>
      <c r="S13" s="9">
        <f>SUM('Mountaineer:Charles Town'!S10)</f>
        <v>64648.36</v>
      </c>
      <c r="T13" s="9">
        <f>SUM('Mountaineer:Charles Town'!T10)</f>
        <v>191550.76</v>
      </c>
      <c r="U13" s="9">
        <f>SUM('Mountaineer:Charles Town'!U10)</f>
        <v>0</v>
      </c>
      <c r="V13" s="9">
        <f>SUM('Mountaineer:Charles Town'!V10)</f>
        <v>8476.4383794276437</v>
      </c>
      <c r="W13" s="7">
        <f>SUM('Mountaineer:Charles Town'!W10)</f>
        <v>4193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Mountaineer!A11</f>
        <v>44779</v>
      </c>
      <c r="B14" s="9">
        <f>SUM('Mountaineer:Charles Town'!B11)</f>
        <v>111407434.24000001</v>
      </c>
      <c r="C14" s="9">
        <f>SUM('Mountaineer:Charles Town'!C11)</f>
        <v>100375266.45</v>
      </c>
      <c r="D14" s="9">
        <f>SUM('Mountaineer:Charles Town'!D11)</f>
        <v>1475690</v>
      </c>
      <c r="E14" s="9">
        <f>SUM('Mountaineer:Charles Town'!E11)</f>
        <v>9556477.7900000028</v>
      </c>
      <c r="F14" s="9">
        <f>SUM('Mountaineer:Charles Town'!F11)</f>
        <v>382259.11</v>
      </c>
      <c r="G14" s="9">
        <f>SUM('Mountaineer:Charles Town'!G11)</f>
        <v>0</v>
      </c>
      <c r="H14" s="9">
        <f>SUM('Mountaineer:Charles Town'!H11)</f>
        <v>9174218.6800000034</v>
      </c>
      <c r="I14" s="9">
        <f>SUM('Mountaineer:Charles Town'!I11)</f>
        <v>0</v>
      </c>
      <c r="J14" s="9">
        <f>SUM('Mountaineer:Charles Town'!J11)</f>
        <v>0</v>
      </c>
      <c r="K14" s="9">
        <f>SUM('Mountaineer:Charles Town'!K11)</f>
        <v>0</v>
      </c>
      <c r="L14" s="22">
        <f>SUM('Mountaineer:Charles Town'!L11)</f>
        <v>9174218.6800000034</v>
      </c>
      <c r="M14" s="9">
        <f>SUM('Mountaineer:Charles Town'!M11)</f>
        <v>4266011.6899999995</v>
      </c>
      <c r="N14" s="9">
        <f>SUM('Mountaineer:Charles Town'!N11)</f>
        <v>2752265.52</v>
      </c>
      <c r="O14" s="9">
        <f>SUM('Mountaineer:Charles Town'!O11)</f>
        <v>1178887.1499999999</v>
      </c>
      <c r="P14" s="9">
        <f>SUM('Mountaineer:Charles Town'!P11)</f>
        <v>577975.78</v>
      </c>
      <c r="Q14" s="9">
        <f>SUM('Mountaineer:Charles Town'!Q11)</f>
        <v>91742.2</v>
      </c>
      <c r="R14" s="9">
        <f>SUM('Mountaineer:Charles Town'!R11)</f>
        <v>61925.97</v>
      </c>
      <c r="S14" s="9">
        <f>SUM('Mountaineer:Charles Town'!S11)</f>
        <v>61925.97</v>
      </c>
      <c r="T14" s="9">
        <f>SUM('Mountaineer:Charles Town'!T11)</f>
        <v>183484.40000000002</v>
      </c>
      <c r="U14" s="9">
        <f>SUM('Mountaineer:Charles Town'!U11)</f>
        <v>0</v>
      </c>
      <c r="V14" s="9">
        <f>SUM('Mountaineer:Charles Town'!V11)</f>
        <v>7909.6706337121086</v>
      </c>
      <c r="W14" s="7">
        <f>SUM('Mountaineer:Charles Town'!W11)</f>
        <v>4393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Mountaineer!A12</f>
        <v>44786</v>
      </c>
      <c r="B15" s="9">
        <f>SUM('Mountaineer:Charles Town'!B12)</f>
        <v>106730237.63</v>
      </c>
      <c r="C15" s="9">
        <f>SUM('Mountaineer:Charles Town'!C12)</f>
        <v>95918271.560000002</v>
      </c>
      <c r="D15" s="9">
        <f>SUM('Mountaineer:Charles Town'!D12)</f>
        <v>1479349</v>
      </c>
      <c r="E15" s="9">
        <f>SUM('Mountaineer:Charles Town'!E12)</f>
        <v>9332617.0699999966</v>
      </c>
      <c r="F15" s="9">
        <f>SUM('Mountaineer:Charles Town'!F12)</f>
        <v>373304.69999999995</v>
      </c>
      <c r="G15" s="9">
        <f>SUM('Mountaineer:Charles Town'!G12)</f>
        <v>0</v>
      </c>
      <c r="H15" s="9">
        <f>SUM('Mountaineer:Charles Town'!H12)</f>
        <v>8959312.3699999973</v>
      </c>
      <c r="I15" s="9">
        <f>SUM('Mountaineer:Charles Town'!I12)</f>
        <v>0</v>
      </c>
      <c r="J15" s="9">
        <f>SUM('Mountaineer:Charles Town'!J12)</f>
        <v>0</v>
      </c>
      <c r="K15" s="9">
        <f>SUM('Mountaineer:Charles Town'!K12)</f>
        <v>0</v>
      </c>
      <c r="L15" s="22">
        <f>SUM('Mountaineer:Charles Town'!L12)</f>
        <v>8959312.3699999973</v>
      </c>
      <c r="M15" s="9">
        <f>SUM('Mountaineer:Charles Town'!M12)</f>
        <v>4166080.25</v>
      </c>
      <c r="N15" s="9">
        <f>SUM('Mountaineer:Charles Town'!N12)</f>
        <v>2687793.75</v>
      </c>
      <c r="O15" s="9">
        <f>SUM('Mountaineer:Charles Town'!O12)</f>
        <v>1151271.6100000001</v>
      </c>
      <c r="P15" s="9">
        <f>SUM('Mountaineer:Charles Town'!P12)</f>
        <v>564436.68000000005</v>
      </c>
      <c r="Q15" s="9">
        <f>SUM('Mountaineer:Charles Town'!Q12)</f>
        <v>89593.12</v>
      </c>
      <c r="R15" s="9">
        <f>SUM('Mountaineer:Charles Town'!R12)</f>
        <v>60475.360000000001</v>
      </c>
      <c r="S15" s="9">
        <f>SUM('Mountaineer:Charles Town'!S12)</f>
        <v>60475.360000000001</v>
      </c>
      <c r="T15" s="9">
        <f>SUM('Mountaineer:Charles Town'!T12)</f>
        <v>179186.24</v>
      </c>
      <c r="U15" s="9">
        <f>SUM('Mountaineer:Charles Town'!U12)</f>
        <v>0</v>
      </c>
      <c r="V15" s="9">
        <f>SUM('Mountaineer:Charles Town'!V12)</f>
        <v>7661.3485767845468</v>
      </c>
      <c r="W15" s="7">
        <f>SUM('Mountaineer:Charles Town'!W12)</f>
        <v>4406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Mountaineer!A13</f>
        <v>44793</v>
      </c>
      <c r="B16" s="9">
        <f>SUM('Mountaineer:Charles Town'!B13)</f>
        <v>108491056.96000001</v>
      </c>
      <c r="C16" s="9">
        <f>SUM('Mountaineer:Charles Town'!C13)</f>
        <v>97694839.870000005</v>
      </c>
      <c r="D16" s="9">
        <f>SUM('Mountaineer:Charles Town'!D13)</f>
        <v>1544105</v>
      </c>
      <c r="E16" s="9">
        <f>SUM('Mountaineer:Charles Town'!E13)</f>
        <v>9252112.0899999961</v>
      </c>
      <c r="F16" s="9">
        <f>SUM('Mountaineer:Charles Town'!F13)</f>
        <v>370084.47</v>
      </c>
      <c r="G16" s="9">
        <f>SUM('Mountaineer:Charles Town'!G13)</f>
        <v>0</v>
      </c>
      <c r="H16" s="9">
        <f>SUM('Mountaineer:Charles Town'!H13)</f>
        <v>8882027.6199999955</v>
      </c>
      <c r="I16" s="9">
        <f>SUM('Mountaineer:Charles Town'!I13)</f>
        <v>0</v>
      </c>
      <c r="J16" s="9">
        <f>SUM('Mountaineer:Charles Town'!J13)</f>
        <v>0</v>
      </c>
      <c r="K16" s="9">
        <f>SUM('Mountaineer:Charles Town'!K13)</f>
        <v>0</v>
      </c>
      <c r="L16" s="22">
        <f>SUM('Mountaineer:Charles Town'!L13)</f>
        <v>8882027.6199999955</v>
      </c>
      <c r="M16" s="9">
        <f>SUM('Mountaineer:Charles Town'!M13)</f>
        <v>4130142.84</v>
      </c>
      <c r="N16" s="9">
        <f>SUM('Mountaineer:Charles Town'!N13)</f>
        <v>2664608.29</v>
      </c>
      <c r="O16" s="9">
        <f>SUM('Mountaineer:Charles Town'!O13)</f>
        <v>1141340.54</v>
      </c>
      <c r="P16" s="9">
        <f>SUM('Mountaineer:Charles Town'!P13)</f>
        <v>559567.73</v>
      </c>
      <c r="Q16" s="9">
        <f>SUM('Mountaineer:Charles Town'!Q13)</f>
        <v>88820.28</v>
      </c>
      <c r="R16" s="9">
        <f>SUM('Mountaineer:Charles Town'!R13)</f>
        <v>59953.69</v>
      </c>
      <c r="S16" s="9">
        <f>SUM('Mountaineer:Charles Town'!S13)</f>
        <v>59953.69</v>
      </c>
      <c r="T16" s="9">
        <f>SUM('Mountaineer:Charles Town'!T13)</f>
        <v>177640.56</v>
      </c>
      <c r="U16" s="9">
        <f>SUM('Mountaineer:Charles Town'!U13)</f>
        <v>0</v>
      </c>
      <c r="V16" s="9">
        <f>SUM('Mountaineer:Charles Town'!V13)</f>
        <v>7488.3761398868055</v>
      </c>
      <c r="W16" s="7">
        <f>SUM('Mountaineer:Charles Town'!W13)</f>
        <v>4398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Mountaineer!A14</f>
        <v>44800</v>
      </c>
      <c r="B17" s="9">
        <f>SUM('Mountaineer:Charles Town'!B14)</f>
        <v>110674671.72</v>
      </c>
      <c r="C17" s="9">
        <f>SUM('Mountaineer:Charles Town'!C14)</f>
        <v>99226967.199999988</v>
      </c>
      <c r="D17" s="9">
        <f>SUM('Mountaineer:Charles Town'!D14)</f>
        <v>1559634</v>
      </c>
      <c r="E17" s="9">
        <f>SUM('Mountaineer:Charles Town'!E14)</f>
        <v>9888070.5200000051</v>
      </c>
      <c r="F17" s="9">
        <f>SUM('Mountaineer:Charles Town'!F14)</f>
        <v>395522.81</v>
      </c>
      <c r="G17" s="9">
        <f>SUM('Mountaineer:Charles Town'!G14)</f>
        <v>0</v>
      </c>
      <c r="H17" s="9">
        <f>SUM('Mountaineer:Charles Town'!H14)</f>
        <v>9492547.7100000046</v>
      </c>
      <c r="I17" s="9">
        <f>SUM('Mountaineer:Charles Town'!I14)</f>
        <v>0</v>
      </c>
      <c r="J17" s="9">
        <f>SUM('Mountaineer:Charles Town'!J14)</f>
        <v>0</v>
      </c>
      <c r="K17" s="9">
        <f>SUM('Mountaineer:Charles Town'!K14)</f>
        <v>0</v>
      </c>
      <c r="L17" s="22">
        <f>SUM('Mountaineer:Charles Town'!L14)</f>
        <v>9492547.7100000046</v>
      </c>
      <c r="M17" s="9">
        <f>SUM('Mountaineer:Charles Town'!M14)</f>
        <v>4414034.6900000004</v>
      </c>
      <c r="N17" s="9">
        <f>SUM('Mountaineer:Charles Town'!N14)</f>
        <v>2847764.3200000003</v>
      </c>
      <c r="O17" s="9">
        <f>SUM('Mountaineer:Charles Town'!O14)</f>
        <v>1219792.3699999999</v>
      </c>
      <c r="P17" s="9">
        <f>SUM('Mountaineer:Charles Town'!P14)</f>
        <v>598030.51</v>
      </c>
      <c r="Q17" s="9">
        <f>SUM('Mountaineer:Charles Town'!Q14)</f>
        <v>94925.48000000001</v>
      </c>
      <c r="R17" s="9">
        <f>SUM('Mountaineer:Charles Town'!R14)</f>
        <v>64074.69</v>
      </c>
      <c r="S17" s="9">
        <f>SUM('Mountaineer:Charles Town'!S14)</f>
        <v>64074.69</v>
      </c>
      <c r="T17" s="9">
        <f>SUM('Mountaineer:Charles Town'!T14)</f>
        <v>189850.96000000002</v>
      </c>
      <c r="U17" s="9">
        <f>SUM('Mountaineer:Charles Town'!U14)</f>
        <v>0</v>
      </c>
      <c r="V17" s="9">
        <f>SUM('Mountaineer:Charles Town'!V14)</f>
        <v>8004.2195560685568</v>
      </c>
      <c r="W17" s="7">
        <f>SUM('Mountaineer:Charles Town'!W14)</f>
        <v>4424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Mountaineer!A15</f>
        <v>44807</v>
      </c>
      <c r="B18" s="9">
        <f>SUM('Mountaineer:Charles Town'!B15)</f>
        <v>108492361.34999999</v>
      </c>
      <c r="C18" s="9">
        <f>SUM('Mountaineer:Charles Town'!C15)</f>
        <v>97437140.74000001</v>
      </c>
      <c r="D18" s="9">
        <f>SUM('Mountaineer:Charles Town'!D15)</f>
        <v>1514868</v>
      </c>
      <c r="E18" s="9">
        <f>SUM('Mountaineer:Charles Town'!E15)</f>
        <v>9540352.6099999882</v>
      </c>
      <c r="F18" s="9">
        <f>SUM('Mountaineer:Charles Town'!F15)</f>
        <v>381614.08999999997</v>
      </c>
      <c r="G18" s="9">
        <f>SUM('Mountaineer:Charles Town'!G15)</f>
        <v>0</v>
      </c>
      <c r="H18" s="9">
        <f>SUM('Mountaineer:Charles Town'!H15)</f>
        <v>9158738.5199999884</v>
      </c>
      <c r="I18" s="9">
        <f>SUM('Mountaineer:Charles Town'!I15)</f>
        <v>0</v>
      </c>
      <c r="J18" s="9">
        <f>SUM('Mountaineer:Charles Town'!J15)</f>
        <v>0</v>
      </c>
      <c r="K18" s="9">
        <f>SUM('Mountaineer:Charles Town'!K15)</f>
        <v>0</v>
      </c>
      <c r="L18" s="22">
        <f>SUM('Mountaineer:Charles Town'!L15)</f>
        <v>9158738.5199999884</v>
      </c>
      <c r="M18" s="9">
        <f>SUM('Mountaineer:Charles Town'!M15)</f>
        <v>4258813.42</v>
      </c>
      <c r="N18" s="9">
        <f>SUM('Mountaineer:Charles Town'!N15)</f>
        <v>2747621.54</v>
      </c>
      <c r="O18" s="9">
        <f>SUM('Mountaineer:Charles Town'!O15)</f>
        <v>1176897.92</v>
      </c>
      <c r="P18" s="9">
        <f>SUM('Mountaineer:Charles Town'!P15)</f>
        <v>577000.52</v>
      </c>
      <c r="Q18" s="9">
        <f>SUM('Mountaineer:Charles Town'!Q15)</f>
        <v>91587.38</v>
      </c>
      <c r="R18" s="9">
        <f>SUM('Mountaineer:Charles Town'!R15)</f>
        <v>61821.49</v>
      </c>
      <c r="S18" s="9">
        <f>SUM('Mountaineer:Charles Town'!S15)</f>
        <v>61821.49</v>
      </c>
      <c r="T18" s="9">
        <f>SUM('Mountaineer:Charles Town'!T15)</f>
        <v>150537.85999999999</v>
      </c>
      <c r="U18" s="9">
        <f>SUM('Mountaineer:Charles Town'!U15)</f>
        <v>32636.9</v>
      </c>
      <c r="V18" s="9">
        <f>SUM('Mountaineer:Charles Town'!V15)</f>
        <v>7612.8861625548325</v>
      </c>
      <c r="W18" s="7">
        <f>SUM('Mountaineer:Charles Town'!W15)</f>
        <v>4474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Mountaineer!A16</f>
        <v>44814</v>
      </c>
      <c r="B19" s="9">
        <f>SUM('Mountaineer:Charles Town'!B16)</f>
        <v>117725807.66999999</v>
      </c>
      <c r="C19" s="9">
        <f>SUM('Mountaineer:Charles Town'!C16)</f>
        <v>105805547.02000001</v>
      </c>
      <c r="D19" s="9">
        <f>SUM('Mountaineer:Charles Town'!D16)</f>
        <v>1764627</v>
      </c>
      <c r="E19" s="9">
        <f>SUM('Mountaineer:Charles Town'!E16)</f>
        <v>10155633.649999989</v>
      </c>
      <c r="F19" s="9">
        <f>SUM('Mountaineer:Charles Town'!F16)</f>
        <v>406225.35</v>
      </c>
      <c r="G19" s="9">
        <f>SUM('Mountaineer:Charles Town'!G16)</f>
        <v>0</v>
      </c>
      <c r="H19" s="9">
        <f>SUM('Mountaineer:Charles Town'!H16)</f>
        <v>9749408.2999999896</v>
      </c>
      <c r="I19" s="9">
        <f>SUM('Mountaineer:Charles Town'!I16)</f>
        <v>0</v>
      </c>
      <c r="J19" s="9">
        <f>SUM('Mountaineer:Charles Town'!J16)</f>
        <v>0</v>
      </c>
      <c r="K19" s="9">
        <f>SUM('Mountaineer:Charles Town'!K16)</f>
        <v>0</v>
      </c>
      <c r="L19" s="22">
        <f>SUM('Mountaineer:Charles Town'!L16)</f>
        <v>9749408.2999999896</v>
      </c>
      <c r="M19" s="9">
        <f>SUM('Mountaineer:Charles Town'!M16)</f>
        <v>4533474.8599999994</v>
      </c>
      <c r="N19" s="9">
        <f>SUM('Mountaineer:Charles Town'!N16)</f>
        <v>2924822.52</v>
      </c>
      <c r="O19" s="9">
        <f>SUM('Mountaineer:Charles Town'!O16)</f>
        <v>1252798.97</v>
      </c>
      <c r="P19" s="9">
        <f>SUM('Mountaineer:Charles Town'!P16)</f>
        <v>614212.71</v>
      </c>
      <c r="Q19" s="9">
        <f>SUM('Mountaineer:Charles Town'!Q16)</f>
        <v>97494.079999999987</v>
      </c>
      <c r="R19" s="9">
        <f>SUM('Mountaineer:Charles Town'!R16)</f>
        <v>65808.5</v>
      </c>
      <c r="S19" s="9">
        <f>SUM('Mountaineer:Charles Town'!S16)</f>
        <v>65808.5</v>
      </c>
      <c r="T19" s="9">
        <f>SUM('Mountaineer:Charles Town'!T16)</f>
        <v>141322.4</v>
      </c>
      <c r="U19" s="9">
        <f>SUM('Mountaineer:Charles Town'!U16)</f>
        <v>53665.759999999995</v>
      </c>
      <c r="V19" s="9">
        <f>SUM('Mountaineer:Charles Town'!V16)</f>
        <v>8170.2934922513559</v>
      </c>
      <c r="W19" s="7">
        <f>SUM('Mountaineer:Charles Town'!W16)</f>
        <v>4479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Mountaineer!A17</f>
        <v>44821</v>
      </c>
      <c r="B20" s="9">
        <f>SUM('Mountaineer:Charles Town'!B17)</f>
        <v>103601747.34999999</v>
      </c>
      <c r="C20" s="9">
        <f>SUM('Mountaineer:Charles Town'!C17)</f>
        <v>93233016.450000003</v>
      </c>
      <c r="D20" s="9">
        <f>SUM('Mountaineer:Charles Town'!D17)</f>
        <v>1506984</v>
      </c>
      <c r="E20" s="9">
        <f>SUM('Mountaineer:Charles Town'!E17)</f>
        <v>8861746.8999999911</v>
      </c>
      <c r="F20" s="9">
        <f>SUM('Mountaineer:Charles Town'!F17)</f>
        <v>354469.87</v>
      </c>
      <c r="G20" s="9">
        <f>SUM('Mountaineer:Charles Town'!G17)</f>
        <v>0</v>
      </c>
      <c r="H20" s="9">
        <f>SUM('Mountaineer:Charles Town'!H17)</f>
        <v>8507277.0299999919</v>
      </c>
      <c r="I20" s="9">
        <f>SUM('Mountaineer:Charles Town'!I17)</f>
        <v>0</v>
      </c>
      <c r="J20" s="9">
        <f>SUM('Mountaineer:Charles Town'!J17)</f>
        <v>0</v>
      </c>
      <c r="K20" s="9">
        <f>SUM('Mountaineer:Charles Town'!K17)</f>
        <v>0</v>
      </c>
      <c r="L20" s="22">
        <f>SUM('Mountaineer:Charles Town'!L17)</f>
        <v>8507277.0299999919</v>
      </c>
      <c r="M20" s="9">
        <f>SUM('Mountaineer:Charles Town'!M17)</f>
        <v>3955883.83</v>
      </c>
      <c r="N20" s="9">
        <f>SUM('Mountaineer:Charles Town'!N17)</f>
        <v>2552183.0299999998</v>
      </c>
      <c r="O20" s="9">
        <f>SUM('Mountaineer:Charles Town'!O17)</f>
        <v>1093185.1299999999</v>
      </c>
      <c r="P20" s="9">
        <f>SUM('Mountaineer:Charles Town'!P17)</f>
        <v>535958.46</v>
      </c>
      <c r="Q20" s="9">
        <f>SUM('Mountaineer:Charles Town'!Q17)</f>
        <v>85072.78</v>
      </c>
      <c r="R20" s="9">
        <f>SUM('Mountaineer:Charles Town'!R17)</f>
        <v>57424.119999999995</v>
      </c>
      <c r="S20" s="9">
        <f>SUM('Mountaineer:Charles Town'!S17)</f>
        <v>57424.119999999995</v>
      </c>
      <c r="T20" s="9">
        <f>SUM('Mountaineer:Charles Town'!T17)</f>
        <v>124813.42</v>
      </c>
      <c r="U20" s="9">
        <f>SUM('Mountaineer:Charles Town'!U17)</f>
        <v>45332.14</v>
      </c>
      <c r="V20" s="9">
        <f>SUM('Mountaineer:Charles Town'!V17)</f>
        <v>7174.5761613166687</v>
      </c>
      <c r="W20" s="7">
        <f>SUM('Mountaineer:Charles Town'!W17)</f>
        <v>4489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Mountaineer!A18</f>
        <v>44828</v>
      </c>
      <c r="B21" s="9">
        <f>SUM('Mountaineer:Charles Town'!B18)</f>
        <v>101824978.31</v>
      </c>
      <c r="C21" s="9">
        <f>SUM('Mountaineer:Charles Town'!C18)</f>
        <v>91548029.130800009</v>
      </c>
      <c r="D21" s="9">
        <f>SUM('Mountaineer:Charles Town'!D18)</f>
        <v>1485195</v>
      </c>
      <c r="E21" s="9">
        <f>SUM('Mountaineer:Charles Town'!E18)</f>
        <v>8791754.1792000011</v>
      </c>
      <c r="F21" s="9">
        <f>SUM('Mountaineer:Charles Town'!F18)</f>
        <v>351670.18</v>
      </c>
      <c r="G21" s="9">
        <f>SUM('Mountaineer:Charles Town'!G18)</f>
        <v>0</v>
      </c>
      <c r="H21" s="9">
        <f>SUM('Mountaineer:Charles Town'!H18)</f>
        <v>8440083.9992000014</v>
      </c>
      <c r="I21" s="9">
        <f>SUM('Mountaineer:Charles Town'!I18)</f>
        <v>0</v>
      </c>
      <c r="J21" s="9">
        <f>SUM('Mountaineer:Charles Town'!J18)</f>
        <v>0</v>
      </c>
      <c r="K21" s="9">
        <f>SUM('Mountaineer:Charles Town'!K18)</f>
        <v>0</v>
      </c>
      <c r="L21" s="22">
        <f>SUM('Mountaineer:Charles Town'!L18)</f>
        <v>8440083.9992000014</v>
      </c>
      <c r="M21" s="9">
        <f>SUM('Mountaineer:Charles Town'!M18)</f>
        <v>3924639.0599999996</v>
      </c>
      <c r="N21" s="9">
        <f>SUM('Mountaineer:Charles Town'!N18)</f>
        <v>2532025.08</v>
      </c>
      <c r="O21" s="9">
        <f>SUM('Mountaineer:Charles Town'!O18)</f>
        <v>1084550.8700000001</v>
      </c>
      <c r="P21" s="9">
        <f>SUM('Mountaineer:Charles Town'!P18)</f>
        <v>531725.29</v>
      </c>
      <c r="Q21" s="9">
        <f>SUM('Mountaineer:Charles Town'!Q18)</f>
        <v>84400.86</v>
      </c>
      <c r="R21" s="9">
        <f>SUM('Mountaineer:Charles Town'!R18)</f>
        <v>56970.559999999998</v>
      </c>
      <c r="S21" s="9">
        <f>SUM('Mountaineer:Charles Town'!S18)</f>
        <v>56970.559999999998</v>
      </c>
      <c r="T21" s="9">
        <f>SUM('Mountaineer:Charles Town'!T18)</f>
        <v>122622.22</v>
      </c>
      <c r="U21" s="9">
        <f>SUM('Mountaineer:Charles Town'!U18)</f>
        <v>46179.5</v>
      </c>
      <c r="V21" s="9">
        <f>SUM('Mountaineer:Charles Town'!V18)</f>
        <v>7262.3612266578039</v>
      </c>
      <c r="W21" s="7">
        <f>SUM('Mountaineer:Charles Town'!W18)</f>
        <v>4396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Mountaineer!A19</f>
        <v>44835</v>
      </c>
      <c r="B22" s="9">
        <f>SUM('Mountaineer:Charles Town'!B19)</f>
        <v>107125239.94999999</v>
      </c>
      <c r="C22" s="9">
        <f>SUM('Mountaineer:Charles Town'!C19)</f>
        <v>96098816.25</v>
      </c>
      <c r="D22" s="9">
        <f>SUM('Mountaineer:Charles Town'!D19)</f>
        <v>1546940</v>
      </c>
      <c r="E22" s="9">
        <f>SUM('Mountaineer:Charles Town'!E19)</f>
        <v>9479483.700000003</v>
      </c>
      <c r="F22" s="9">
        <f>SUM('Mountaineer:Charles Town'!F19)</f>
        <v>379179.36</v>
      </c>
      <c r="G22" s="9">
        <f>SUM('Mountaineer:Charles Town'!G19)</f>
        <v>0</v>
      </c>
      <c r="H22" s="9">
        <f>SUM('Mountaineer:Charles Town'!H19)</f>
        <v>9100304.3400000036</v>
      </c>
      <c r="I22" s="9">
        <f>SUM('Mountaineer:Charles Town'!I19)</f>
        <v>0</v>
      </c>
      <c r="J22" s="9">
        <f>SUM('Mountaineer:Charles Town'!J19)</f>
        <v>0</v>
      </c>
      <c r="K22" s="9">
        <f>SUM('Mountaineer:Charles Town'!K19)</f>
        <v>0</v>
      </c>
      <c r="L22" s="22">
        <f>SUM('Mountaineer:Charles Town'!L19)</f>
        <v>9100304.3400000036</v>
      </c>
      <c r="M22" s="9">
        <f>SUM('Mountaineer:Charles Town'!M19)</f>
        <v>4231641.5199999996</v>
      </c>
      <c r="N22" s="9">
        <f>SUM('Mountaineer:Charles Town'!N19)</f>
        <v>2730091.2199999997</v>
      </c>
      <c r="O22" s="9">
        <f>SUM('Mountaineer:Charles Town'!O19)</f>
        <v>1169389.1000000001</v>
      </c>
      <c r="P22" s="9">
        <f>SUM('Mountaineer:Charles Town'!P19)</f>
        <v>573319.17999999993</v>
      </c>
      <c r="Q22" s="9">
        <f>SUM('Mountaineer:Charles Town'!Q19)</f>
        <v>91003.06</v>
      </c>
      <c r="R22" s="9">
        <f>SUM('Mountaineer:Charles Town'!R19)</f>
        <v>61427.069999999992</v>
      </c>
      <c r="S22" s="9">
        <f>SUM('Mountaineer:Charles Town'!S19)</f>
        <v>61427.069999999992</v>
      </c>
      <c r="T22" s="9">
        <f>SUM('Mountaineer:Charles Town'!T19)</f>
        <v>132052.74</v>
      </c>
      <c r="U22" s="9">
        <f>SUM('Mountaineer:Charles Town'!U19)</f>
        <v>49953.380000000005</v>
      </c>
      <c r="V22" s="9">
        <f>SUM('Mountaineer:Charles Town'!V19)</f>
        <v>7770.2913469902833</v>
      </c>
      <c r="W22" s="7">
        <f>SUM('Mountaineer:Charles Town'!W19)</f>
        <v>4413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Mountaineer!A20</f>
        <v>44842</v>
      </c>
      <c r="B23" s="9">
        <f>SUM('Mountaineer:Charles Town'!B20)</f>
        <v>105829353.06</v>
      </c>
      <c r="C23" s="9">
        <f>SUM('Mountaineer:Charles Town'!C20)</f>
        <v>95461011.390000015</v>
      </c>
      <c r="D23" s="9">
        <f>SUM('Mountaineer:Charles Town'!D20)</f>
        <v>1512512</v>
      </c>
      <c r="E23" s="9">
        <f>SUM('Mountaineer:Charles Town'!E20)</f>
        <v>8855829.6699999999</v>
      </c>
      <c r="F23" s="9">
        <f>SUM('Mountaineer:Charles Town'!F20)</f>
        <v>354233.19</v>
      </c>
      <c r="G23" s="9">
        <f>SUM('Mountaineer:Charles Town'!G20)</f>
        <v>0</v>
      </c>
      <c r="H23" s="9">
        <f>SUM('Mountaineer:Charles Town'!H20)</f>
        <v>8501596.4800000004</v>
      </c>
      <c r="I23" s="9">
        <f>SUM('Mountaineer:Charles Town'!I20)</f>
        <v>0</v>
      </c>
      <c r="J23" s="9">
        <f>SUM('Mountaineer:Charles Town'!J20)</f>
        <v>0</v>
      </c>
      <c r="K23" s="9">
        <f>SUM('Mountaineer:Charles Town'!K20)</f>
        <v>0</v>
      </c>
      <c r="L23" s="22">
        <f>SUM('Mountaineer:Charles Town'!L20)</f>
        <v>8501596.4800000004</v>
      </c>
      <c r="M23" s="9">
        <f>SUM('Mountaineer:Charles Town'!M20)</f>
        <v>3953242.36</v>
      </c>
      <c r="N23" s="9">
        <f>SUM('Mountaineer:Charles Town'!N20)</f>
        <v>2550478.88</v>
      </c>
      <c r="O23" s="9">
        <f>SUM('Mountaineer:Charles Town'!O20)</f>
        <v>1092455.17</v>
      </c>
      <c r="P23" s="9">
        <f>SUM('Mountaineer:Charles Town'!P20)</f>
        <v>535600.57000000007</v>
      </c>
      <c r="Q23" s="9">
        <f>SUM('Mountaineer:Charles Town'!Q20)</f>
        <v>85015.98000000001</v>
      </c>
      <c r="R23" s="9">
        <f>SUM('Mountaineer:Charles Town'!R20)</f>
        <v>57385.78</v>
      </c>
      <c r="S23" s="9">
        <f>SUM('Mountaineer:Charles Town'!S20)</f>
        <v>57385.78</v>
      </c>
      <c r="T23" s="9">
        <f>SUM('Mountaineer:Charles Town'!T20)</f>
        <v>126528.54000000001</v>
      </c>
      <c r="U23" s="9">
        <f>SUM('Mountaineer:Charles Town'!U20)</f>
        <v>43503.420000000006</v>
      </c>
      <c r="V23" s="9">
        <f>SUM('Mountaineer:Charles Town'!V20)</f>
        <v>7331.2189885299058</v>
      </c>
      <c r="W23" s="7">
        <f>SUM('Mountaineer:Charles Town'!W20)</f>
        <v>4455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Mountaineer!A21</f>
        <v>44849</v>
      </c>
      <c r="B24" s="9">
        <f>SUM('Mountaineer:Charles Town'!B21)</f>
        <v>107974782.42</v>
      </c>
      <c r="C24" s="9">
        <f>SUM('Mountaineer:Charles Town'!C21)</f>
        <v>96965671.370000005</v>
      </c>
      <c r="D24" s="9">
        <f>SUM('Mountaineer:Charles Town'!D21)</f>
        <v>1680305</v>
      </c>
      <c r="E24" s="9">
        <f>SUM('Mountaineer:Charles Town'!E21)</f>
        <v>9328806.0499999989</v>
      </c>
      <c r="F24" s="9">
        <f>SUM('Mountaineer:Charles Town'!F21)</f>
        <v>373152.25</v>
      </c>
      <c r="G24" s="9">
        <f>SUM('Mountaineer:Charles Town'!G21)</f>
        <v>0</v>
      </c>
      <c r="H24" s="9">
        <f>SUM('Mountaineer:Charles Town'!H21)</f>
        <v>8955653.7999999989</v>
      </c>
      <c r="I24" s="9">
        <f>SUM('Mountaineer:Charles Town'!I21)</f>
        <v>0</v>
      </c>
      <c r="J24" s="9">
        <f>SUM('Mountaineer:Charles Town'!J21)</f>
        <v>0</v>
      </c>
      <c r="K24" s="9">
        <f>SUM('Mountaineer:Charles Town'!K21)</f>
        <v>0</v>
      </c>
      <c r="L24" s="22">
        <f>SUM('Mountaineer:Charles Town'!L21)</f>
        <v>8955653.7999999989</v>
      </c>
      <c r="M24" s="9">
        <f>SUM('Mountaineer:Charles Town'!M21)</f>
        <v>4164379.0100000002</v>
      </c>
      <c r="N24" s="9">
        <f>SUM('Mountaineer:Charles Town'!N21)</f>
        <v>2686696.15</v>
      </c>
      <c r="O24" s="9">
        <f>SUM('Mountaineer:Charles Town'!O21)</f>
        <v>1150801.5</v>
      </c>
      <c r="P24" s="9">
        <f>SUM('Mountaineer:Charles Town'!P21)</f>
        <v>564206.19999999995</v>
      </c>
      <c r="Q24" s="9">
        <f>SUM('Mountaineer:Charles Town'!Q21)</f>
        <v>89556.540000000008</v>
      </c>
      <c r="R24" s="9">
        <f>SUM('Mountaineer:Charles Town'!R21)</f>
        <v>60450.659999999996</v>
      </c>
      <c r="S24" s="9">
        <f>SUM('Mountaineer:Charles Town'!S21)</f>
        <v>60450.659999999996</v>
      </c>
      <c r="T24" s="9">
        <f>SUM('Mountaineer:Charles Town'!T21)</f>
        <v>130890.38</v>
      </c>
      <c r="U24" s="9">
        <f>SUM('Mountaineer:Charles Town'!U21)</f>
        <v>48222.700000000004</v>
      </c>
      <c r="V24" s="9">
        <f>SUM('Mountaineer:Charles Town'!V21)</f>
        <v>7730.0146705738371</v>
      </c>
      <c r="W24" s="7">
        <f>SUM('Mountaineer:Charles Town'!W21)</f>
        <v>4407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Mountaineer!A22</f>
        <v>44856</v>
      </c>
      <c r="B25" s="9">
        <f>SUM('Mountaineer:Charles Town'!B22)</f>
        <v>103655938.55000001</v>
      </c>
      <c r="C25" s="9">
        <f>SUM('Mountaineer:Charles Town'!C22)</f>
        <v>93352395.150000006</v>
      </c>
      <c r="D25" s="9">
        <f>SUM('Mountaineer:Charles Town'!D22)</f>
        <v>1565649</v>
      </c>
      <c r="E25" s="9">
        <f>SUM('Mountaineer:Charles Town'!E22)</f>
        <v>8737894.4000000022</v>
      </c>
      <c r="F25" s="9">
        <f>SUM('Mountaineer:Charles Town'!F22)</f>
        <v>349515.74</v>
      </c>
      <c r="G25" s="9">
        <f>SUM('Mountaineer:Charles Town'!G22)</f>
        <v>0</v>
      </c>
      <c r="H25" s="9">
        <f>SUM('Mountaineer:Charles Town'!H22)</f>
        <v>8388378.660000002</v>
      </c>
      <c r="I25" s="9">
        <f>SUM('Mountaineer:Charles Town'!I22)</f>
        <v>0</v>
      </c>
      <c r="J25" s="9">
        <f>SUM('Mountaineer:Charles Town'!J22)</f>
        <v>0</v>
      </c>
      <c r="K25" s="9">
        <f>SUM('Mountaineer:Charles Town'!K22)</f>
        <v>0</v>
      </c>
      <c r="L25" s="22">
        <f>SUM('Mountaineer:Charles Town'!L22)</f>
        <v>8388378.660000002</v>
      </c>
      <c r="M25" s="9">
        <f>SUM('Mountaineer:Charles Town'!M22)</f>
        <v>3900596.0799999996</v>
      </c>
      <c r="N25" s="9">
        <f>SUM('Mountaineer:Charles Town'!N22)</f>
        <v>2516513.63</v>
      </c>
      <c r="O25" s="9">
        <f>SUM('Mountaineer:Charles Town'!O22)</f>
        <v>1077906.6299999999</v>
      </c>
      <c r="P25" s="9">
        <f>SUM('Mountaineer:Charles Town'!P22)</f>
        <v>528467.86</v>
      </c>
      <c r="Q25" s="9">
        <f>SUM('Mountaineer:Charles Town'!Q22)</f>
        <v>83883.78</v>
      </c>
      <c r="R25" s="9">
        <f>SUM('Mountaineer:Charles Town'!R22)</f>
        <v>56621.56</v>
      </c>
      <c r="S25" s="9">
        <f>SUM('Mountaineer:Charles Town'!S22)</f>
        <v>56621.56</v>
      </c>
      <c r="T25" s="9">
        <f>SUM('Mountaineer:Charles Town'!T22)</f>
        <v>119918.82</v>
      </c>
      <c r="U25" s="9">
        <f>SUM('Mountaineer:Charles Town'!U22)</f>
        <v>47848.74</v>
      </c>
      <c r="V25" s="9">
        <f>SUM('Mountaineer:Charles Town'!V22)</f>
        <v>7098.501374937412</v>
      </c>
      <c r="W25" s="7">
        <f>SUM('Mountaineer:Charles Town'!W22)</f>
        <v>4405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Mountaineer!A23</f>
        <v>44863</v>
      </c>
      <c r="B26" s="9">
        <f>SUM('Mountaineer:Charles Town'!B23)</f>
        <v>104674472</v>
      </c>
      <c r="C26" s="9">
        <f>SUM('Mountaineer:Charles Town'!C23)</f>
        <v>94084734.039999992</v>
      </c>
      <c r="D26" s="9">
        <f>SUM('Mountaineer:Charles Town'!D23)</f>
        <v>1591856</v>
      </c>
      <c r="E26" s="9">
        <f>SUM('Mountaineer:Charles Town'!E23)</f>
        <v>8997881.9600000065</v>
      </c>
      <c r="F26" s="9">
        <f>SUM('Mountaineer:Charles Town'!F23)</f>
        <v>359915.27</v>
      </c>
      <c r="G26" s="9">
        <f>SUM('Mountaineer:Charles Town'!G23)</f>
        <v>0</v>
      </c>
      <c r="H26" s="9">
        <f>SUM('Mountaineer:Charles Town'!H23)</f>
        <v>8637966.6900000051</v>
      </c>
      <c r="I26" s="9">
        <f>SUM('Mountaineer:Charles Town'!I23)</f>
        <v>0</v>
      </c>
      <c r="J26" s="9">
        <f>SUM('Mountaineer:Charles Town'!J23)</f>
        <v>0</v>
      </c>
      <c r="K26" s="9">
        <f>SUM('Mountaineer:Charles Town'!K23)</f>
        <v>0</v>
      </c>
      <c r="L26" s="22">
        <f>SUM('Mountaineer:Charles Town'!L23)</f>
        <v>8637966.6900000051</v>
      </c>
      <c r="M26" s="9">
        <f>SUM('Mountaineer:Charles Town'!M23)</f>
        <v>4016654.51</v>
      </c>
      <c r="N26" s="9">
        <f>SUM('Mountaineer:Charles Town'!N23)</f>
        <v>2591390.04</v>
      </c>
      <c r="O26" s="9">
        <f>SUM('Mountaineer:Charles Town'!O23)</f>
        <v>1109978.72</v>
      </c>
      <c r="P26" s="9">
        <f>SUM('Mountaineer:Charles Town'!P23)</f>
        <v>544191.89999999991</v>
      </c>
      <c r="Q26" s="9">
        <f>SUM('Mountaineer:Charles Town'!Q23)</f>
        <v>86379.66</v>
      </c>
      <c r="R26" s="9">
        <f>SUM('Mountaineer:Charles Town'!R23)</f>
        <v>58306.270000000004</v>
      </c>
      <c r="S26" s="9">
        <f>SUM('Mountaineer:Charles Town'!S23)</f>
        <v>58306.270000000004</v>
      </c>
      <c r="T26" s="9">
        <f>SUM('Mountaineer:Charles Town'!T23)</f>
        <v>123938.46</v>
      </c>
      <c r="U26" s="9">
        <f>SUM('Mountaineer:Charles Town'!U23)</f>
        <v>48820.86</v>
      </c>
      <c r="V26" s="9">
        <f>SUM('Mountaineer:Charles Town'!V23)</f>
        <v>7264.0102622856775</v>
      </c>
      <c r="W26" s="7">
        <f>SUM('Mountaineer:Charles Town'!W23)</f>
        <v>4426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Mountaineer!A24</f>
        <v>44870</v>
      </c>
      <c r="B27" s="9">
        <f>SUM('Mountaineer:Charles Town'!B24)</f>
        <v>105701746.09999999</v>
      </c>
      <c r="C27" s="9">
        <f>SUM('Mountaineer:Charles Town'!C24)</f>
        <v>94941417.50999999</v>
      </c>
      <c r="D27" s="9">
        <f>SUM('Mountaineer:Charles Town'!D24)</f>
        <v>1598851</v>
      </c>
      <c r="E27" s="9">
        <f>SUM('Mountaineer:Charles Town'!E24)</f>
        <v>9161477.5900000054</v>
      </c>
      <c r="F27" s="9">
        <f>SUM('Mountaineer:Charles Town'!F24)</f>
        <v>366459.1</v>
      </c>
      <c r="G27" s="9">
        <f>SUM('Mountaineer:Charles Town'!G24)</f>
        <v>0</v>
      </c>
      <c r="H27" s="9">
        <f>SUM('Mountaineer:Charles Town'!H24)</f>
        <v>8795018.4900000058</v>
      </c>
      <c r="I27" s="9">
        <f>SUM('Mountaineer:Charles Town'!I24)</f>
        <v>0</v>
      </c>
      <c r="J27" s="9">
        <f>SUM('Mountaineer:Charles Town'!J24)</f>
        <v>0</v>
      </c>
      <c r="K27" s="9">
        <f>SUM('Mountaineer:Charles Town'!K24)</f>
        <v>0</v>
      </c>
      <c r="L27" s="22">
        <f>SUM('Mountaineer:Charles Town'!L24)</f>
        <v>8795018.4900000058</v>
      </c>
      <c r="M27" s="9">
        <f>SUM('Mountaineer:Charles Town'!M24)</f>
        <v>4089683.6</v>
      </c>
      <c r="N27" s="9">
        <f>SUM('Mountaineer:Charles Town'!N24)</f>
        <v>2638505.59</v>
      </c>
      <c r="O27" s="9">
        <f>SUM('Mountaineer:Charles Town'!O24)</f>
        <v>1130159.8500000001</v>
      </c>
      <c r="P27" s="9">
        <f>SUM('Mountaineer:Charles Town'!P24)</f>
        <v>554086.16999999993</v>
      </c>
      <c r="Q27" s="9">
        <f>SUM('Mountaineer:Charles Town'!Q24)</f>
        <v>87950.18</v>
      </c>
      <c r="R27" s="9">
        <f>SUM('Mountaineer:Charles Town'!R24)</f>
        <v>59366.369999999995</v>
      </c>
      <c r="S27" s="9">
        <f>SUM('Mountaineer:Charles Town'!S24)</f>
        <v>59366.369999999995</v>
      </c>
      <c r="T27" s="9">
        <f>SUM('Mountaineer:Charles Town'!T24)</f>
        <v>128287.36</v>
      </c>
      <c r="U27" s="9">
        <f>SUM('Mountaineer:Charles Town'!U24)</f>
        <v>47613</v>
      </c>
      <c r="V27" s="9">
        <f>SUM('Mountaineer:Charles Town'!V24)</f>
        <v>7665.7361085944176</v>
      </c>
      <c r="W27" s="7">
        <f>SUM('Mountaineer:Charles Town'!W24)</f>
        <v>4351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Mountaineer!A25</f>
        <v>44877</v>
      </c>
      <c r="B28" s="9">
        <f>SUM('Mountaineer:Charles Town'!B25)</f>
        <v>110661390.13</v>
      </c>
      <c r="C28" s="9">
        <f>SUM('Mountaineer:Charles Town'!C25)</f>
        <v>99473309.780000001</v>
      </c>
      <c r="D28" s="9">
        <f>SUM('Mountaineer:Charles Town'!D25)</f>
        <v>1742083</v>
      </c>
      <c r="E28" s="9">
        <f>SUM('Mountaineer:Charles Town'!E25)</f>
        <v>9445997.3499999996</v>
      </c>
      <c r="F28" s="9">
        <f>SUM('Mountaineer:Charles Town'!F25)</f>
        <v>377839.88</v>
      </c>
      <c r="G28" s="9">
        <f>SUM('Mountaineer:Charles Town'!G25)</f>
        <v>0</v>
      </c>
      <c r="H28" s="9">
        <f>SUM('Mountaineer:Charles Town'!H25)</f>
        <v>9068157.4699999988</v>
      </c>
      <c r="I28" s="9">
        <f>SUM('Mountaineer:Charles Town'!I25)</f>
        <v>0</v>
      </c>
      <c r="J28" s="9">
        <f>SUM('Mountaineer:Charles Town'!J25)</f>
        <v>0</v>
      </c>
      <c r="K28" s="9">
        <f>SUM('Mountaineer:Charles Town'!K25)</f>
        <v>0</v>
      </c>
      <c r="L28" s="22">
        <f>SUM('Mountaineer:Charles Town'!L25)</f>
        <v>9068157.4699999988</v>
      </c>
      <c r="M28" s="9">
        <f>SUM('Mountaineer:Charles Town'!M25)</f>
        <v>4216693.21</v>
      </c>
      <c r="N28" s="9">
        <f>SUM('Mountaineer:Charles Town'!N25)</f>
        <v>2720447.3</v>
      </c>
      <c r="O28" s="9">
        <f>SUM('Mountaineer:Charles Town'!O25)</f>
        <v>1165258.24</v>
      </c>
      <c r="P28" s="9">
        <f>SUM('Mountaineer:Charles Town'!P25)</f>
        <v>571293.92000000004</v>
      </c>
      <c r="Q28" s="9">
        <f>SUM('Mountaineer:Charles Town'!Q25)</f>
        <v>90681.56</v>
      </c>
      <c r="R28" s="9">
        <f>SUM('Mountaineer:Charles Town'!R25)</f>
        <v>61210.06</v>
      </c>
      <c r="S28" s="9">
        <f>SUM('Mountaineer:Charles Town'!S25)</f>
        <v>61210.06</v>
      </c>
      <c r="T28" s="9">
        <f>SUM('Mountaineer:Charles Town'!T25)</f>
        <v>130810.54</v>
      </c>
      <c r="U28" s="9">
        <f>SUM('Mountaineer:Charles Town'!U25)</f>
        <v>50552.58</v>
      </c>
      <c r="V28" s="9">
        <f>SUM('Mountaineer:Charles Town'!V25)</f>
        <v>7833.610662190491</v>
      </c>
      <c r="W28" s="7">
        <f>SUM('Mountaineer:Charles Town'!W25)</f>
        <v>4328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Mountaineer!A26</f>
        <v>44884</v>
      </c>
      <c r="B29" s="9">
        <f>SUM('Mountaineer:Charles Town'!B26)</f>
        <v>95263664.930000007</v>
      </c>
      <c r="C29" s="9">
        <f>SUM('Mountaineer:Charles Town'!C26)</f>
        <v>85349045.799999997</v>
      </c>
      <c r="D29" s="9">
        <f>SUM('Mountaineer:Charles Town'!D26)</f>
        <v>1503958</v>
      </c>
      <c r="E29" s="9">
        <f>SUM('Mountaineer:Charles Town'!E26)</f>
        <v>8410661.1300000083</v>
      </c>
      <c r="F29" s="9">
        <f>SUM('Mountaineer:Charles Town'!F26)</f>
        <v>336426.43999999994</v>
      </c>
      <c r="G29" s="9">
        <f>SUM('Mountaineer:Charles Town'!G26)</f>
        <v>0</v>
      </c>
      <c r="H29" s="9">
        <f>SUM('Mountaineer:Charles Town'!H26)</f>
        <v>8074234.6900000079</v>
      </c>
      <c r="I29" s="9">
        <f>SUM('Mountaineer:Charles Town'!I26)</f>
        <v>0</v>
      </c>
      <c r="J29" s="9">
        <f>SUM('Mountaineer:Charles Town'!J26)</f>
        <v>0</v>
      </c>
      <c r="K29" s="9">
        <f>SUM('Mountaineer:Charles Town'!K26)</f>
        <v>0</v>
      </c>
      <c r="L29" s="22">
        <f>SUM('Mountaineer:Charles Town'!L26)</f>
        <v>8074234.6900000079</v>
      </c>
      <c r="M29" s="9">
        <f>SUM('Mountaineer:Charles Town'!M26)</f>
        <v>3754519.13</v>
      </c>
      <c r="N29" s="9">
        <f>SUM('Mountaineer:Charles Town'!N26)</f>
        <v>2422270.34</v>
      </c>
      <c r="O29" s="9">
        <f>SUM('Mountaineer:Charles Town'!O26)</f>
        <v>1037539.2</v>
      </c>
      <c r="P29" s="9">
        <f>SUM('Mountaineer:Charles Town'!P26)</f>
        <v>508676.77999999997</v>
      </c>
      <c r="Q29" s="9">
        <f>SUM('Mountaineer:Charles Town'!Q26)</f>
        <v>80742.36</v>
      </c>
      <c r="R29" s="9">
        <f>SUM('Mountaineer:Charles Town'!R26)</f>
        <v>54501.08</v>
      </c>
      <c r="S29" s="9">
        <f>SUM('Mountaineer:Charles Town'!S26)</f>
        <v>54501.08</v>
      </c>
      <c r="T29" s="9">
        <f>SUM('Mountaineer:Charles Town'!T26)</f>
        <v>115566.06</v>
      </c>
      <c r="U29" s="9">
        <f>SUM('Mountaineer:Charles Town'!U26)</f>
        <v>45918.66</v>
      </c>
      <c r="V29" s="9">
        <f>SUM('Mountaineer:Charles Town'!V26)</f>
        <v>7036.4839061313078</v>
      </c>
      <c r="W29" s="7">
        <f>SUM('Mountaineer:Charles Town'!W26)</f>
        <v>4279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Mountaineer!A27</f>
        <v>44891</v>
      </c>
      <c r="B30" s="9">
        <f>SUM('Mountaineer:Charles Town'!B27)</f>
        <v>113316181.10999998</v>
      </c>
      <c r="C30" s="9">
        <f>SUM('Mountaineer:Charles Town'!C27)</f>
        <v>101548784.36</v>
      </c>
      <c r="D30" s="9">
        <f>SUM('Mountaineer:Charles Town'!D27)</f>
        <v>1686234</v>
      </c>
      <c r="E30" s="9">
        <f>SUM('Mountaineer:Charles Town'!E27)</f>
        <v>10081162.750000002</v>
      </c>
      <c r="F30" s="9">
        <f>SUM('Mountaineer:Charles Town'!F27)</f>
        <v>403246.52</v>
      </c>
      <c r="G30" s="9">
        <f>SUM('Mountaineer:Charles Town'!G27)</f>
        <v>0</v>
      </c>
      <c r="H30" s="9">
        <f>SUM('Mountaineer:Charles Town'!H27)</f>
        <v>9677916.2300000023</v>
      </c>
      <c r="I30" s="9">
        <f>SUM('Mountaineer:Charles Town'!I27)</f>
        <v>0</v>
      </c>
      <c r="J30" s="9">
        <f>SUM('Mountaineer:Charles Town'!J27)</f>
        <v>0</v>
      </c>
      <c r="K30" s="9">
        <f>SUM('Mountaineer:Charles Town'!K27)</f>
        <v>0</v>
      </c>
      <c r="L30" s="22">
        <f>SUM('Mountaineer:Charles Town'!L27)</f>
        <v>9677916.2300000023</v>
      </c>
      <c r="M30" s="9">
        <f>SUM('Mountaineer:Charles Town'!M27)</f>
        <v>4500231.05</v>
      </c>
      <c r="N30" s="9">
        <f>SUM('Mountaineer:Charles Town'!N27)</f>
        <v>2903374.86</v>
      </c>
      <c r="O30" s="9">
        <f>SUM('Mountaineer:Charles Town'!O27)</f>
        <v>1243612.24</v>
      </c>
      <c r="P30" s="9">
        <f>SUM('Mountaineer:Charles Town'!P27)</f>
        <v>609708.72</v>
      </c>
      <c r="Q30" s="9">
        <f>SUM('Mountaineer:Charles Town'!Q27)</f>
        <v>96779.16</v>
      </c>
      <c r="R30" s="9">
        <f>SUM('Mountaineer:Charles Town'!R27)</f>
        <v>65325.94</v>
      </c>
      <c r="S30" s="9">
        <f>SUM('Mountaineer:Charles Town'!S27)</f>
        <v>65325.94</v>
      </c>
      <c r="T30" s="9">
        <f>SUM('Mountaineer:Charles Town'!T27)</f>
        <v>137480.96000000002</v>
      </c>
      <c r="U30" s="9">
        <f>SUM('Mountaineer:Charles Town'!U27)</f>
        <v>56077.36</v>
      </c>
      <c r="V30" s="9">
        <f>SUM('Mountaineer:Charles Town'!V27)</f>
        <v>8158.8227390404099</v>
      </c>
      <c r="W30" s="7">
        <f>SUM('Mountaineer:Charles Town'!W27)</f>
        <v>4354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Mountaineer!A28</f>
        <v>44898</v>
      </c>
      <c r="B31" s="9">
        <f>SUM('Mountaineer:Charles Town'!B28)</f>
        <v>97246609.420000002</v>
      </c>
      <c r="C31" s="9">
        <f>SUM('Mountaineer:Charles Town'!C28)</f>
        <v>87742808.599999994</v>
      </c>
      <c r="D31" s="9">
        <f>SUM('Mountaineer:Charles Town'!D28)</f>
        <v>1518193</v>
      </c>
      <c r="E31" s="9">
        <f>SUM('Mountaineer:Charles Town'!E28)</f>
        <v>7985607.8200000003</v>
      </c>
      <c r="F31" s="9">
        <f>SUM('Mountaineer:Charles Town'!F28)</f>
        <v>319424.32</v>
      </c>
      <c r="G31" s="9">
        <f>SUM('Mountaineer:Charles Town'!G28)</f>
        <v>0</v>
      </c>
      <c r="H31" s="9">
        <f>SUM('Mountaineer:Charles Town'!H28)</f>
        <v>7666183.5</v>
      </c>
      <c r="I31" s="9">
        <f>SUM('Mountaineer:Charles Town'!I28)</f>
        <v>0</v>
      </c>
      <c r="J31" s="9">
        <f>SUM('Mountaineer:Charles Town'!J28)</f>
        <v>0</v>
      </c>
      <c r="K31" s="9">
        <f>SUM('Mountaineer:Charles Town'!K28)</f>
        <v>0</v>
      </c>
      <c r="L31" s="22">
        <f>SUM('Mountaineer:Charles Town'!L28)</f>
        <v>7666183.5</v>
      </c>
      <c r="M31" s="9">
        <f>SUM('Mountaineer:Charles Town'!M28)</f>
        <v>3564775.34</v>
      </c>
      <c r="N31" s="9">
        <f>SUM('Mountaineer:Charles Town'!N28)</f>
        <v>2299855.02</v>
      </c>
      <c r="O31" s="9">
        <f>SUM('Mountaineer:Charles Town'!O28)</f>
        <v>985104.60000000009</v>
      </c>
      <c r="P31" s="9">
        <f>SUM('Mountaineer:Charles Town'!P28)</f>
        <v>482969.56</v>
      </c>
      <c r="Q31" s="9">
        <f>SUM('Mountaineer:Charles Town'!Q28)</f>
        <v>76661.84</v>
      </c>
      <c r="R31" s="9">
        <f>SUM('Mountaineer:Charles Town'!R28)</f>
        <v>51746.729999999996</v>
      </c>
      <c r="S31" s="9">
        <f>SUM('Mountaineer:Charles Town'!S28)</f>
        <v>51746.729999999996</v>
      </c>
      <c r="T31" s="9">
        <f>SUM('Mountaineer:Charles Town'!T28)</f>
        <v>111158.01999999999</v>
      </c>
      <c r="U31" s="9">
        <f>SUM('Mountaineer:Charles Town'!U28)</f>
        <v>42165.659999999996</v>
      </c>
      <c r="V31" s="9">
        <f>SUM('Mountaineer:Charles Town'!V28)</f>
        <v>6525.0338785231761</v>
      </c>
      <c r="W31" s="7">
        <f>SUM('Mountaineer:Charles Town'!W28)</f>
        <v>4404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Mountaineer!A29</f>
        <v>44905</v>
      </c>
      <c r="B32" s="9">
        <f>SUM('Mountaineer:Charles Town'!B29)</f>
        <v>97213088.329999998</v>
      </c>
      <c r="C32" s="9">
        <f>SUM('Mountaineer:Charles Town'!C29)</f>
        <v>87565399.86999999</v>
      </c>
      <c r="D32" s="9">
        <f>SUM('Mountaineer:Charles Town'!D29)</f>
        <v>1533769</v>
      </c>
      <c r="E32" s="9">
        <f>SUM('Mountaineer:Charles Town'!E29)</f>
        <v>8113919.4600000028</v>
      </c>
      <c r="F32" s="9">
        <f>SUM('Mountaineer:Charles Town'!F29)</f>
        <v>324556.79999999999</v>
      </c>
      <c r="G32" s="9">
        <f>SUM('Mountaineer:Charles Town'!G29)</f>
        <v>0</v>
      </c>
      <c r="H32" s="9">
        <f>SUM('Mountaineer:Charles Town'!H29)</f>
        <v>7789362.660000002</v>
      </c>
      <c r="I32" s="9">
        <f>SUM('Mountaineer:Charles Town'!I29)</f>
        <v>0</v>
      </c>
      <c r="J32" s="9">
        <f>SUM('Mountaineer:Charles Town'!J29)</f>
        <v>0</v>
      </c>
      <c r="K32" s="9">
        <f>SUM('Mountaineer:Charles Town'!K29)</f>
        <v>0</v>
      </c>
      <c r="L32" s="22">
        <f>SUM('Mountaineer:Charles Town'!L29)</f>
        <v>7789362.660000002</v>
      </c>
      <c r="M32" s="9">
        <f>SUM('Mountaineer:Charles Town'!M29)</f>
        <v>3622053.63</v>
      </c>
      <c r="N32" s="9">
        <f>SUM('Mountaineer:Charles Town'!N29)</f>
        <v>2336808.73</v>
      </c>
      <c r="O32" s="9">
        <f>SUM('Mountaineer:Charles Town'!O29)</f>
        <v>1000933.1299999999</v>
      </c>
      <c r="P32" s="9">
        <f>SUM('Mountaineer:Charles Town'!P29)</f>
        <v>490729.85</v>
      </c>
      <c r="Q32" s="9">
        <f>SUM('Mountaineer:Charles Town'!Q29)</f>
        <v>77893.64</v>
      </c>
      <c r="R32" s="9">
        <f>SUM('Mountaineer:Charles Town'!R29)</f>
        <v>52578.2</v>
      </c>
      <c r="S32" s="9">
        <f>SUM('Mountaineer:Charles Town'!S29)</f>
        <v>52578.2</v>
      </c>
      <c r="T32" s="9">
        <f>SUM('Mountaineer:Charles Town'!T29)</f>
        <v>114248.23999999999</v>
      </c>
      <c r="U32" s="9">
        <f>SUM('Mountaineer:Charles Town'!U29)</f>
        <v>41539.040000000001</v>
      </c>
      <c r="V32" s="9">
        <f>SUM('Mountaineer:Charles Town'!V29)</f>
        <v>6688.2055144551923</v>
      </c>
      <c r="W32" s="7">
        <f>SUM('Mountaineer:Charles Town'!W29)</f>
        <v>4454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Mountaineer!A30</f>
        <v>44912</v>
      </c>
      <c r="B33" s="9">
        <f>SUM('Mountaineer:Charles Town'!B30)</f>
        <v>89890910.439999998</v>
      </c>
      <c r="C33" s="9">
        <f>SUM('Mountaineer:Charles Town'!C30)</f>
        <v>80742452.200000003</v>
      </c>
      <c r="D33" s="9">
        <f>SUM('Mountaineer:Charles Town'!D30)</f>
        <v>1384923</v>
      </c>
      <c r="E33" s="9">
        <f>SUM('Mountaineer:Charles Town'!E30)</f>
        <v>7763535.2399999928</v>
      </c>
      <c r="F33" s="9">
        <f>SUM('Mountaineer:Charles Town'!F30)</f>
        <v>310541.42</v>
      </c>
      <c r="G33" s="9">
        <f>SUM('Mountaineer:Charles Town'!G30)</f>
        <v>0</v>
      </c>
      <c r="H33" s="9">
        <f>SUM('Mountaineer:Charles Town'!H30)</f>
        <v>7452993.8199999928</v>
      </c>
      <c r="I33" s="9">
        <f>SUM('Mountaineer:Charles Town'!I30)</f>
        <v>0</v>
      </c>
      <c r="J33" s="9">
        <f>SUM('Mountaineer:Charles Town'!J30)</f>
        <v>0</v>
      </c>
      <c r="K33" s="9">
        <f>SUM('Mountaineer:Charles Town'!K30)</f>
        <v>0</v>
      </c>
      <c r="L33" s="22">
        <f>SUM('Mountaineer:Charles Town'!L30)</f>
        <v>7452993.8199999928</v>
      </c>
      <c r="M33" s="9">
        <f>SUM('Mountaineer:Charles Town'!M30)</f>
        <v>3465642.12</v>
      </c>
      <c r="N33" s="9">
        <f>SUM('Mountaineer:Charles Town'!N30)</f>
        <v>2235898.04</v>
      </c>
      <c r="O33" s="9">
        <f>SUM('Mountaineer:Charles Town'!O30)</f>
        <v>957709.77</v>
      </c>
      <c r="P33" s="9">
        <f>SUM('Mountaineer:Charles Town'!P30)</f>
        <v>469538.61</v>
      </c>
      <c r="Q33" s="9">
        <f>SUM('Mountaineer:Charles Town'!Q30)</f>
        <v>74529.960000000006</v>
      </c>
      <c r="R33" s="9">
        <f>SUM('Mountaineer:Charles Town'!R30)</f>
        <v>50307.7</v>
      </c>
      <c r="S33" s="9">
        <f>SUM('Mountaineer:Charles Town'!S30)</f>
        <v>50307.7</v>
      </c>
      <c r="T33" s="9">
        <f>SUM('Mountaineer:Charles Town'!T30)</f>
        <v>109477</v>
      </c>
      <c r="U33" s="9">
        <f>SUM('Mountaineer:Charles Town'!U30)</f>
        <v>39582.920000000006</v>
      </c>
      <c r="V33" s="9">
        <f>SUM('Mountaineer:Charles Town'!V30)</f>
        <v>6447.2786859896141</v>
      </c>
      <c r="W33" s="7">
        <f>SUM('Mountaineer:Charles Town'!W30)</f>
        <v>4411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Mountaineer!A31</f>
        <v>44919</v>
      </c>
      <c r="B34" s="9">
        <f>SUM('Mountaineer:Charles Town'!B31)</f>
        <v>74077790.280000001</v>
      </c>
      <c r="C34" s="9">
        <f>SUM('Mountaineer:Charles Town'!C31)</f>
        <v>66684441.540000007</v>
      </c>
      <c r="D34" s="9">
        <f>SUM('Mountaineer:Charles Town'!D31)</f>
        <v>1118635</v>
      </c>
      <c r="E34" s="9">
        <f>SUM('Mountaineer:Charles Town'!E31)</f>
        <v>6274713.7399999993</v>
      </c>
      <c r="F34" s="9">
        <f>SUM('Mountaineer:Charles Town'!F31)</f>
        <v>250988.55</v>
      </c>
      <c r="G34" s="9">
        <f>SUM('Mountaineer:Charles Town'!G31)</f>
        <v>0</v>
      </c>
      <c r="H34" s="9">
        <f>SUM('Mountaineer:Charles Town'!H31)</f>
        <v>6023725.1899999995</v>
      </c>
      <c r="I34" s="9">
        <f>SUM('Mountaineer:Charles Town'!I31)</f>
        <v>0</v>
      </c>
      <c r="J34" s="9">
        <f>SUM('Mountaineer:Charles Town'!J31)</f>
        <v>0</v>
      </c>
      <c r="K34" s="9">
        <f>SUM('Mountaineer:Charles Town'!K31)</f>
        <v>0</v>
      </c>
      <c r="L34" s="22">
        <f>SUM('Mountaineer:Charles Town'!L31)</f>
        <v>6023725.1899999995</v>
      </c>
      <c r="M34" s="9">
        <f>SUM('Mountaineer:Charles Town'!M31)</f>
        <v>2801032.21</v>
      </c>
      <c r="N34" s="9">
        <f>SUM('Mountaineer:Charles Town'!N31)</f>
        <v>1807117.63</v>
      </c>
      <c r="O34" s="9">
        <f>SUM('Mountaineer:Charles Town'!O31)</f>
        <v>774048.68</v>
      </c>
      <c r="P34" s="9">
        <f>SUM('Mountaineer:Charles Town'!P31)</f>
        <v>379494.69</v>
      </c>
      <c r="Q34" s="9">
        <f>SUM('Mountaineer:Charles Town'!Q31)</f>
        <v>60237.24</v>
      </c>
      <c r="R34" s="9">
        <f>SUM('Mountaineer:Charles Town'!R31)</f>
        <v>40660.130000000005</v>
      </c>
      <c r="S34" s="9">
        <f>SUM('Mountaineer:Charles Town'!S31)</f>
        <v>40660.130000000005</v>
      </c>
      <c r="T34" s="9">
        <f>SUM('Mountaineer:Charles Town'!T31)</f>
        <v>80360.790000000008</v>
      </c>
      <c r="U34" s="9">
        <f>SUM('Mountaineer:Charles Town'!U31)</f>
        <v>40113.689999999995</v>
      </c>
      <c r="V34" s="9">
        <f>SUM('Mountaineer:Charles Town'!V31)</f>
        <v>4980.8567825623813</v>
      </c>
      <c r="W34" s="7">
        <f>SUM('Mountaineer:Charles Town'!W31)</f>
        <v>4376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Mountaineer!A32</f>
        <v>44926</v>
      </c>
      <c r="B35" s="9">
        <f>SUM('Mountaineer:Charles Town'!B32)</f>
        <v>153620387.19</v>
      </c>
      <c r="C35" s="9">
        <f>SUM('Mountaineer:Charles Town'!C32)</f>
        <v>138035286.13999999</v>
      </c>
      <c r="D35" s="9">
        <f>SUM('Mountaineer:Charles Town'!D32)</f>
        <v>2048405</v>
      </c>
      <c r="E35" s="9">
        <f>SUM('Mountaineer:Charles Town'!E32)</f>
        <v>13536696.050000008</v>
      </c>
      <c r="F35" s="9">
        <f>SUM('Mountaineer:Charles Town'!F32)</f>
        <v>450393.92</v>
      </c>
      <c r="G35" s="9">
        <f>SUM('Mountaineer:Charles Town'!G32)</f>
        <v>91073.919999999998</v>
      </c>
      <c r="H35" s="9">
        <f>SUM('Mountaineer:Charles Town'!H32)</f>
        <v>12995228.210000008</v>
      </c>
      <c r="I35" s="9">
        <f>SUM('Mountaineer:Charles Town'!I32)</f>
        <v>0</v>
      </c>
      <c r="J35" s="9">
        <f>SUM('Mountaineer:Charles Town'!J32)</f>
        <v>0</v>
      </c>
      <c r="K35" s="9">
        <f>SUM('Mountaineer:Charles Town'!K32)</f>
        <v>0</v>
      </c>
      <c r="L35" s="22">
        <f>SUM('Mountaineer:Charles Town'!L32)</f>
        <v>12995228.210000008</v>
      </c>
      <c r="M35" s="9">
        <f>SUM('Mountaineer:Charles Town'!M32)</f>
        <v>6042781.1099999994</v>
      </c>
      <c r="N35" s="9">
        <f>SUM('Mountaineer:Charles Town'!N32)</f>
        <v>3898568.47</v>
      </c>
      <c r="O35" s="9">
        <f>SUM('Mountaineer:Charles Town'!O32)</f>
        <v>1669886.83</v>
      </c>
      <c r="P35" s="9">
        <f>SUM('Mountaineer:Charles Town'!P32)</f>
        <v>818699.38</v>
      </c>
      <c r="Q35" s="9">
        <f>SUM('Mountaineer:Charles Town'!Q32)</f>
        <v>129952.27999999998</v>
      </c>
      <c r="R35" s="9">
        <f>SUM('Mountaineer:Charles Town'!R32)</f>
        <v>87717.790000000008</v>
      </c>
      <c r="S35" s="9">
        <f>SUM('Mountaineer:Charles Town'!S32)</f>
        <v>87717.790000000008</v>
      </c>
      <c r="T35" s="9">
        <f>SUM('Mountaineer:Charles Town'!T32)</f>
        <v>157794.62</v>
      </c>
      <c r="U35" s="9">
        <f>SUM('Mountaineer:Charles Town'!U32)</f>
        <v>102109.93999999999</v>
      </c>
      <c r="V35" s="9">
        <f>SUM('Mountaineer:Charles Town'!V32)</f>
        <v>10924.862723232902</v>
      </c>
      <c r="W35" s="7">
        <f>SUM('Mountaineer:Charles Town'!W32)</f>
        <v>4528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Mountaineer!A33</f>
        <v>44933</v>
      </c>
      <c r="B36" s="9">
        <f>SUM('Mountaineer:Charles Town'!B33)</f>
        <v>118478639.66</v>
      </c>
      <c r="C36" s="9">
        <f>SUM('Mountaineer:Charles Town'!C33)</f>
        <v>106213611.28</v>
      </c>
      <c r="D36" s="9">
        <f>SUM('Mountaineer:Charles Town'!D33)</f>
        <v>1641908</v>
      </c>
      <c r="E36" s="9">
        <f>SUM('Mountaineer:Charles Town'!E33)</f>
        <v>10623120.379999999</v>
      </c>
      <c r="F36" s="9">
        <f>SUM('Mountaineer:Charles Town'!F33)</f>
        <v>184520.06</v>
      </c>
      <c r="G36" s="9">
        <f>SUM('Mountaineer:Charles Town'!G33)</f>
        <v>240404.75</v>
      </c>
      <c r="H36" s="9">
        <f>SUM('Mountaineer:Charles Town'!H33)</f>
        <v>10198195.57</v>
      </c>
      <c r="I36" s="9">
        <f>SUM('Mountaineer:Charles Town'!I33)</f>
        <v>394454.53</v>
      </c>
      <c r="J36" s="9">
        <f>SUM('Mountaineer:Charles Town'!J33)</f>
        <v>245350.72</v>
      </c>
      <c r="K36" s="9">
        <f>SUM('Mountaineer:Charles Town'!K33)</f>
        <v>149103.81</v>
      </c>
      <c r="L36" s="22">
        <f>SUM('Mountaineer:Charles Town'!L33)</f>
        <v>9803741.0399999991</v>
      </c>
      <c r="M36" s="9">
        <f>SUM('Mountaineer:Charles Town'!M33)</f>
        <v>4398985.49</v>
      </c>
      <c r="N36" s="9">
        <f>SUM('Mountaineer:Charles Town'!N33)</f>
        <v>1876095.1400000001</v>
      </c>
      <c r="O36" s="9">
        <f>SUM('Mountaineer:Charles Town'!O33)</f>
        <v>2598164.9</v>
      </c>
      <c r="P36" s="9">
        <f>SUM('Mountaineer:Charles Town'!P33)</f>
        <v>521783.24</v>
      </c>
      <c r="Q36" s="9">
        <f>SUM('Mountaineer:Charles Town'!Q33)</f>
        <v>80286.950000000012</v>
      </c>
      <c r="R36" s="9">
        <f>SUM('Mountaineer:Charles Town'!R33)</f>
        <v>66175.260000000009</v>
      </c>
      <c r="S36" s="9">
        <f>SUM('Mountaineer:Charles Town'!S33)</f>
        <v>66175.260000000009</v>
      </c>
      <c r="T36" s="9">
        <f>SUM('Mountaineer:Charles Town'!T33)</f>
        <v>115208.91999999998</v>
      </c>
      <c r="U36" s="9">
        <f>SUM('Mountaineer:Charles Town'!U33)</f>
        <v>80865.87999999999</v>
      </c>
      <c r="V36" s="9">
        <f>SUM('Mountaineer:Charles Town'!V33)</f>
        <v>8321.658888080925</v>
      </c>
      <c r="W36" s="7">
        <f>SUM('Mountaineer:Charles Town'!W33)</f>
        <v>4556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Mountaineer!A34</f>
        <v>44940</v>
      </c>
      <c r="B37" s="9">
        <f>SUM('Mountaineer:Charles Town'!B34)</f>
        <v>103600245.09</v>
      </c>
      <c r="C37" s="9">
        <f>SUM('Mountaineer:Charles Town'!C34)</f>
        <v>92911416.629999995</v>
      </c>
      <c r="D37" s="9">
        <f>SUM('Mountaineer:Charles Town'!D34)</f>
        <v>1583349</v>
      </c>
      <c r="E37" s="9">
        <f>SUM('Mountaineer:Charles Town'!E34)</f>
        <v>9105479.4600000065</v>
      </c>
      <c r="F37" s="9">
        <f>SUM('Mountaineer:Charles Town'!F34)</f>
        <v>160492.68</v>
      </c>
      <c r="G37" s="9">
        <f>SUM('Mountaineer:Charles Town'!G34)</f>
        <v>203726.5</v>
      </c>
      <c r="H37" s="9">
        <f>SUM('Mountaineer:Charles Town'!H34)</f>
        <v>8741260.2800000068</v>
      </c>
      <c r="I37" s="9">
        <f>SUM('Mountaineer:Charles Town'!I34)</f>
        <v>488943.58999999997</v>
      </c>
      <c r="J37" s="9">
        <f>SUM('Mountaineer:Charles Town'!J34)</f>
        <v>304122.90999999997</v>
      </c>
      <c r="K37" s="9">
        <f>SUM('Mountaineer:Charles Town'!K34)</f>
        <v>184820.68</v>
      </c>
      <c r="L37" s="22">
        <f>SUM('Mountaineer:Charles Town'!L34)</f>
        <v>8252316.6900000069</v>
      </c>
      <c r="M37" s="9">
        <f>SUM('Mountaineer:Charles Town'!M34)</f>
        <v>3639305.1</v>
      </c>
      <c r="N37" s="9">
        <f>SUM('Mountaineer:Charles Town'!N34)</f>
        <v>1155547.33</v>
      </c>
      <c r="O37" s="9">
        <f>SUM('Mountaineer:Charles Town'!O34)</f>
        <v>2719408.33</v>
      </c>
      <c r="P37" s="9">
        <f>SUM('Mountaineer:Charles Town'!P34)</f>
        <v>401082.65</v>
      </c>
      <c r="Q37" s="9">
        <f>SUM('Mountaineer:Charles Town'!Q34)</f>
        <v>60520.7</v>
      </c>
      <c r="R37" s="9">
        <f>SUM('Mountaineer:Charles Town'!R34)</f>
        <v>55703.130000000005</v>
      </c>
      <c r="S37" s="9">
        <f>SUM('Mountaineer:Charles Town'!S34)</f>
        <v>55703.130000000005</v>
      </c>
      <c r="T37" s="9">
        <f>SUM('Mountaineer:Charles Town'!T34)</f>
        <v>95775.98</v>
      </c>
      <c r="U37" s="9">
        <f>SUM('Mountaineer:Charles Town'!U34)</f>
        <v>69270.34</v>
      </c>
      <c r="V37" s="9">
        <f>SUM('Mountaineer:Charles Town'!V34)</f>
        <v>7493.0075242921357</v>
      </c>
      <c r="W37" s="7">
        <f>SUM('Mountaineer:Charles Town'!W34)</f>
        <v>4430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Mountaineer!A35</f>
        <v>44947</v>
      </c>
      <c r="B38" s="9">
        <f>SUM('Mountaineer:Charles Town'!B35)</f>
        <v>113082132.96000001</v>
      </c>
      <c r="C38" s="9">
        <f>SUM('Mountaineer:Charles Town'!C35)</f>
        <v>102010215.67</v>
      </c>
      <c r="D38" s="9">
        <f>SUM('Mountaineer:Charles Town'!D35)</f>
        <v>1808297.99</v>
      </c>
      <c r="E38" s="9">
        <f>SUM('Mountaineer:Charles Town'!E35)</f>
        <v>9263619.3000000063</v>
      </c>
      <c r="F38" s="9">
        <f>SUM('Mountaineer:Charles Town'!F35)</f>
        <v>165887.97000000003</v>
      </c>
      <c r="G38" s="9">
        <f>SUM('Mountaineer:Charles Town'!G35)</f>
        <v>204656.80000000002</v>
      </c>
      <c r="H38" s="9">
        <f>SUM('Mountaineer:Charles Town'!H35)</f>
        <v>8893074.5300000068</v>
      </c>
      <c r="I38" s="9">
        <f>SUM('Mountaineer:Charles Town'!I35)</f>
        <v>491176.3</v>
      </c>
      <c r="J38" s="9">
        <f>SUM('Mountaineer:Charles Town'!J35)</f>
        <v>305511.65999999997</v>
      </c>
      <c r="K38" s="9">
        <f>SUM('Mountaineer:Charles Town'!K35)</f>
        <v>185664.64000000001</v>
      </c>
      <c r="L38" s="22">
        <f>SUM('Mountaineer:Charles Town'!L35)</f>
        <v>8401898.2300000079</v>
      </c>
      <c r="M38" s="9">
        <f>SUM('Mountaineer:Charles Town'!M35)</f>
        <v>3707956.2800000003</v>
      </c>
      <c r="N38" s="9">
        <f>SUM('Mountaineer:Charles Town'!N35)</f>
        <v>1194393.45</v>
      </c>
      <c r="O38" s="9">
        <f>SUM('Mountaineer:Charles Town'!O35)</f>
        <v>2746205.12</v>
      </c>
      <c r="P38" s="9">
        <f>SUM('Mountaineer:Charles Town'!P35)</f>
        <v>409963.75</v>
      </c>
      <c r="Q38" s="9">
        <f>SUM('Mountaineer:Charles Town'!Q35)</f>
        <v>61916.049999999996</v>
      </c>
      <c r="R38" s="9">
        <f>SUM('Mountaineer:Charles Town'!R35)</f>
        <v>56712.81</v>
      </c>
      <c r="S38" s="9">
        <f>SUM('Mountaineer:Charles Town'!S35)</f>
        <v>56712.81</v>
      </c>
      <c r="T38" s="9">
        <f>SUM('Mountaineer:Charles Town'!T35)</f>
        <v>98889.12</v>
      </c>
      <c r="U38" s="9">
        <f>SUM('Mountaineer:Charles Town'!U35)</f>
        <v>69148.84</v>
      </c>
      <c r="V38" s="9">
        <f>SUM('Mountaineer:Charles Town'!V35)</f>
        <v>7357.9607341846904</v>
      </c>
      <c r="W38" s="7">
        <f>SUM('Mountaineer:Charles Town'!W35)</f>
        <v>4532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Mountaineer!A36</f>
        <v>44954</v>
      </c>
      <c r="B39" s="9">
        <f>SUM('Mountaineer:Charles Town'!B36)</f>
        <v>103241210.84999999</v>
      </c>
      <c r="C39" s="9">
        <f>SUM('Mountaineer:Charles Town'!C36)</f>
        <v>92439344.539999992</v>
      </c>
      <c r="D39" s="9">
        <f>SUM('Mountaineer:Charles Town'!D36)</f>
        <v>1541434.88</v>
      </c>
      <c r="E39" s="9">
        <f>SUM('Mountaineer:Charles Town'!E36)</f>
        <v>9260431.4300000034</v>
      </c>
      <c r="F39" s="9">
        <f>SUM('Mountaineer:Charles Town'!F36)</f>
        <v>158959.67999999999</v>
      </c>
      <c r="G39" s="9">
        <f>SUM('Mountaineer:Charles Town'!G36)</f>
        <v>211457.58</v>
      </c>
      <c r="H39" s="9">
        <f>SUM('Mountaineer:Charles Town'!H36)</f>
        <v>8890014.1700000037</v>
      </c>
      <c r="I39" s="9">
        <f>SUM('Mountaineer:Charles Town'!I36)</f>
        <v>507498.22</v>
      </c>
      <c r="J39" s="9">
        <f>SUM('Mountaineer:Charles Town'!J36)</f>
        <v>315663.89</v>
      </c>
      <c r="K39" s="9">
        <f>SUM('Mountaineer:Charles Town'!K36)</f>
        <v>191834.33</v>
      </c>
      <c r="L39" s="22">
        <f>SUM('Mountaineer:Charles Town'!L36)</f>
        <v>8382515.9500000048</v>
      </c>
      <c r="M39" s="9">
        <f>SUM('Mountaineer:Charles Town'!M36)</f>
        <v>3692333.13</v>
      </c>
      <c r="N39" s="9">
        <f>SUM('Mountaineer:Charles Town'!N36)</f>
        <v>1144509.51</v>
      </c>
      <c r="O39" s="9">
        <f>SUM('Mountaineer:Charles Town'!O36)</f>
        <v>2799094.77</v>
      </c>
      <c r="P39" s="9">
        <f>SUM('Mountaineer:Charles Town'!P36)</f>
        <v>404776.44000000006</v>
      </c>
      <c r="Q39" s="9">
        <f>SUM('Mountaineer:Charles Town'!Q36)</f>
        <v>60987.76</v>
      </c>
      <c r="R39" s="9">
        <f>SUM('Mountaineer:Charles Town'!R36)</f>
        <v>56581.990000000005</v>
      </c>
      <c r="S39" s="9">
        <f>SUM('Mountaineer:Charles Town'!S36)</f>
        <v>56581.990000000005</v>
      </c>
      <c r="T39" s="9">
        <f>SUM('Mountaineer:Charles Town'!T36)</f>
        <v>97179.4</v>
      </c>
      <c r="U39" s="9">
        <f>SUM('Mountaineer:Charles Town'!U36)</f>
        <v>70470.959999999992</v>
      </c>
      <c r="V39" s="9">
        <f>SUM('Mountaineer:Charles Town'!V36)</f>
        <v>7648.3367464883413</v>
      </c>
      <c r="W39" s="7">
        <f>SUM('Mountaineer:Charles Town'!W36)</f>
        <v>4312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Mountaineer!A37</f>
        <v>44961</v>
      </c>
      <c r="B40" s="9">
        <f>SUM('Mountaineer:Charles Town'!B37)</f>
        <v>105259376.67</v>
      </c>
      <c r="C40" s="9">
        <f>SUM('Mountaineer:Charles Town'!C37)</f>
        <v>94293442.870000005</v>
      </c>
      <c r="D40" s="9">
        <f>SUM('Mountaineer:Charles Town'!D37)</f>
        <v>1661738.76</v>
      </c>
      <c r="E40" s="9">
        <f>SUM('Mountaineer:Charles Town'!E37)</f>
        <v>9304195.0400000047</v>
      </c>
      <c r="F40" s="9">
        <f>SUM('Mountaineer:Charles Town'!F37)</f>
        <v>161626.08000000002</v>
      </c>
      <c r="G40" s="9">
        <f>SUM('Mountaineer:Charles Town'!G37)</f>
        <v>210541.74</v>
      </c>
      <c r="H40" s="9">
        <f>SUM('Mountaineer:Charles Town'!H37)</f>
        <v>8932027.2200000044</v>
      </c>
      <c r="I40" s="9">
        <f>SUM('Mountaineer:Charles Town'!I37)</f>
        <v>505300.19</v>
      </c>
      <c r="J40" s="9">
        <f>SUM('Mountaineer:Charles Town'!J37)</f>
        <v>314296.71999999997</v>
      </c>
      <c r="K40" s="9">
        <f>SUM('Mountaineer:Charles Town'!K37)</f>
        <v>191003.47</v>
      </c>
      <c r="L40" s="22">
        <f>SUM('Mountaineer:Charles Town'!L37)</f>
        <v>8426727.0300000049</v>
      </c>
      <c r="M40" s="9">
        <f>SUM('Mountaineer:Charles Town'!M37)</f>
        <v>3713781.49</v>
      </c>
      <c r="N40" s="9">
        <f>SUM('Mountaineer:Charles Town'!N37)</f>
        <v>1163707.5900000001</v>
      </c>
      <c r="O40" s="9">
        <f>SUM('Mountaineer:Charles Town'!O37)</f>
        <v>2797317.9400000004</v>
      </c>
      <c r="P40" s="9">
        <f>SUM('Mountaineer:Charles Town'!P37)</f>
        <v>408095.86</v>
      </c>
      <c r="Q40" s="9">
        <f>SUM('Mountaineer:Charles Town'!Q37)</f>
        <v>61528.770000000004</v>
      </c>
      <c r="R40" s="9">
        <f>SUM('Mountaineer:Charles Town'!R37)</f>
        <v>56880.41</v>
      </c>
      <c r="S40" s="9">
        <f>SUM('Mountaineer:Charles Town'!S37)</f>
        <v>56880.41</v>
      </c>
      <c r="T40" s="9">
        <f>SUM('Mountaineer:Charles Town'!T37)</f>
        <v>99051.520000000004</v>
      </c>
      <c r="U40" s="9">
        <f>SUM('Mountaineer:Charles Town'!U37)</f>
        <v>69483.039999999994</v>
      </c>
      <c r="V40" s="9">
        <f>SUM('Mountaineer:Charles Town'!V37)</f>
        <v>7660.7456515168797</v>
      </c>
      <c r="W40" s="7">
        <f>SUM('Mountaineer:Charles Town'!W37)</f>
        <v>4333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Mountaineer!A38</f>
        <v>44968</v>
      </c>
      <c r="B41" s="9">
        <f>SUM('Mountaineer:Charles Town'!B38)</f>
        <v>116124753.20999999</v>
      </c>
      <c r="C41" s="9">
        <f>SUM('Mountaineer:Charles Town'!C38)</f>
        <v>104596985.41</v>
      </c>
      <c r="D41" s="9">
        <f>SUM('Mountaineer:Charles Town'!D38)</f>
        <v>1827754.88</v>
      </c>
      <c r="E41" s="9">
        <f>SUM('Mountaineer:Charles Town'!E38)</f>
        <v>9700012.9199999981</v>
      </c>
      <c r="F41" s="9">
        <f>SUM('Mountaineer:Charles Town'!F38)</f>
        <v>180063.75</v>
      </c>
      <c r="G41" s="9">
        <f>SUM('Mountaineer:Charles Town'!G38)</f>
        <v>207936.79</v>
      </c>
      <c r="H41" s="9">
        <f>SUM('Mountaineer:Charles Town'!H38)</f>
        <v>9312012.379999999</v>
      </c>
      <c r="I41" s="9">
        <f>SUM('Mountaineer:Charles Town'!I38)</f>
        <v>499048.27</v>
      </c>
      <c r="J41" s="9">
        <f>SUM('Mountaineer:Charles Town'!J38)</f>
        <v>310408.02</v>
      </c>
      <c r="K41" s="9">
        <f>SUM('Mountaineer:Charles Town'!K38)</f>
        <v>188640.25</v>
      </c>
      <c r="L41" s="22">
        <f>SUM('Mountaineer:Charles Town'!L38)</f>
        <v>8812964.1099999994</v>
      </c>
      <c r="M41" s="9">
        <f>SUM('Mountaineer:Charles Town'!M38)</f>
        <v>3895913.76</v>
      </c>
      <c r="N41" s="9">
        <f>SUM('Mountaineer:Charles Town'!N38)</f>
        <v>1296458.8600000001</v>
      </c>
      <c r="O41" s="9">
        <f>SUM('Mountaineer:Charles Town'!O38)</f>
        <v>2825736.71</v>
      </c>
      <c r="P41" s="9">
        <f>SUM('Mountaineer:Charles Town'!P38)</f>
        <v>433948.01</v>
      </c>
      <c r="Q41" s="9">
        <f>SUM('Mountaineer:Charles Town'!Q38)</f>
        <v>65672.47</v>
      </c>
      <c r="R41" s="9">
        <f>SUM('Mountaineer:Charles Town'!R38)</f>
        <v>59487.51</v>
      </c>
      <c r="S41" s="9">
        <f>SUM('Mountaineer:Charles Town'!S38)</f>
        <v>59487.51</v>
      </c>
      <c r="T41" s="9">
        <f>SUM('Mountaineer:Charles Town'!T38)</f>
        <v>104934.14</v>
      </c>
      <c r="U41" s="9">
        <f>SUM('Mountaineer:Charles Town'!U38)</f>
        <v>71325.14</v>
      </c>
      <c r="V41" s="9">
        <f>SUM('Mountaineer:Charles Town'!V38)</f>
        <v>8359.4282786494205</v>
      </c>
      <c r="W41" s="7">
        <f>SUM('Mountaineer:Charles Town'!W38)</f>
        <v>4317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Mountaineer!A39</f>
        <v>44975</v>
      </c>
      <c r="B42" s="9">
        <f>SUM('Mountaineer:Charles Town'!B39)</f>
        <v>120238234.90000001</v>
      </c>
      <c r="C42" s="9">
        <f>SUM('Mountaineer:Charles Town'!C39)</f>
        <v>108219580.75</v>
      </c>
      <c r="D42" s="9">
        <f>SUM('Mountaineer:Charles Town'!D39)</f>
        <v>1811863.4100000001</v>
      </c>
      <c r="E42" s="9">
        <f>SUM('Mountaineer:Charles Town'!E39)</f>
        <v>10206790.74</v>
      </c>
      <c r="F42" s="9">
        <f>SUM('Mountaineer:Charles Town'!F39)</f>
        <v>194626.25</v>
      </c>
      <c r="G42" s="9">
        <f>SUM('Mountaineer:Charles Town'!G39)</f>
        <v>213645.39</v>
      </c>
      <c r="H42" s="9">
        <f>SUM('Mountaineer:Charles Town'!H39)</f>
        <v>9798519.1000000015</v>
      </c>
      <c r="I42" s="9">
        <f>SUM('Mountaineer:Charles Town'!I39)</f>
        <v>512748.93</v>
      </c>
      <c r="J42" s="9">
        <f>SUM('Mountaineer:Charles Town'!J39)</f>
        <v>318929.83</v>
      </c>
      <c r="K42" s="9">
        <f>SUM('Mountaineer:Charles Town'!K39)</f>
        <v>193819.1</v>
      </c>
      <c r="L42" s="22">
        <f>SUM('Mountaineer:Charles Town'!L39)</f>
        <v>9285770.1700000018</v>
      </c>
      <c r="M42" s="9">
        <f>SUM('Mountaineer:Charles Town'!M39)</f>
        <v>4110219.8200000003</v>
      </c>
      <c r="N42" s="9">
        <f>SUM('Mountaineer:Charles Town'!N39)</f>
        <v>1401308.9500000002</v>
      </c>
      <c r="O42" s="9">
        <f>SUM('Mountaineer:Charles Town'!O39)</f>
        <v>2932978.5700000003</v>
      </c>
      <c r="P42" s="9">
        <f>SUM('Mountaineer:Charles Town'!P39)</f>
        <v>460405.53</v>
      </c>
      <c r="Q42" s="9">
        <f>SUM('Mountaineer:Charles Town'!Q39)</f>
        <v>69784</v>
      </c>
      <c r="R42" s="9">
        <f>SUM('Mountaineer:Charles Town'!R39)</f>
        <v>62678.95</v>
      </c>
      <c r="S42" s="9">
        <f>SUM('Mountaineer:Charles Town'!S39)</f>
        <v>62678.95</v>
      </c>
      <c r="T42" s="9">
        <f>SUM('Mountaineer:Charles Town'!T39)</f>
        <v>109821.51999999999</v>
      </c>
      <c r="U42" s="9">
        <f>SUM('Mountaineer:Charles Town'!U39)</f>
        <v>75893.88</v>
      </c>
      <c r="V42" s="9">
        <f>SUM('Mountaineer:Charles Town'!V39)</f>
        <v>8377.5261967045808</v>
      </c>
      <c r="W42" s="7">
        <f>SUM('Mountaineer:Charles Town'!W39)</f>
        <v>4484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Mountaineer!A40</f>
        <v>44982</v>
      </c>
      <c r="B43" s="9">
        <f>SUM('Mountaineer:Charles Town'!B40)</f>
        <v>131753714.28999999</v>
      </c>
      <c r="C43" s="9">
        <f>SUM('Mountaineer:Charles Town'!C40)</f>
        <v>118602150.78999999</v>
      </c>
      <c r="D43" s="9">
        <f>SUM('Mountaineer:Charles Town'!D40)</f>
        <v>2185853.3600000003</v>
      </c>
      <c r="E43" s="9">
        <f>SUM('Mountaineer:Charles Town'!E40)</f>
        <v>10965710.139999997</v>
      </c>
      <c r="F43" s="9">
        <f>SUM('Mountaineer:Charles Town'!F40)</f>
        <v>207995.37999999998</v>
      </c>
      <c r="G43" s="9">
        <f>SUM('Mountaineer:Charles Town'!G40)</f>
        <v>230633.04</v>
      </c>
      <c r="H43" s="9">
        <f>SUM('Mountaineer:Charles Town'!H40)</f>
        <v>10527081.719999995</v>
      </c>
      <c r="I43" s="9">
        <f>SUM('Mountaineer:Charles Town'!I40)</f>
        <v>553519.28</v>
      </c>
      <c r="J43" s="9">
        <f>SUM('Mountaineer:Charles Town'!J40)</f>
        <v>344288.99</v>
      </c>
      <c r="K43" s="9">
        <f>SUM('Mountaineer:Charles Town'!K40)</f>
        <v>209230.29</v>
      </c>
      <c r="L43" s="22">
        <f>SUM('Mountaineer:Charles Town'!L40)</f>
        <v>9973562.4399999958</v>
      </c>
      <c r="M43" s="9">
        <f>SUM('Mountaineer:Charles Town'!M40)</f>
        <v>4413531.2299999995</v>
      </c>
      <c r="N43" s="9">
        <f>SUM('Mountaineer:Charles Town'!N40)</f>
        <v>1497566.57</v>
      </c>
      <c r="O43" s="9">
        <f>SUM('Mountaineer:Charles Town'!O40)</f>
        <v>3159693.74</v>
      </c>
      <c r="P43" s="9">
        <f>SUM('Mountaineer:Charles Town'!P40)</f>
        <v>493829.25</v>
      </c>
      <c r="Q43" s="9">
        <f>SUM('Mountaineer:Charles Town'!Q40)</f>
        <v>74827.26999999999</v>
      </c>
      <c r="R43" s="9">
        <f>SUM('Mountaineer:Charles Town'!R40)</f>
        <v>67321.55</v>
      </c>
      <c r="S43" s="9">
        <f>SUM('Mountaineer:Charles Town'!S40)</f>
        <v>67321.55</v>
      </c>
      <c r="T43" s="9">
        <f>SUM('Mountaineer:Charles Town'!T40)</f>
        <v>117072.92000000001</v>
      </c>
      <c r="U43" s="9">
        <f>SUM('Mountaineer:Charles Town'!U40)</f>
        <v>82398.36</v>
      </c>
      <c r="V43" s="9">
        <f>SUM('Mountaineer:Charles Town'!V40)</f>
        <v>8992.9855820446919</v>
      </c>
      <c r="W43" s="7">
        <f>SUM('Mountaineer:Charles Town'!W40)</f>
        <v>4477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Mountaineer!A41</f>
        <v>44989</v>
      </c>
      <c r="B44" s="9">
        <f>SUM('Mountaineer:Charles Town'!B41)</f>
        <v>122467687.56</v>
      </c>
      <c r="C44" s="9">
        <f>SUM('Mountaineer:Charles Town'!C41)</f>
        <v>110577215.56999999</v>
      </c>
      <c r="D44" s="9">
        <f>SUM('Mountaineer:Charles Town'!D41)</f>
        <v>1855004.15</v>
      </c>
      <c r="E44" s="9">
        <f>SUM('Mountaineer:Charles Town'!E41)</f>
        <v>10035467.84</v>
      </c>
      <c r="F44" s="9">
        <f>SUM('Mountaineer:Charles Town'!F41)</f>
        <v>185877.74999999997</v>
      </c>
      <c r="G44" s="9">
        <f>SUM('Mountaineer:Charles Town'!G41)</f>
        <v>215540.98</v>
      </c>
      <c r="H44" s="9">
        <f>SUM('Mountaineer:Charles Town'!H41)</f>
        <v>9634049.1099999994</v>
      </c>
      <c r="I44" s="9">
        <f>SUM('Mountaineer:Charles Town'!I41)</f>
        <v>517298.35000000003</v>
      </c>
      <c r="J44" s="9">
        <f>SUM('Mountaineer:Charles Town'!J41)</f>
        <v>321759.57</v>
      </c>
      <c r="K44" s="9">
        <f>SUM('Mountaineer:Charles Town'!K41)</f>
        <v>195538.78</v>
      </c>
      <c r="L44" s="22">
        <f>SUM('Mountaineer:Charles Town'!L41)</f>
        <v>9116750.7599999998</v>
      </c>
      <c r="M44" s="9">
        <f>SUM('Mountaineer:Charles Town'!M41)</f>
        <v>4029783.2800000003</v>
      </c>
      <c r="N44" s="9">
        <f>SUM('Mountaineer:Charles Town'!N41)</f>
        <v>1338319.69</v>
      </c>
      <c r="O44" s="9">
        <f>SUM('Mountaineer:Charles Town'!O41)</f>
        <v>2926695.7199999997</v>
      </c>
      <c r="P44" s="9">
        <f>SUM('Mountaineer:Charles Town'!P41)</f>
        <v>448651.80000000005</v>
      </c>
      <c r="Q44" s="9">
        <f>SUM('Mountaineer:Charles Town'!Q41)</f>
        <v>67889.09</v>
      </c>
      <c r="R44" s="9">
        <f>SUM('Mountaineer:Charles Town'!R41)</f>
        <v>61538.07</v>
      </c>
      <c r="S44" s="9">
        <f>SUM('Mountaineer:Charles Town'!S41)</f>
        <v>61538.07</v>
      </c>
      <c r="T44" s="9">
        <f>SUM('Mountaineer:Charles Town'!T41)</f>
        <v>107373.74</v>
      </c>
      <c r="U44" s="9">
        <f>SUM('Mountaineer:Charles Town'!U41)</f>
        <v>74961.3</v>
      </c>
      <c r="V44" s="9">
        <f>SUM('Mountaineer:Charles Town'!V41)</f>
        <v>8182.2376624192439</v>
      </c>
      <c r="W44" s="7">
        <f>SUM('Mountaineer:Charles Town'!W41)</f>
        <v>4499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Mountaineer!A42</f>
        <v>44996</v>
      </c>
      <c r="B45" s="9">
        <f>SUM('Mountaineer:Charles Town'!B42)</f>
        <v>121507973.09</v>
      </c>
      <c r="C45" s="9">
        <f>SUM('Mountaineer:Charles Town'!C42)</f>
        <v>108732284.68000001</v>
      </c>
      <c r="D45" s="9">
        <f>SUM('Mountaineer:Charles Town'!D42)</f>
        <v>1838605.2</v>
      </c>
      <c r="E45" s="9">
        <f>SUM('Mountaineer:Charles Town'!E42)</f>
        <v>10937083.210000001</v>
      </c>
      <c r="F45" s="9">
        <f>SUM('Mountaineer:Charles Town'!F42)</f>
        <v>193372.44999999998</v>
      </c>
      <c r="G45" s="9">
        <f>SUM('Mountaineer:Charles Town'!G42)</f>
        <v>244110.86</v>
      </c>
      <c r="H45" s="9">
        <f>SUM('Mountaineer:Charles Town'!H42)</f>
        <v>10499599.899999999</v>
      </c>
      <c r="I45" s="9">
        <f>SUM('Mountaineer:Charles Town'!I42)</f>
        <v>585866.07999999996</v>
      </c>
      <c r="J45" s="9">
        <f>SUM('Mountaineer:Charles Town'!J42)</f>
        <v>364408.7</v>
      </c>
      <c r="K45" s="9">
        <f>SUM('Mountaineer:Charles Town'!K42)</f>
        <v>221457.38</v>
      </c>
      <c r="L45" s="22">
        <f>SUM('Mountaineer:Charles Town'!L42)</f>
        <v>9913733.8200000003</v>
      </c>
      <c r="M45" s="9">
        <f>SUM('Mountaineer:Charles Town'!M42)</f>
        <v>4372610.46</v>
      </c>
      <c r="N45" s="9">
        <f>SUM('Mountaineer:Charles Town'!N42)</f>
        <v>1392281.77</v>
      </c>
      <c r="O45" s="9">
        <f>SUM('Mountaineer:Charles Town'!O42)</f>
        <v>3261758.4299999997</v>
      </c>
      <c r="P45" s="9">
        <f>SUM('Mountaineer:Charles Town'!P42)</f>
        <v>482199.76999999996</v>
      </c>
      <c r="Q45" s="9">
        <f>SUM('Mountaineer:Charles Town'!Q42)</f>
        <v>72773.350000000006</v>
      </c>
      <c r="R45" s="9">
        <f>SUM('Mountaineer:Charles Town'!R42)</f>
        <v>66917.7</v>
      </c>
      <c r="S45" s="9">
        <f>SUM('Mountaineer:Charles Town'!S42)</f>
        <v>66917.7</v>
      </c>
      <c r="T45" s="9">
        <f>SUM('Mountaineer:Charles Town'!T42)</f>
        <v>115824.70000000001</v>
      </c>
      <c r="U45" s="9">
        <f>SUM('Mountaineer:Charles Town'!U42)</f>
        <v>82449.94</v>
      </c>
      <c r="V45" s="9">
        <f>SUM('Mountaineer:Charles Town'!V42)</f>
        <v>8682.7499750892857</v>
      </c>
      <c r="W45" s="7">
        <f>SUM('Mountaineer:Charles Town'!W42)</f>
        <v>4540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Mountaineer!A43</f>
        <v>45003</v>
      </c>
      <c r="B46" s="9">
        <f>SUM('Mountaineer:Charles Town'!B43)</f>
        <v>123904478.31</v>
      </c>
      <c r="C46" s="9">
        <f>SUM('Mountaineer:Charles Town'!C43)</f>
        <v>111793418.50999999</v>
      </c>
      <c r="D46" s="9">
        <f>SUM('Mountaineer:Charles Town'!D43)</f>
        <v>2053776.06</v>
      </c>
      <c r="E46" s="9">
        <f>SUM('Mountaineer:Charles Town'!E43)</f>
        <v>10057283.740000006</v>
      </c>
      <c r="F46" s="9">
        <f>SUM('Mountaineer:Charles Town'!F43)</f>
        <v>191145.91</v>
      </c>
      <c r="G46" s="9">
        <f>SUM('Mountaineer:Charles Town'!G43)</f>
        <v>211145.41999999998</v>
      </c>
      <c r="H46" s="9">
        <f>SUM('Mountaineer:Charles Town'!H43)</f>
        <v>9654992.4100000057</v>
      </c>
      <c r="I46" s="9">
        <f>SUM('Mountaineer:Charles Town'!I43)</f>
        <v>506749.04000000004</v>
      </c>
      <c r="J46" s="9">
        <f>SUM('Mountaineer:Charles Town'!J43)</f>
        <v>315197.90000000002</v>
      </c>
      <c r="K46" s="9">
        <f>SUM('Mountaineer:Charles Town'!K43)</f>
        <v>191551.14</v>
      </c>
      <c r="L46" s="22">
        <f>SUM('Mountaineer:Charles Town'!L43)</f>
        <v>9148243.3700000048</v>
      </c>
      <c r="M46" s="9">
        <f>SUM('Mountaineer:Charles Town'!M43)</f>
        <v>4048699.8100000005</v>
      </c>
      <c r="N46" s="9">
        <f>SUM('Mountaineer:Charles Town'!N43)</f>
        <v>1376250.65</v>
      </c>
      <c r="O46" s="9">
        <f>SUM('Mountaineer:Charles Town'!O43)</f>
        <v>2894948.7</v>
      </c>
      <c r="P46" s="9">
        <f>SUM('Mountaineer:Charles Town'!P43)</f>
        <v>453199.32</v>
      </c>
      <c r="Q46" s="9">
        <f>SUM('Mountaineer:Charles Town'!Q43)</f>
        <v>68678.73000000001</v>
      </c>
      <c r="R46" s="9">
        <f>SUM('Mountaineer:Charles Town'!R43)</f>
        <v>61750.64</v>
      </c>
      <c r="S46" s="9">
        <f>SUM('Mountaineer:Charles Town'!S43)</f>
        <v>61750.64</v>
      </c>
      <c r="T46" s="9">
        <f>SUM('Mountaineer:Charles Town'!T43)</f>
        <v>106755.40000000001</v>
      </c>
      <c r="U46" s="9">
        <f>SUM('Mountaineer:Charles Town'!U43)</f>
        <v>76209.48000000001</v>
      </c>
      <c r="V46" s="9">
        <f>SUM('Mountaineer:Charles Town'!V43)</f>
        <v>8293.0548267989252</v>
      </c>
      <c r="W46" s="7">
        <f>SUM('Mountaineer:Charles Town'!W43)</f>
        <v>4505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Mountaineer!A44</f>
        <v>45010</v>
      </c>
      <c r="B47" s="9">
        <f>SUM('Mountaineer:Charles Town'!B44)</f>
        <v>113559251.10999998</v>
      </c>
      <c r="C47" s="9">
        <f>SUM('Mountaineer:Charles Town'!C44)</f>
        <v>102307501.16999999</v>
      </c>
      <c r="D47" s="9">
        <f>SUM('Mountaineer:Charles Town'!D44)</f>
        <v>1756576.4</v>
      </c>
      <c r="E47" s="9">
        <f>SUM('Mountaineer:Charles Town'!E44)</f>
        <v>9495173.5399999972</v>
      </c>
      <c r="F47" s="9">
        <f>SUM('Mountaineer:Charles Town'!F44)</f>
        <v>164491</v>
      </c>
      <c r="G47" s="9">
        <f>SUM('Mountaineer:Charles Town'!G44)</f>
        <v>215315.94</v>
      </c>
      <c r="H47" s="9">
        <f>SUM('Mountaineer:Charles Town'!H44)</f>
        <v>9115366.5999999978</v>
      </c>
      <c r="I47" s="9">
        <f>SUM('Mountaineer:Charles Town'!I44)</f>
        <v>516758.26</v>
      </c>
      <c r="J47" s="9">
        <f>SUM('Mountaineer:Charles Town'!J44)</f>
        <v>321423.64</v>
      </c>
      <c r="K47" s="9">
        <f>SUM('Mountaineer:Charles Town'!K44)</f>
        <v>195334.62</v>
      </c>
      <c r="L47" s="22">
        <f>SUM('Mountaineer:Charles Town'!L44)</f>
        <v>8598608.3399999961</v>
      </c>
      <c r="M47" s="9">
        <f>SUM('Mountaineer:Charles Town'!M44)</f>
        <v>3789065.7800000003</v>
      </c>
      <c r="N47" s="9">
        <f>SUM('Mountaineer:Charles Town'!N44)</f>
        <v>1184335.1900000002</v>
      </c>
      <c r="O47" s="9">
        <f>SUM('Mountaineer:Charles Town'!O44)</f>
        <v>2858282</v>
      </c>
      <c r="P47" s="9">
        <f>SUM('Mountaineer:Charles Town'!P44)</f>
        <v>416140.06</v>
      </c>
      <c r="Q47" s="9">
        <f>SUM('Mountaineer:Charles Town'!Q44)</f>
        <v>62731.95</v>
      </c>
      <c r="R47" s="9">
        <f>SUM('Mountaineer:Charles Town'!R44)</f>
        <v>58040.61</v>
      </c>
      <c r="S47" s="9">
        <f>SUM('Mountaineer:Charles Town'!S44)</f>
        <v>58040.61</v>
      </c>
      <c r="T47" s="9">
        <f>SUM('Mountaineer:Charles Town'!T44)</f>
        <v>97414.260000000009</v>
      </c>
      <c r="U47" s="9">
        <f>SUM('Mountaineer:Charles Town'!U44)</f>
        <v>74557.88</v>
      </c>
      <c r="V47" s="9">
        <f>SUM('Mountaineer:Charles Town'!V44)</f>
        <v>7804.6519514324609</v>
      </c>
      <c r="W47" s="7">
        <f>SUM('Mountaineer:Charles Town'!W44)</f>
        <v>4375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Mountaineer!A45</f>
        <v>45017</v>
      </c>
      <c r="B48" s="9">
        <f>SUM('Mountaineer:Charles Town'!B45)</f>
        <v>126115365.69</v>
      </c>
      <c r="C48" s="9">
        <f>SUM('Mountaineer:Charles Town'!C45)</f>
        <v>113511054.04000001</v>
      </c>
      <c r="D48" s="9">
        <f>SUM('Mountaineer:Charles Town'!D45)</f>
        <v>1958735.15</v>
      </c>
      <c r="E48" s="9">
        <f>SUM('Mountaineer:Charles Town'!E45)</f>
        <v>10645576.499999993</v>
      </c>
      <c r="F48" s="9">
        <f>SUM('Mountaineer:Charles Town'!F45)</f>
        <v>201154.89999999997</v>
      </c>
      <c r="G48" s="9">
        <f>SUM('Mountaineer:Charles Town'!G45)</f>
        <v>224668.16</v>
      </c>
      <c r="H48" s="9">
        <f>SUM('Mountaineer:Charles Town'!H45)</f>
        <v>10219753.439999992</v>
      </c>
      <c r="I48" s="9">
        <f>SUM('Mountaineer:Charles Town'!I45)</f>
        <v>539203.59</v>
      </c>
      <c r="J48" s="9">
        <f>SUM('Mountaineer:Charles Town'!J45)</f>
        <v>335384.63</v>
      </c>
      <c r="K48" s="9">
        <f>SUM('Mountaineer:Charles Town'!K45)</f>
        <v>203818.96</v>
      </c>
      <c r="L48" s="22">
        <f>SUM('Mountaineer:Charles Town'!L45)</f>
        <v>9680549.8499999922</v>
      </c>
      <c r="M48" s="9">
        <f>SUM('Mountaineer:Charles Town'!M45)</f>
        <v>4283078.2300000004</v>
      </c>
      <c r="N48" s="9">
        <f>SUM('Mountaineer:Charles Town'!N45)</f>
        <v>1448315.27</v>
      </c>
      <c r="O48" s="9">
        <f>SUM('Mountaineer:Charles Town'!O45)</f>
        <v>3073468.42</v>
      </c>
      <c r="P48" s="9">
        <f>SUM('Mountaineer:Charles Town'!P45)</f>
        <v>478848.16999999993</v>
      </c>
      <c r="Q48" s="9">
        <f>SUM('Mountaineer:Charles Town'!Q45)</f>
        <v>72541.34</v>
      </c>
      <c r="R48" s="9">
        <f>SUM('Mountaineer:Charles Town'!R45)</f>
        <v>65343.709999999992</v>
      </c>
      <c r="S48" s="9">
        <f>SUM('Mountaineer:Charles Town'!S45)</f>
        <v>65343.709999999992</v>
      </c>
      <c r="T48" s="9">
        <f>SUM('Mountaineer:Charles Town'!T45)</f>
        <v>119590.65</v>
      </c>
      <c r="U48" s="9">
        <f>SUM('Mountaineer:Charles Town'!U45)</f>
        <v>74020.350000000006</v>
      </c>
      <c r="V48" s="9">
        <f>SUM('Mountaineer:Charles Town'!V45)</f>
        <v>8679.2378218929844</v>
      </c>
      <c r="W48" s="7">
        <f>SUM('Mountaineer:Charles Town'!W45)</f>
        <v>4437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Mountaineer!A46</f>
        <v>45024</v>
      </c>
      <c r="B49" s="9">
        <f>SUM('Mountaineer:Charles Town'!B46)</f>
        <v>113068291.80000001</v>
      </c>
      <c r="C49" s="9">
        <f>SUM('Mountaineer:Charles Town'!C46)</f>
        <v>101580510.23999999</v>
      </c>
      <c r="D49" s="9">
        <f>SUM('Mountaineer:Charles Town'!D46)</f>
        <v>1698404.52</v>
      </c>
      <c r="E49" s="9">
        <f>SUM('Mountaineer:Charles Town'!E46)</f>
        <v>9789377.0400000066</v>
      </c>
      <c r="F49" s="9">
        <f>SUM('Mountaineer:Charles Town'!F46)</f>
        <v>177204.18000000002</v>
      </c>
      <c r="G49" s="9">
        <f>SUM('Mountaineer:Charles Town'!G46)</f>
        <v>214370.91</v>
      </c>
      <c r="H49" s="9">
        <f>SUM('Mountaineer:Charles Town'!H46)</f>
        <v>9397801.9500000067</v>
      </c>
      <c r="I49" s="9">
        <f>SUM('Mountaineer:Charles Town'!I46)</f>
        <v>514490.19</v>
      </c>
      <c r="J49" s="9">
        <f>SUM('Mountaineer:Charles Town'!J46)</f>
        <v>320012.90000000002</v>
      </c>
      <c r="K49" s="9">
        <f>SUM('Mountaineer:Charles Town'!K46)</f>
        <v>194477.29</v>
      </c>
      <c r="L49" s="22">
        <f>SUM('Mountaineer:Charles Town'!L46)</f>
        <v>8883311.7600000054</v>
      </c>
      <c r="M49" s="9">
        <f>SUM('Mountaineer:Charles Town'!M46)</f>
        <v>3922371.44</v>
      </c>
      <c r="N49" s="9">
        <f>SUM('Mountaineer:Charles Town'!N46)</f>
        <v>1275870.01</v>
      </c>
      <c r="O49" s="9">
        <f>SUM('Mountaineer:Charles Town'!O46)</f>
        <v>2887170.7300000004</v>
      </c>
      <c r="P49" s="9">
        <f>SUM('Mountaineer:Charles Town'!P46)</f>
        <v>434627.52999999997</v>
      </c>
      <c r="Q49" s="9">
        <f>SUM('Mountaineer:Charles Town'!Q46)</f>
        <v>65681.070000000007</v>
      </c>
      <c r="R49" s="9">
        <f>SUM('Mountaineer:Charles Town'!R46)</f>
        <v>59962.36</v>
      </c>
      <c r="S49" s="9">
        <f>SUM('Mountaineer:Charles Town'!S46)</f>
        <v>59962.36</v>
      </c>
      <c r="T49" s="9">
        <f>SUM('Mountaineer:Charles Town'!T46)</f>
        <v>104151.89499999999</v>
      </c>
      <c r="U49" s="9">
        <f>SUM('Mountaineer:Charles Town'!U46)</f>
        <v>73514.35500000001</v>
      </c>
      <c r="V49" s="9">
        <f>SUM('Mountaineer:Charles Town'!V46)</f>
        <v>8273.4683420986803</v>
      </c>
      <c r="W49" s="7">
        <f>SUM('Mountaineer:Charles Town'!W46)</f>
        <v>4310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Mountaineer!A47</f>
        <v>45031</v>
      </c>
      <c r="B50" s="9">
        <f>SUM('Mountaineer:Charles Town'!B47)</f>
        <v>107173653.63</v>
      </c>
      <c r="C50" s="9">
        <f>SUM('Mountaineer:Charles Town'!C47)</f>
        <v>96559101.75999999</v>
      </c>
      <c r="D50" s="9">
        <f>SUM('Mountaineer:Charles Town'!D47)</f>
        <v>1568637.5</v>
      </c>
      <c r="E50" s="9">
        <f>SUM('Mountaineer:Charles Town'!E47)</f>
        <v>9045914.3699999992</v>
      </c>
      <c r="F50" s="9">
        <f>SUM('Mountaineer:Charles Town'!F47)</f>
        <v>161406.10999999999</v>
      </c>
      <c r="G50" s="9">
        <f>SUM('Mountaineer:Charles Town'!G47)</f>
        <v>200430.45</v>
      </c>
      <c r="H50" s="9">
        <f>SUM('Mountaineer:Charles Town'!H47)</f>
        <v>8684077.8099999987</v>
      </c>
      <c r="I50" s="9">
        <f>SUM('Mountaineer:Charles Town'!I47)</f>
        <v>481033.08</v>
      </c>
      <c r="J50" s="9">
        <f>SUM('Mountaineer:Charles Town'!J47)</f>
        <v>299202.58</v>
      </c>
      <c r="K50" s="9">
        <f>SUM('Mountaineer:Charles Town'!K47)</f>
        <v>181830.5</v>
      </c>
      <c r="L50" s="22">
        <f>SUM('Mountaineer:Charles Town'!L47)</f>
        <v>8203044.7299999986</v>
      </c>
      <c r="M50" s="9">
        <f>SUM('Mountaineer:Charles Town'!M47)</f>
        <v>3619597.41</v>
      </c>
      <c r="N50" s="9">
        <f>SUM('Mountaineer:Charles Town'!N47)</f>
        <v>1162124.1099999999</v>
      </c>
      <c r="O50" s="9">
        <f>SUM('Mountaineer:Charles Town'!O47)</f>
        <v>2686236.44</v>
      </c>
      <c r="P50" s="9">
        <f>SUM('Mountaineer:Charles Town'!P47)</f>
        <v>399900.78</v>
      </c>
      <c r="Q50" s="9">
        <f>SUM('Mountaineer:Charles Town'!Q47)</f>
        <v>60383.97</v>
      </c>
      <c r="R50" s="9">
        <f>SUM('Mountaineer:Charles Town'!R47)</f>
        <v>55370.549999999996</v>
      </c>
      <c r="S50" s="9">
        <f>SUM('Mountaineer:Charles Town'!S47)</f>
        <v>55370.549999999996</v>
      </c>
      <c r="T50" s="9">
        <f>SUM('Mountaineer:Charles Town'!T47)</f>
        <v>96893.132500000007</v>
      </c>
      <c r="U50" s="9">
        <f>SUM('Mountaineer:Charles Town'!U47)</f>
        <v>67167.79250000001</v>
      </c>
      <c r="V50" s="9">
        <f>SUM('Mountaineer:Charles Town'!V47)</f>
        <v>7521.7795350053293</v>
      </c>
      <c r="W50" s="7">
        <f>SUM('Mountaineer:Charles Town'!W47)</f>
        <v>4342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Mountaineer!A48</f>
        <v>45038</v>
      </c>
      <c r="B51" s="9">
        <f>SUM('Mountaineer:Charles Town'!B48)</f>
        <v>113188808.46000001</v>
      </c>
      <c r="C51" s="9">
        <f>SUM('Mountaineer:Charles Town'!C48)</f>
        <v>101773218.28</v>
      </c>
      <c r="D51" s="9">
        <f>SUM('Mountaineer:Charles Town'!D48)</f>
        <v>1799213.78</v>
      </c>
      <c r="E51" s="9">
        <f>SUM('Mountaineer:Charles Town'!E48)</f>
        <v>9616376.3999999985</v>
      </c>
      <c r="F51" s="9">
        <f>SUM('Mountaineer:Charles Town'!F48)</f>
        <v>171443.12</v>
      </c>
      <c r="G51" s="9">
        <f>SUM('Mountaineer:Charles Town'!G48)</f>
        <v>213211.94</v>
      </c>
      <c r="H51" s="9">
        <f>SUM('Mountaineer:Charles Town'!H48)</f>
        <v>9231721.3399999999</v>
      </c>
      <c r="I51" s="9">
        <f>SUM('Mountaineer:Charles Town'!I48)</f>
        <v>511708.65</v>
      </c>
      <c r="J51" s="9">
        <f>SUM('Mountaineer:Charles Town'!J48)</f>
        <v>318282.78000000003</v>
      </c>
      <c r="K51" s="9">
        <f>SUM('Mountaineer:Charles Town'!K48)</f>
        <v>193425.87</v>
      </c>
      <c r="L51" s="22">
        <f>SUM('Mountaineer:Charles Town'!L48)</f>
        <v>8720012.6899999976</v>
      </c>
      <c r="M51" s="9">
        <f>SUM('Mountaineer:Charles Town'!M48)</f>
        <v>3847563.9</v>
      </c>
      <c r="N51" s="9">
        <f>SUM('Mountaineer:Charles Town'!N48)</f>
        <v>1234390.45</v>
      </c>
      <c r="O51" s="9">
        <f>SUM('Mountaineer:Charles Town'!O48)</f>
        <v>2856749.0500000003</v>
      </c>
      <c r="P51" s="9">
        <f>SUM('Mountaineer:Charles Town'!P48)</f>
        <v>425015.61</v>
      </c>
      <c r="Q51" s="9">
        <f>SUM('Mountaineer:Charles Town'!Q48)</f>
        <v>64173.24</v>
      </c>
      <c r="R51" s="9">
        <f>SUM('Mountaineer:Charles Town'!R48)</f>
        <v>58860.09</v>
      </c>
      <c r="S51" s="9">
        <f>SUM('Mountaineer:Charles Town'!S48)</f>
        <v>58860.09</v>
      </c>
      <c r="T51" s="9">
        <f>SUM('Mountaineer:Charles Town'!T48)</f>
        <v>102746.76999999999</v>
      </c>
      <c r="U51" s="9">
        <f>SUM('Mountaineer:Charles Town'!U48)</f>
        <v>71653.489999999991</v>
      </c>
      <c r="V51" s="9">
        <f>SUM('Mountaineer:Charles Town'!V48)</f>
        <v>8041.4782242509373</v>
      </c>
      <c r="W51" s="7">
        <f>SUM('Mountaineer:Charles Town'!W48)</f>
        <v>4339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Mountaineer!A49</f>
        <v>45045</v>
      </c>
      <c r="B52" s="9">
        <f>SUM('Mountaineer:Charles Town'!B49)</f>
        <v>122026237.09999999</v>
      </c>
      <c r="C52" s="9">
        <f>SUM('Mountaineer:Charles Town'!C49)</f>
        <v>109842204.02000001</v>
      </c>
      <c r="D52" s="9">
        <f>SUM('Mountaineer:Charles Town'!D49)</f>
        <v>1717557.38</v>
      </c>
      <c r="E52" s="9">
        <f>SUM('Mountaineer:Charles Town'!E49)</f>
        <v>10466475.699999988</v>
      </c>
      <c r="F52" s="9">
        <f>SUM('Mountaineer:Charles Town'!F49)</f>
        <v>195169.23</v>
      </c>
      <c r="G52" s="9">
        <f>SUM('Mountaineer:Charles Town'!G49)</f>
        <v>223489.79</v>
      </c>
      <c r="H52" s="9">
        <f>SUM('Mountaineer:Charles Town'!H49)</f>
        <v>10047816.679999989</v>
      </c>
      <c r="I52" s="9">
        <f>SUM('Mountaineer:Charles Town'!I49)</f>
        <v>536375.5</v>
      </c>
      <c r="J52" s="9">
        <f>SUM('Mountaineer:Charles Town'!J49)</f>
        <v>333625.56</v>
      </c>
      <c r="K52" s="9">
        <f>SUM('Mountaineer:Charles Town'!K49)</f>
        <v>202749.94</v>
      </c>
      <c r="L52" s="22">
        <f>SUM('Mountaineer:Charles Town'!L49)</f>
        <v>9511441.1799999885</v>
      </c>
      <c r="M52" s="9">
        <f>SUM('Mountaineer:Charles Town'!M49)</f>
        <v>4205588.07</v>
      </c>
      <c r="N52" s="9">
        <f>SUM('Mountaineer:Charles Town'!N49)</f>
        <v>1405218.55</v>
      </c>
      <c r="O52" s="9">
        <f>SUM('Mountaineer:Charles Town'!O49)</f>
        <v>3042142.2199999997</v>
      </c>
      <c r="P52" s="9">
        <f>SUM('Mountaineer:Charles Town'!P49)</f>
        <v>468881.54000000004</v>
      </c>
      <c r="Q52" s="9">
        <f>SUM('Mountaineer:Charles Town'!Q49)</f>
        <v>70977.51999999999</v>
      </c>
      <c r="R52" s="9">
        <f>SUM('Mountaineer:Charles Town'!R49)</f>
        <v>64202.22</v>
      </c>
      <c r="S52" s="9">
        <f>SUM('Mountaineer:Charles Town'!S49)</f>
        <v>64202.22</v>
      </c>
      <c r="T52" s="9">
        <f>SUM('Mountaineer:Charles Town'!T49)</f>
        <v>113509.3</v>
      </c>
      <c r="U52" s="9">
        <f>SUM('Mountaineer:Charles Town'!U49)</f>
        <v>76719.540000000008</v>
      </c>
      <c r="V52" s="9">
        <f>SUM('Mountaineer:Charles Town'!V49)</f>
        <v>8894.7586686790783</v>
      </c>
      <c r="W52" s="7">
        <f>SUM('Mountaineer:Charles Town'!W49)</f>
        <v>4313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Mountaineer!A50</f>
        <v>45052</v>
      </c>
      <c r="B53" s="9">
        <f>SUM('Mountaineer:Charles Town'!B50)</f>
        <v>113663360.33</v>
      </c>
      <c r="C53" s="9">
        <f>SUM('Mountaineer:Charles Town'!C50)</f>
        <v>101975344.86</v>
      </c>
      <c r="D53" s="9">
        <f>SUM('Mountaineer:Charles Town'!D50)</f>
        <v>1726965.53</v>
      </c>
      <c r="E53" s="9">
        <f>SUM('Mountaineer:Charles Town'!E50)</f>
        <v>9961049.9399999976</v>
      </c>
      <c r="F53" s="9">
        <f>SUM('Mountaineer:Charles Town'!F50)</f>
        <v>153206.38999999998</v>
      </c>
      <c r="G53" s="9">
        <f>SUM('Mountaineer:Charles Town'!G50)</f>
        <v>245235.61000000002</v>
      </c>
      <c r="H53" s="9">
        <f>SUM('Mountaineer:Charles Town'!H50)</f>
        <v>9562607.9399999976</v>
      </c>
      <c r="I53" s="9">
        <f>SUM('Mountaineer:Charles Town'!I50)</f>
        <v>520281.33</v>
      </c>
      <c r="J53" s="9">
        <f>SUM('Mountaineer:Charles Town'!J50)</f>
        <v>323614.99</v>
      </c>
      <c r="K53" s="9">
        <f>SUM('Mountaineer:Charles Town'!K50)</f>
        <v>196666.34</v>
      </c>
      <c r="L53" s="22">
        <f>SUM('Mountaineer:Charles Town'!L50)</f>
        <v>9042326.6099999994</v>
      </c>
      <c r="M53" s="9">
        <f>SUM('Mountaineer:Charles Town'!M50)</f>
        <v>3993967.9299999997</v>
      </c>
      <c r="N53" s="9">
        <f>SUM('Mountaineer:Charles Town'!N50)</f>
        <v>1307938.3799999999</v>
      </c>
      <c r="O53" s="9">
        <f>SUM('Mountaineer:Charles Town'!O50)</f>
        <v>2927253.55</v>
      </c>
      <c r="P53" s="9">
        <f>SUM('Mountaineer:Charles Town'!P50)</f>
        <v>443238.19999999995</v>
      </c>
      <c r="Q53" s="9">
        <f>SUM('Mountaineer:Charles Town'!Q50)</f>
        <v>67010.61</v>
      </c>
      <c r="R53" s="9">
        <f>SUM('Mountaineer:Charles Town'!R50)</f>
        <v>61035.7</v>
      </c>
      <c r="S53" s="9">
        <f>SUM('Mountaineer:Charles Town'!S50)</f>
        <v>61035.7</v>
      </c>
      <c r="T53" s="9">
        <f>SUM('Mountaineer:Charles Town'!T50)</f>
        <v>106198.6</v>
      </c>
      <c r="U53" s="9">
        <f>SUM('Mountaineer:Charles Town'!U50)</f>
        <v>74647.94</v>
      </c>
      <c r="V53" s="9">
        <f>SUM('Mountaineer:Charles Town'!V50)</f>
        <v>8415.0178565258229</v>
      </c>
      <c r="W53" s="7">
        <f>SUM('Mountaineer:Charles Town'!W50)</f>
        <v>4355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Mountaineer!A51</f>
        <v>45059</v>
      </c>
      <c r="B54" s="9">
        <f>SUM('Mountaineer:Charles Town'!B51)</f>
        <v>107560365.25</v>
      </c>
      <c r="C54" s="9">
        <f>SUM('Mountaineer:Charles Town'!C51)</f>
        <v>96500821.5</v>
      </c>
      <c r="D54" s="9">
        <f>SUM('Mountaineer:Charles Town'!D51)</f>
        <v>1632330.7600000002</v>
      </c>
      <c r="E54" s="9">
        <f>SUM('Mountaineer:Charles Town'!E51)</f>
        <v>9427212.9899999928</v>
      </c>
      <c r="F54" s="9">
        <f>SUM('Mountaineer:Charles Town'!F51)</f>
        <v>131698.04</v>
      </c>
      <c r="G54" s="9">
        <f>SUM('Mountaineer:Charles Town'!G51)</f>
        <v>245390.46999999997</v>
      </c>
      <c r="H54" s="9">
        <f>SUM('Mountaineer:Charles Town'!H51)</f>
        <v>9050124.479999993</v>
      </c>
      <c r="I54" s="9">
        <f>SUM('Mountaineer:Charles Town'!I51)</f>
        <v>522770.47</v>
      </c>
      <c r="J54" s="9">
        <f>SUM('Mountaineer:Charles Town'!J51)</f>
        <v>325163.24</v>
      </c>
      <c r="K54" s="9">
        <f>SUM('Mountaineer:Charles Town'!K51)</f>
        <v>197607.23</v>
      </c>
      <c r="L54" s="22">
        <f>SUM('Mountaineer:Charles Town'!L51)</f>
        <v>8527354.0099999942</v>
      </c>
      <c r="M54" s="9">
        <f>SUM('Mountaineer:Charles Town'!M51)</f>
        <v>3753497.5700000003</v>
      </c>
      <c r="N54" s="9">
        <f>SUM('Mountaineer:Charles Town'!N51)</f>
        <v>1146725.94</v>
      </c>
      <c r="O54" s="9">
        <f>SUM('Mountaineer:Charles Town'!O51)</f>
        <v>2869525.1900000004</v>
      </c>
      <c r="P54" s="9">
        <f>SUM('Mountaineer:Charles Town'!P51)</f>
        <v>410190.07999999996</v>
      </c>
      <c r="Q54" s="9">
        <f>SUM('Mountaineer:Charles Town'!Q51)</f>
        <v>61748.869999999995</v>
      </c>
      <c r="R54" s="9">
        <f>SUM('Mountaineer:Charles Town'!R51)</f>
        <v>57559.64</v>
      </c>
      <c r="S54" s="9">
        <f>SUM('Mountaineer:Charles Town'!S51)</f>
        <v>57559.64</v>
      </c>
      <c r="T54" s="9">
        <f>SUM('Mountaineer:Charles Town'!T51)</f>
        <v>101359.5</v>
      </c>
      <c r="U54" s="9">
        <f>SUM('Mountaineer:Charles Town'!U51)</f>
        <v>69187.58</v>
      </c>
      <c r="V54" s="9">
        <f>SUM('Mountaineer:Charles Town'!V51)</f>
        <v>7934.4050117233528</v>
      </c>
      <c r="W54" s="7">
        <f>SUM('Mountaineer:Charles Town'!W51)</f>
        <v>4226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Mountaineer!A52</f>
        <v>45066</v>
      </c>
      <c r="B55" s="9">
        <f>SUM('Mountaineer:Charles Town'!B52)</f>
        <v>109562673.34</v>
      </c>
      <c r="C55" s="9">
        <f>SUM('Mountaineer:Charles Town'!C52)</f>
        <v>98271612.989999995</v>
      </c>
      <c r="D55" s="9">
        <f>SUM('Mountaineer:Charles Town'!D52)</f>
        <v>1686202.98</v>
      </c>
      <c r="E55" s="9">
        <f>SUM('Mountaineer:Charles Town'!E52)</f>
        <v>9604857.3699999992</v>
      </c>
      <c r="F55" s="9">
        <f>SUM('Mountaineer:Charles Town'!F52)</f>
        <v>135188.59999999998</v>
      </c>
      <c r="G55" s="9">
        <f>SUM('Mountaineer:Charles Town'!G52)</f>
        <v>249005.71</v>
      </c>
      <c r="H55" s="9">
        <f>SUM('Mountaineer:Charles Town'!H52)</f>
        <v>9220663.0599999987</v>
      </c>
      <c r="I55" s="9">
        <f>SUM('Mountaineer:Charles Town'!I52)</f>
        <v>597613.69999999995</v>
      </c>
      <c r="J55" s="9">
        <f>SUM('Mountaineer:Charles Town'!J52)</f>
        <v>371715.72000000003</v>
      </c>
      <c r="K55" s="9">
        <f>SUM('Mountaineer:Charles Town'!K52)</f>
        <v>225897.97999999998</v>
      </c>
      <c r="L55" s="22">
        <f>SUM('Mountaineer:Charles Town'!L52)</f>
        <v>8623049.3599999994</v>
      </c>
      <c r="M55" s="9">
        <f>SUM('Mountaineer:Charles Town'!M52)</f>
        <v>3767684.3999999994</v>
      </c>
      <c r="N55" s="9">
        <f>SUM('Mountaineer:Charles Town'!N52)</f>
        <v>973357.81</v>
      </c>
      <c r="O55" s="9">
        <f>SUM('Mountaineer:Charles Town'!O52)</f>
        <v>3135765.1799999997</v>
      </c>
      <c r="P55" s="9">
        <f>SUM('Mountaineer:Charles Town'!P52)</f>
        <v>398031.98</v>
      </c>
      <c r="Q55" s="9">
        <f>SUM('Mountaineer:Charles Town'!Q52)</f>
        <v>59337.869999999995</v>
      </c>
      <c r="R55" s="9">
        <f>SUM('Mountaineer:Charles Town'!R52)</f>
        <v>58205.58</v>
      </c>
      <c r="S55" s="9">
        <f>SUM('Mountaineer:Charles Town'!S52)</f>
        <v>58205.58</v>
      </c>
      <c r="T55" s="9">
        <f>SUM('Mountaineer:Charles Town'!T52)</f>
        <v>102169.13999999998</v>
      </c>
      <c r="U55" s="9">
        <f>SUM('Mountaineer:Charles Town'!U52)</f>
        <v>70291.819999999992</v>
      </c>
      <c r="V55" s="9">
        <f>SUM('Mountaineer:Charles Town'!V52)</f>
        <v>8614.2370874898425</v>
      </c>
      <c r="W55" s="7">
        <f>SUM('Mountaineer:Charles Town'!W52)</f>
        <v>4039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Mountaineer!A53</f>
        <v>45073</v>
      </c>
      <c r="B56" s="9">
        <f>SUM('Mountaineer:Charles Town'!B53)</f>
        <v>108233973.40000001</v>
      </c>
      <c r="C56" s="9">
        <f>SUM('Mountaineer:Charles Town'!C53)</f>
        <v>97152528.219999999</v>
      </c>
      <c r="D56" s="9">
        <f>SUM('Mountaineer:Charles Town'!D53)</f>
        <v>1604164.3</v>
      </c>
      <c r="E56" s="9">
        <f>SUM('Mountaineer:Charles Town'!E53)</f>
        <v>9477280.8800000027</v>
      </c>
      <c r="F56" s="9">
        <f>SUM('Mountaineer:Charles Town'!F53)</f>
        <v>122977.59</v>
      </c>
      <c r="G56" s="9">
        <f>SUM('Mountaineer:Charles Town'!G53)</f>
        <v>256113.65</v>
      </c>
      <c r="H56" s="9">
        <f>SUM('Mountaineer:Charles Town'!H53)</f>
        <v>9098189.6400000043</v>
      </c>
      <c r="I56" s="9">
        <f>SUM('Mountaineer:Charles Town'!I53)</f>
        <v>614672.76</v>
      </c>
      <c r="J56" s="9">
        <f>SUM('Mountaineer:Charles Town'!J53)</f>
        <v>382326.46</v>
      </c>
      <c r="K56" s="9">
        <f>SUM('Mountaineer:Charles Town'!K53)</f>
        <v>232346.3</v>
      </c>
      <c r="L56" s="22">
        <f>SUM('Mountaineer:Charles Town'!L53)</f>
        <v>8483516.8800000027</v>
      </c>
      <c r="M56" s="9">
        <f>SUM('Mountaineer:Charles Town'!M53)</f>
        <v>3695892.88</v>
      </c>
      <c r="N56" s="9">
        <f>SUM('Mountaineer:Charles Town'!N53)</f>
        <v>885438.64</v>
      </c>
      <c r="O56" s="9">
        <f>SUM('Mountaineer:Charles Town'!O53)</f>
        <v>3175716.59</v>
      </c>
      <c r="P56" s="9">
        <f>SUM('Mountaineer:Charles Town'!P53)</f>
        <v>385096.07999999996</v>
      </c>
      <c r="Q56" s="9">
        <f>SUM('Mountaineer:Charles Town'!Q53)</f>
        <v>57174.89</v>
      </c>
      <c r="R56" s="9">
        <f>SUM('Mountaineer:Charles Town'!R53)</f>
        <v>57263.740000000005</v>
      </c>
      <c r="S56" s="9">
        <f>SUM('Mountaineer:Charles Town'!S53)</f>
        <v>57263.740000000005</v>
      </c>
      <c r="T56" s="9">
        <f>SUM('Mountaineer:Charles Town'!T53)</f>
        <v>98884.78</v>
      </c>
      <c r="U56" s="9">
        <f>SUM('Mountaineer:Charles Town'!U53)</f>
        <v>70785.540000000008</v>
      </c>
      <c r="V56" s="9">
        <f>SUM('Mountaineer:Charles Town'!V53)</f>
        <v>7911.7718535747599</v>
      </c>
      <c r="W56" s="7">
        <f>SUM('Mountaineer:Charles Town'!W53)</f>
        <v>4319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Mountaineer!A54</f>
        <v>45080</v>
      </c>
      <c r="B57" s="9">
        <f>SUM('Mountaineer:Charles Town'!B54)</f>
        <v>120306509.93000001</v>
      </c>
      <c r="C57" s="9">
        <f>SUM('Mountaineer:Charles Town'!C54)</f>
        <v>108318496.45</v>
      </c>
      <c r="D57" s="9">
        <f>SUM('Mountaineer:Charles Town'!D54)</f>
        <v>1847871.4100000001</v>
      </c>
      <c r="E57" s="9">
        <f>SUM('Mountaineer:Charles Town'!E54)</f>
        <v>10140142.07</v>
      </c>
      <c r="F57" s="9">
        <f>SUM('Mountaineer:Charles Town'!F54)</f>
        <v>134139.47999999998</v>
      </c>
      <c r="G57" s="9">
        <f>SUM('Mountaineer:Charles Town'!G54)</f>
        <v>271466.19</v>
      </c>
      <c r="H57" s="9">
        <f>SUM('Mountaineer:Charles Town'!H54)</f>
        <v>9734536.4000000004</v>
      </c>
      <c r="I57" s="9">
        <f>SUM('Mountaineer:Charles Town'!I54)</f>
        <v>651518.91</v>
      </c>
      <c r="J57" s="9">
        <f>SUM('Mountaineer:Charles Town'!J54)</f>
        <v>405244.76</v>
      </c>
      <c r="K57" s="9">
        <f>SUM('Mountaineer:Charles Town'!K54)</f>
        <v>246274.15</v>
      </c>
      <c r="L57" s="22">
        <f>SUM('Mountaineer:Charles Town'!L54)</f>
        <v>9083017.4900000002</v>
      </c>
      <c r="M57" s="9">
        <f>SUM('Mountaineer:Charles Town'!M54)</f>
        <v>3959737.98</v>
      </c>
      <c r="N57" s="9">
        <f>SUM('Mountaineer:Charles Town'!N54)</f>
        <v>965804.2</v>
      </c>
      <c r="O57" s="9">
        <f>SUM('Mountaineer:Charles Town'!O54)</f>
        <v>3377771.41</v>
      </c>
      <c r="P57" s="9">
        <f>SUM('Mountaineer:Charles Town'!P54)</f>
        <v>413911</v>
      </c>
      <c r="Q57" s="9">
        <f>SUM('Mountaineer:Charles Town'!Q54)</f>
        <v>61511.82</v>
      </c>
      <c r="R57" s="9">
        <f>SUM('Mountaineer:Charles Town'!R54)</f>
        <v>61310.369999999995</v>
      </c>
      <c r="S57" s="9">
        <f>SUM('Mountaineer:Charles Town'!S54)</f>
        <v>61310.369999999995</v>
      </c>
      <c r="T57" s="9">
        <f>SUM('Mountaineer:Charles Town'!T54)</f>
        <v>106499.94</v>
      </c>
      <c r="U57" s="9">
        <f>SUM('Mountaineer:Charles Town'!U54)</f>
        <v>75160.399999999994</v>
      </c>
      <c r="V57" s="9">
        <f>SUM('Mountaineer:Charles Town'!V54)</f>
        <v>8406.4372264485501</v>
      </c>
      <c r="W57" s="7">
        <f>SUM('Mountaineer:Charles Town'!W54)</f>
        <v>4364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>
        <f>Mountaineer!A55</f>
        <v>45087</v>
      </c>
      <c r="B58" s="9">
        <f>SUM('Mountaineer:Charles Town'!B55)</f>
        <v>106506015.09999999</v>
      </c>
      <c r="C58" s="9">
        <f>SUM('Mountaineer:Charles Town'!C55)</f>
        <v>95789002.25</v>
      </c>
      <c r="D58" s="9">
        <f>SUM('Mountaineer:Charles Town'!D55)</f>
        <v>1682912.82</v>
      </c>
      <c r="E58" s="9">
        <f>SUM('Mountaineer:Charles Town'!E55)</f>
        <v>9034100.0299999937</v>
      </c>
      <c r="F58" s="9">
        <f>SUM('Mountaineer:Charles Town'!F55)</f>
        <v>127937.54000000001</v>
      </c>
      <c r="G58" s="9">
        <f>SUM('Mountaineer:Charles Town'!G55)</f>
        <v>233426.48</v>
      </c>
      <c r="H58" s="9">
        <f>SUM('Mountaineer:Charles Town'!H55)</f>
        <v>8672736.0099999942</v>
      </c>
      <c r="I58" s="9">
        <f>SUM('Mountaineer:Charles Town'!I55)</f>
        <v>560223.55000000005</v>
      </c>
      <c r="J58" s="9">
        <f>SUM('Mountaineer:Charles Town'!J55)</f>
        <v>348459.05</v>
      </c>
      <c r="K58" s="9">
        <f>SUM('Mountaineer:Charles Town'!K55)</f>
        <v>211764.5</v>
      </c>
      <c r="L58" s="22">
        <f>SUM('Mountaineer:Charles Town'!L55)</f>
        <v>8112512.4599999934</v>
      </c>
      <c r="M58" s="9">
        <f>SUM('Mountaineer:Charles Town'!M55)</f>
        <v>3545427.75</v>
      </c>
      <c r="N58" s="9">
        <f>SUM('Mountaineer:Charles Town'!N55)</f>
        <v>921150.19</v>
      </c>
      <c r="O58" s="9">
        <f>SUM('Mountaineer:Charles Town'!O55)</f>
        <v>2943296.3600000003</v>
      </c>
      <c r="P58" s="9">
        <f>SUM('Mountaineer:Charles Town'!P55)</f>
        <v>374953.96</v>
      </c>
      <c r="Q58" s="9">
        <f>SUM('Mountaineer:Charles Town'!Q55)</f>
        <v>55915.06</v>
      </c>
      <c r="R58" s="9">
        <f>SUM('Mountaineer:Charles Town'!R55)</f>
        <v>54759.45</v>
      </c>
      <c r="S58" s="9">
        <f>SUM('Mountaineer:Charles Town'!S55)</f>
        <v>54759.45</v>
      </c>
      <c r="T58" s="9">
        <f>SUM('Mountaineer:Charles Town'!T55)</f>
        <v>81125.13</v>
      </c>
      <c r="U58" s="9">
        <f>SUM('Mountaineer:Charles Town'!U55)</f>
        <v>81125.11</v>
      </c>
      <c r="V58" s="9">
        <f>SUM('Mountaineer:Charles Town'!V55)</f>
        <v>7664.1413701947658</v>
      </c>
      <c r="W58" s="7">
        <f>SUM('Mountaineer:Charles Town'!W55)</f>
        <v>4345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>
        <f>Mountaineer!A56</f>
        <v>45094</v>
      </c>
      <c r="B59" s="9">
        <f>SUM('Mountaineer:Charles Town'!B56)</f>
        <v>108416774.31</v>
      </c>
      <c r="C59" s="9">
        <f>SUM('Mountaineer:Charles Town'!C56)</f>
        <v>97410153.420000017</v>
      </c>
      <c r="D59" s="9">
        <f>SUM('Mountaineer:Charles Town'!D56)</f>
        <v>1676414.29</v>
      </c>
      <c r="E59" s="9">
        <f>SUM('Mountaineer:Charles Town'!E56)</f>
        <v>9330206.5999999978</v>
      </c>
      <c r="F59" s="9">
        <f>SUM('Mountaineer:Charles Town'!F56)</f>
        <v>127189.52</v>
      </c>
      <c r="G59" s="9">
        <f>SUM('Mountaineer:Charles Town'!G56)</f>
        <v>246018.76</v>
      </c>
      <c r="H59" s="9">
        <f>SUM('Mountaineer:Charles Town'!H56)</f>
        <v>8956998.3199999966</v>
      </c>
      <c r="I59" s="9">
        <f>SUM('Mountaineer:Charles Town'!I56)</f>
        <v>590445</v>
      </c>
      <c r="J59" s="9">
        <f>SUM('Mountaineer:Charles Town'!J56)</f>
        <v>367256.79</v>
      </c>
      <c r="K59" s="9">
        <f>SUM('Mountaineer:Charles Town'!K56)</f>
        <v>223188.21000000002</v>
      </c>
      <c r="L59" s="22">
        <f>SUM('Mountaineer:Charles Town'!L56)</f>
        <v>8366553.3199999966</v>
      </c>
      <c r="M59" s="9">
        <f>SUM('Mountaineer:Charles Town'!M56)</f>
        <v>3651317.08</v>
      </c>
      <c r="N59" s="9">
        <f>SUM('Mountaineer:Charles Town'!N56)</f>
        <v>915764.52</v>
      </c>
      <c r="O59" s="9">
        <f>SUM('Mountaineer:Charles Town'!O56)</f>
        <v>3078481.9200000004</v>
      </c>
      <c r="P59" s="9">
        <f>SUM('Mountaineer:Charles Town'!P56)</f>
        <v>383614.73</v>
      </c>
      <c r="Q59" s="9">
        <f>SUM('Mountaineer:Charles Town'!Q56)</f>
        <v>57095.51</v>
      </c>
      <c r="R59" s="9">
        <f>SUM('Mountaineer:Charles Town'!R56)</f>
        <v>56474.239999999998</v>
      </c>
      <c r="S59" s="9">
        <f>SUM('Mountaineer:Charles Town'!S56)</f>
        <v>56474.239999999998</v>
      </c>
      <c r="T59" s="9">
        <f>SUM('Mountaineer:Charles Town'!T56)</f>
        <v>83665.540000000008</v>
      </c>
      <c r="U59" s="9">
        <f>SUM('Mountaineer:Charles Town'!U56)</f>
        <v>83665.540000000008</v>
      </c>
      <c r="V59" s="9">
        <f>SUM('Mountaineer:Charles Town'!V56)</f>
        <v>7823.9080016930729</v>
      </c>
      <c r="W59" s="7">
        <f>SUM('Mountaineer:Charles Town'!W56)</f>
        <v>4328</v>
      </c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x14ac:dyDescent="0.25">
      <c r="A60" s="8">
        <f>Mountaineer!A57</f>
        <v>45101</v>
      </c>
      <c r="B60" s="9">
        <f>SUM('Mountaineer:Charles Town'!B57)</f>
        <v>115764050.28</v>
      </c>
      <c r="C60" s="9">
        <f>SUM('Mountaineer:Charles Town'!C57)</f>
        <v>103807714.59999999</v>
      </c>
      <c r="D60" s="9">
        <f>SUM('Mountaineer:Charles Town'!D57)</f>
        <v>1648121.64</v>
      </c>
      <c r="E60" s="9">
        <f>SUM('Mountaineer:Charles Town'!E57)</f>
        <v>10308214.040000003</v>
      </c>
      <c r="F60" s="9">
        <f>SUM('Mountaineer:Charles Town'!F57)</f>
        <v>142121.87</v>
      </c>
      <c r="G60" s="9">
        <f>SUM('Mountaineer:Charles Town'!G57)</f>
        <v>270206.7</v>
      </c>
      <c r="H60" s="9">
        <f>SUM('Mountaineer:Charles Town'!H57)</f>
        <v>9895885.4700000025</v>
      </c>
      <c r="I60" s="9">
        <f>SUM('Mountaineer:Charles Town'!I57)</f>
        <v>648496.09000000008</v>
      </c>
      <c r="J60" s="9">
        <f>SUM('Mountaineer:Charles Town'!J57)</f>
        <v>403364.56999999995</v>
      </c>
      <c r="K60" s="9">
        <f>SUM('Mountaineer:Charles Town'!K57)</f>
        <v>245131.52000000002</v>
      </c>
      <c r="L60" s="22">
        <f>SUM('Mountaineer:Charles Town'!L57)</f>
        <v>9247389.3800000027</v>
      </c>
      <c r="M60" s="9">
        <f>SUM('Mountaineer:Charles Town'!M57)</f>
        <v>4037395.16</v>
      </c>
      <c r="N60" s="9">
        <f>SUM('Mountaineer:Charles Town'!N57)</f>
        <v>1023277.4</v>
      </c>
      <c r="O60" s="9">
        <f>SUM('Mountaineer:Charles Town'!O57)</f>
        <v>3388636.75</v>
      </c>
      <c r="P60" s="9">
        <f>SUM('Mountaineer:Charles Town'!P57)</f>
        <v>425000.98</v>
      </c>
      <c r="Q60" s="9">
        <f>SUM('Mountaineer:Charles Town'!Q57)</f>
        <v>63291.570000000007</v>
      </c>
      <c r="R60" s="9">
        <f>SUM('Mountaineer:Charles Town'!R57)</f>
        <v>62419.869999999995</v>
      </c>
      <c r="S60" s="9">
        <f>SUM('Mountaineer:Charles Town'!S57)</f>
        <v>62419.869999999995</v>
      </c>
      <c r="T60" s="9">
        <f>SUM('Mountaineer:Charles Town'!T57)</f>
        <v>92473.88</v>
      </c>
      <c r="U60" s="9">
        <f>SUM('Mountaineer:Charles Town'!U57)</f>
        <v>92473.9</v>
      </c>
      <c r="V60" s="9">
        <f>SUM('Mountaineer:Charles Town'!V57)</f>
        <v>8760.4560798031362</v>
      </c>
      <c r="W60" s="7">
        <f>SUM('Mountaineer:Charles Town'!W57)</f>
        <v>4313</v>
      </c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</row>
    <row r="61" spans="1:96" ht="15" customHeight="1" x14ac:dyDescent="0.25">
      <c r="A61" s="8" t="str">
        <f>Mountaineer!A58</f>
        <v>6/30/2023 ***</v>
      </c>
      <c r="B61" s="9">
        <f>SUM('Mountaineer:Charles Town'!B58)</f>
        <v>87708982.5</v>
      </c>
      <c r="C61" s="9">
        <f>SUM('Mountaineer:Charles Town'!C58)</f>
        <v>79097784.50999999</v>
      </c>
      <c r="D61" s="9">
        <f>SUM('Mountaineer:Charles Town'!D58)</f>
        <v>1379756.35</v>
      </c>
      <c r="E61" s="9">
        <f>SUM('Mountaineer:Charles Town'!E58)</f>
        <v>7231441.6400000062</v>
      </c>
      <c r="F61" s="9">
        <f>SUM('Mountaineer:Charles Town'!F58)</f>
        <v>96661.440000000002</v>
      </c>
      <c r="G61" s="9">
        <f>SUM('Mountaineer:Charles Town'!G58)</f>
        <v>192596.21</v>
      </c>
      <c r="H61" s="9">
        <f>SUM('Mountaineer:Charles Town'!H58)</f>
        <v>6942183.9900000058</v>
      </c>
      <c r="I61" s="9">
        <f>SUM('Mountaineer:Charles Town'!I58)</f>
        <v>462230.94999999995</v>
      </c>
      <c r="J61" s="9">
        <f>SUM('Mountaineer:Charles Town'!J58)</f>
        <v>287507.65000000002</v>
      </c>
      <c r="K61" s="9">
        <f>SUM('Mountaineer:Charles Town'!K58)</f>
        <v>174723.3</v>
      </c>
      <c r="L61" s="22">
        <f>SUM('Mountaineer:Charles Town'!L58)</f>
        <v>6479953.0400000056</v>
      </c>
      <c r="M61" s="9">
        <f>SUM('Mountaineer:Charles Town'!M58)</f>
        <v>2825974.6399999997</v>
      </c>
      <c r="N61" s="9">
        <f>SUM('Mountaineer:Charles Town'!N58)</f>
        <v>695962.40999999992</v>
      </c>
      <c r="O61" s="9">
        <f>SUM('Mountaineer:Charles Town'!O58)</f>
        <v>2401023.5099999998</v>
      </c>
      <c r="P61" s="9">
        <f>SUM('Mountaineer:Charles Town'!P58)</f>
        <v>295914.92</v>
      </c>
      <c r="Q61" s="9">
        <f>SUM('Mountaineer:Charles Town'!Q58)</f>
        <v>43999.14</v>
      </c>
      <c r="R61" s="9">
        <f>SUM('Mountaineer:Charles Town'!R58)</f>
        <v>43739.68</v>
      </c>
      <c r="S61" s="9">
        <f>SUM('Mountaineer:Charles Town'!S58)</f>
        <v>43739.68</v>
      </c>
      <c r="T61" s="9">
        <f>SUM('Mountaineer:Charles Town'!T58)</f>
        <v>64799.53</v>
      </c>
      <c r="U61" s="9">
        <f>SUM('Mountaineer:Charles Town'!U58)</f>
        <v>64799.53</v>
      </c>
      <c r="V61" s="9">
        <f>SUM('Mountaineer:Charles Town'!V58)</f>
        <v>6068.3955784544269</v>
      </c>
      <c r="W61" s="7">
        <f>SUM('Mountaineer:Charles Town'!W58)</f>
        <v>4399</v>
      </c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</row>
    <row r="62" spans="1:96" ht="15" customHeight="1" x14ac:dyDescent="0.25">
      <c r="A62" s="8"/>
      <c r="B62" s="9"/>
      <c r="C62" s="9"/>
      <c r="D62" s="9"/>
      <c r="E62" s="9"/>
      <c r="F62" s="9"/>
      <c r="G62" s="9"/>
      <c r="H62" s="9"/>
      <c r="I62" s="9"/>
      <c r="J62" s="9"/>
      <c r="K62" s="9"/>
      <c r="L62" s="22"/>
      <c r="M62" s="9"/>
      <c r="N62" s="9"/>
      <c r="O62" s="9"/>
      <c r="P62" s="9"/>
      <c r="Q62" s="9"/>
      <c r="R62" s="9"/>
      <c r="S62" s="9"/>
      <c r="T62" s="9"/>
      <c r="U62" s="9"/>
      <c r="V62" s="9"/>
      <c r="W62" s="7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</row>
    <row r="63" spans="1:96" ht="15" customHeight="1" thickBot="1" x14ac:dyDescent="0.3">
      <c r="B63" s="11">
        <f>SUM(B9:B62)</f>
        <v>5787707127.6900015</v>
      </c>
      <c r="C63" s="11">
        <f t="shared" ref="C63:U63" si="0">SUM(C9:C62)</f>
        <v>5202984192.3408003</v>
      </c>
      <c r="D63" s="11">
        <f t="shared" si="0"/>
        <v>86453549.5</v>
      </c>
      <c r="E63" s="11">
        <f t="shared" si="0"/>
        <v>498269385.84920001</v>
      </c>
      <c r="F63" s="11">
        <f t="shared" si="0"/>
        <v>13944954.749999998</v>
      </c>
      <c r="G63" s="11">
        <f t="shared" si="0"/>
        <v>5985820.7400000012</v>
      </c>
      <c r="H63" s="11">
        <f t="shared" si="0"/>
        <v>478338610.3592</v>
      </c>
      <c r="I63" s="11">
        <f t="shared" si="0"/>
        <v>13830424.810000001</v>
      </c>
      <c r="J63" s="11">
        <f t="shared" si="0"/>
        <v>8602524.2300000004</v>
      </c>
      <c r="K63" s="11">
        <f t="shared" si="0"/>
        <v>5227900.5799999991</v>
      </c>
      <c r="L63" s="11">
        <f t="shared" si="0"/>
        <v>464508185.5492</v>
      </c>
      <c r="M63" s="11">
        <f t="shared" si="0"/>
        <v>210394984.22999993</v>
      </c>
      <c r="N63" s="11">
        <f t="shared" si="0"/>
        <v>102010308.52</v>
      </c>
      <c r="O63" s="11">
        <f t="shared" si="0"/>
        <v>106615933.23999999</v>
      </c>
      <c r="P63" s="11">
        <f t="shared" si="0"/>
        <v>25903222.43</v>
      </c>
      <c r="Q63" s="11">
        <f t="shared" si="0"/>
        <v>4022712.8500000006</v>
      </c>
      <c r="R63" s="11">
        <f t="shared" si="0"/>
        <v>3135430.1900000013</v>
      </c>
      <c r="S63" s="11">
        <f t="shared" si="0"/>
        <v>3135430.1900000013</v>
      </c>
      <c r="T63" s="11">
        <f t="shared" si="0"/>
        <v>6466079.7174999984</v>
      </c>
      <c r="U63" s="11">
        <f t="shared" si="0"/>
        <v>2824084.1774999993</v>
      </c>
      <c r="V63" s="11">
        <f>AVERAGE(V9:V62)</f>
        <v>7765.3166308206737</v>
      </c>
      <c r="W63" s="13">
        <f>AVERAGE(W9:W62)+1</f>
        <v>4383.0566037735853</v>
      </c>
    </row>
    <row r="64" spans="1:96" ht="15" customHeight="1" thickTop="1" x14ac:dyDescent="0.25"/>
    <row r="65" spans="1:1" ht="15" customHeight="1" x14ac:dyDescent="0.25">
      <c r="A65" s="1" t="s">
        <v>32</v>
      </c>
    </row>
    <row r="66" spans="1:1" ht="15" customHeight="1" x14ac:dyDescent="0.25">
      <c r="A66" s="1" t="s">
        <v>4</v>
      </c>
    </row>
    <row r="67" spans="1:1" ht="15" customHeight="1" x14ac:dyDescent="0.25">
      <c r="A67" s="1" t="s">
        <v>40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2" width="18.7109375" style="2" customWidth="1"/>
    <col min="3" max="3" width="16.5703125" style="2" customWidth="1"/>
    <col min="4" max="4" width="15.28515625" style="2" customWidth="1"/>
    <col min="5" max="5" width="17" style="2" customWidth="1"/>
    <col min="6" max="6" width="14.7109375" style="2" bestFit="1" customWidth="1"/>
    <col min="7" max="7" width="13.7109375" style="2" bestFit="1" customWidth="1"/>
    <col min="8" max="8" width="15.7109375" style="2" customWidth="1"/>
    <col min="9" max="9" width="1.42578125" style="2" hidden="1" customWidth="1"/>
    <col min="10" max="11" width="12.7109375" style="2" customWidth="1"/>
    <col min="12" max="12" width="16.5703125" style="2" customWidth="1"/>
    <col min="13" max="13" width="16.7109375" style="2" customWidth="1"/>
    <col min="14" max="14" width="15.7109375" style="2" customWidth="1"/>
    <col min="15" max="15" width="15" style="2" customWidth="1"/>
    <col min="16" max="16" width="14.7109375" style="2" bestFit="1" customWidth="1"/>
    <col min="17" max="19" width="13.7109375" style="2" customWidth="1"/>
    <col min="20" max="20" width="14.28515625" style="2" bestFit="1" customWidth="1"/>
    <col min="21" max="23" width="13.7109375" style="2" customWidth="1"/>
    <col min="24" max="16384" width="9.140625" style="2"/>
  </cols>
  <sheetData>
    <row r="1" spans="1:96" s="3" customFormat="1" ht="45" customHeight="1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28</v>
      </c>
      <c r="U1" s="3" t="s">
        <v>37</v>
      </c>
      <c r="V1" s="3" t="s">
        <v>20</v>
      </c>
      <c r="W1" s="3" t="s">
        <v>21</v>
      </c>
    </row>
    <row r="2" spans="1:96" s="4" customFormat="1" ht="15" customHeight="1" x14ac:dyDescent="0.25">
      <c r="A2" s="4" t="s">
        <v>30</v>
      </c>
      <c r="B2" s="5">
        <v>921241505.62</v>
      </c>
      <c r="C2" s="5">
        <v>820073653.45999992</v>
      </c>
      <c r="D2" s="5">
        <v>14703193.75</v>
      </c>
      <c r="E2" s="5">
        <v>86464658.409999996</v>
      </c>
      <c r="F2" s="5">
        <v>3458586.43</v>
      </c>
      <c r="G2" s="5">
        <v>0</v>
      </c>
      <c r="H2" s="5">
        <v>83006071.979999989</v>
      </c>
      <c r="I2" s="5">
        <v>0</v>
      </c>
      <c r="J2" s="5">
        <v>0</v>
      </c>
      <c r="K2" s="5">
        <v>0</v>
      </c>
      <c r="L2" s="5">
        <v>83006071.979999989</v>
      </c>
      <c r="M2" s="5">
        <v>38597823.460000001</v>
      </c>
      <c r="N2" s="5">
        <v>24901821.949999996</v>
      </c>
      <c r="O2" s="5">
        <v>10666280.070000002</v>
      </c>
      <c r="P2" s="5">
        <v>5229382.54</v>
      </c>
      <c r="Q2" s="5">
        <v>830060.65999999992</v>
      </c>
      <c r="R2" s="5">
        <v>560290.99</v>
      </c>
      <c r="S2" s="5">
        <v>560290.99</v>
      </c>
      <c r="T2" s="5">
        <v>1660121.3199999998</v>
      </c>
      <c r="U2" s="6">
        <v>0</v>
      </c>
      <c r="V2" s="17">
        <v>1551.2486641260623</v>
      </c>
      <c r="W2" s="10">
        <v>1058.4905660377358</v>
      </c>
    </row>
    <row r="3" spans="1:96" s="4" customFormat="1" ht="15" customHeight="1" x14ac:dyDescent="0.25">
      <c r="U3" s="16"/>
    </row>
    <row r="4" spans="1:96" s="4" customFormat="1" ht="15" customHeight="1" x14ac:dyDescent="0.25">
      <c r="A4" s="30" t="s">
        <v>31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18" customFormat="1" ht="15" customHeight="1" x14ac:dyDescent="0.25"/>
    <row r="6" spans="1:96" ht="15" customHeight="1" x14ac:dyDescent="0.25">
      <c r="A6" s="8" t="s">
        <v>29</v>
      </c>
      <c r="B6" s="9">
        <v>8796283.3499999996</v>
      </c>
      <c r="C6" s="9">
        <v>7851438.4000000004</v>
      </c>
      <c r="D6" s="9">
        <v>167132</v>
      </c>
      <c r="E6" s="9">
        <f t="shared" ref="E6" si="0">B6-C6-D6</f>
        <v>777712.94999999925</v>
      </c>
      <c r="F6" s="9">
        <f>ROUND(E6*0.04,2)-0.01</f>
        <v>31108.510000000002</v>
      </c>
      <c r="G6" s="9">
        <f t="shared" ref="G6" si="1">ROUND(E6*0,2)</f>
        <v>0</v>
      </c>
      <c r="H6" s="9">
        <f t="shared" ref="H6" si="2">E6-F6-G6</f>
        <v>746604.43999999925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2">
        <f t="shared" ref="L6" si="6">IF(J6+K6=I6,H6-I6,"ERROR")</f>
        <v>746604.43999999925</v>
      </c>
      <c r="M6" s="9">
        <f t="shared" ref="M6" si="7">ROUND(L6*0.465,2)</f>
        <v>347171.06</v>
      </c>
      <c r="N6" s="9">
        <f>ROUND(L6*0.3,2)+0.03</f>
        <v>223981.36</v>
      </c>
      <c r="O6" s="9">
        <f>ROUND(L6*0.1285,2)-0.01</f>
        <v>95938.66</v>
      </c>
      <c r="P6" s="9">
        <f t="shared" ref="P6" si="8">ROUND((L6*0.07)*0.9,2)</f>
        <v>47036.08</v>
      </c>
      <c r="Q6" s="9">
        <f>ROUND(L6*0.01,2)</f>
        <v>7466.04</v>
      </c>
      <c r="R6" s="9">
        <f t="shared" ref="R6" si="9">ROUND((L6*0.0075)*0.9,2)</f>
        <v>5039.58</v>
      </c>
      <c r="S6" s="9">
        <f t="shared" ref="S6" si="10">ROUND((L6*0.0075)*0.9,2)</f>
        <v>5039.58</v>
      </c>
      <c r="T6" s="9">
        <f>ROUND(L6*0.02,2)-0.01</f>
        <v>14932.08</v>
      </c>
      <c r="U6" s="9">
        <v>0</v>
      </c>
      <c r="V6" s="17">
        <f t="shared" ref="V6" si="11">E6/W6</f>
        <v>764.71283185840639</v>
      </c>
      <c r="W6" s="10">
        <v>1017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v>44751</v>
      </c>
      <c r="B7" s="9">
        <v>19941886.57</v>
      </c>
      <c r="C7" s="9">
        <v>17814770.719999999</v>
      </c>
      <c r="D7" s="9">
        <v>312629</v>
      </c>
      <c r="E7" s="9">
        <f t="shared" ref="E7" si="12">B7-C7-D7</f>
        <v>1814486.8500000015</v>
      </c>
      <c r="F7" s="9">
        <f>ROUND(E7*0.04,2)</f>
        <v>72579.47</v>
      </c>
      <c r="G7" s="9">
        <f t="shared" ref="G7" si="13">ROUND(E7*0,2)</f>
        <v>0</v>
      </c>
      <c r="H7" s="9">
        <f t="shared" ref="H7" si="14">E7-F7-G7</f>
        <v>1741907.3800000015</v>
      </c>
      <c r="I7" s="9">
        <f t="shared" ref="I7" si="15">ROUND(H7*0,2)</f>
        <v>0</v>
      </c>
      <c r="J7" s="9">
        <f t="shared" ref="J7" si="16">ROUND((I7*0.58)+((I7*0.42)*0.1),2)</f>
        <v>0</v>
      </c>
      <c r="K7" s="9">
        <f t="shared" ref="K7" si="17">ROUND((I7*0.42)*0.9,2)</f>
        <v>0</v>
      </c>
      <c r="L7" s="22">
        <f t="shared" ref="L7" si="18">IF(J7+K7=I7,H7-I7,"ERROR")</f>
        <v>1741907.3800000015</v>
      </c>
      <c r="M7" s="9">
        <f t="shared" ref="M7" si="19">ROUND(L7*0.465,2)</f>
        <v>809986.93</v>
      </c>
      <c r="N7" s="9">
        <f>ROUND(L7*0.3,2)-0.04</f>
        <v>522572.17000000004</v>
      </c>
      <c r="O7" s="9">
        <f>ROUND(L7*0.1285,2)+0.04</f>
        <v>223835.14</v>
      </c>
      <c r="P7" s="9">
        <f t="shared" ref="P7" si="20">ROUND((L7*0.07)*0.9,2)</f>
        <v>109740.16</v>
      </c>
      <c r="Q7" s="9">
        <f>ROUND(L7*0.01,2)+0.01</f>
        <v>17419.079999999998</v>
      </c>
      <c r="R7" s="9">
        <f t="shared" ref="R7" si="21">ROUND((L7*0.0075)*0.9,2)</f>
        <v>11757.87</v>
      </c>
      <c r="S7" s="9">
        <f t="shared" ref="S7" si="22">ROUND((L7*0.0075)*0.9,2)</f>
        <v>11757.87</v>
      </c>
      <c r="T7" s="9">
        <f>ROUND(L7*0.02,2)+0.01</f>
        <v>34838.160000000003</v>
      </c>
      <c r="U7" s="9">
        <v>0</v>
      </c>
      <c r="V7" s="17">
        <f t="shared" ref="V7" si="23">E7/W7</f>
        <v>1784.1561946902671</v>
      </c>
      <c r="W7" s="10">
        <v>1017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 t="shared" ref="A8:A57" si="24">A7+7</f>
        <v>44758</v>
      </c>
      <c r="B8" s="9">
        <v>17483275.48</v>
      </c>
      <c r="C8" s="9">
        <v>15466482.34</v>
      </c>
      <c r="D8" s="9">
        <v>316039</v>
      </c>
      <c r="E8" s="9">
        <f t="shared" ref="E8" si="25">B8-C8-D8</f>
        <v>1700754.1400000006</v>
      </c>
      <c r="F8" s="9">
        <f>ROUND(E8*0.04,2)-0.01</f>
        <v>68030.16</v>
      </c>
      <c r="G8" s="9">
        <f t="shared" ref="G8" si="26">ROUND(E8*0,2)</f>
        <v>0</v>
      </c>
      <c r="H8" s="22">
        <f t="shared" ref="H8" si="27">E8-F8-G8</f>
        <v>1632723.9800000007</v>
      </c>
      <c r="I8" s="9">
        <f t="shared" ref="I8" si="28">ROUND(H8*0,2)</f>
        <v>0</v>
      </c>
      <c r="J8" s="9">
        <f t="shared" ref="J8" si="29">ROUND((I8*0.58)+((I8*0.42)*0.1),2)</f>
        <v>0</v>
      </c>
      <c r="K8" s="9">
        <f t="shared" ref="K8" si="30">ROUND((I8*0.42)*0.9,2)</f>
        <v>0</v>
      </c>
      <c r="L8" s="22">
        <f t="shared" ref="L8" si="31">IF(J8+K8=I8,H8-I8,"ERROR")</f>
        <v>1632723.9800000007</v>
      </c>
      <c r="M8" s="9">
        <f t="shared" ref="M8" si="32">ROUND(L8*0.465,2)</f>
        <v>759216.65</v>
      </c>
      <c r="N8" s="9">
        <f>ROUND(L8*0.3,2)+0.01</f>
        <v>489817.2</v>
      </c>
      <c r="O8" s="9">
        <f>ROUND(L8*0.1285,2)-0.01</f>
        <v>209805.02</v>
      </c>
      <c r="P8" s="9">
        <f t="shared" ref="P8" si="33">ROUND((L8*0.07)*0.9,2)</f>
        <v>102861.61</v>
      </c>
      <c r="Q8" s="9">
        <f>ROUND(L8*0.01,2)</f>
        <v>16327.24</v>
      </c>
      <c r="R8" s="9">
        <f t="shared" ref="R8" si="34">ROUND((L8*0.0075)*0.9,2)</f>
        <v>11020.89</v>
      </c>
      <c r="S8" s="9">
        <f t="shared" ref="S8" si="35">ROUND((L8*0.0075)*0.9,2)</f>
        <v>11020.89</v>
      </c>
      <c r="T8" s="9">
        <f>ROUND(L8*0.02,2)</f>
        <v>32654.48</v>
      </c>
      <c r="U8" s="9">
        <v>0</v>
      </c>
      <c r="V8" s="17">
        <f t="shared" ref="V8" si="36">E8/W8</f>
        <v>1669.0423356231606</v>
      </c>
      <c r="W8" s="10">
        <v>1019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 t="shared" si="24"/>
        <v>44765</v>
      </c>
      <c r="B9" s="9">
        <v>17773996.990000002</v>
      </c>
      <c r="C9" s="9">
        <v>15785167.74</v>
      </c>
      <c r="D9" s="9">
        <v>298859</v>
      </c>
      <c r="E9" s="9">
        <f t="shared" ref="E9" si="37">B9-C9-D9</f>
        <v>1689970.2500000019</v>
      </c>
      <c r="F9" s="9">
        <f>ROUND(E9*0.04,2)</f>
        <v>67598.81</v>
      </c>
      <c r="G9" s="9">
        <f t="shared" ref="G9" si="38">ROUND(E9*0,2)</f>
        <v>0</v>
      </c>
      <c r="H9" s="22">
        <f t="shared" ref="H9" si="39">E9-F9-G9</f>
        <v>1622371.4400000018</v>
      </c>
      <c r="I9" s="9">
        <f t="shared" ref="I9" si="40">ROUND(H9*0,2)</f>
        <v>0</v>
      </c>
      <c r="J9" s="9">
        <f t="shared" ref="J9" si="41">ROUND((I9*0.58)+((I9*0.42)*0.1),2)</f>
        <v>0</v>
      </c>
      <c r="K9" s="9">
        <f t="shared" ref="K9" si="42">ROUND((I9*0.42)*0.9,2)</f>
        <v>0</v>
      </c>
      <c r="L9" s="22">
        <f t="shared" ref="L9" si="43">IF(J9+K9=I9,H9-I9,"ERROR")</f>
        <v>1622371.4400000018</v>
      </c>
      <c r="M9" s="9">
        <f t="shared" ref="M9" si="44">ROUND(L9*0.465,2)</f>
        <v>754402.72</v>
      </c>
      <c r="N9" s="9">
        <f>ROUND(L9*0.3,2)-0.03</f>
        <v>486711.39999999997</v>
      </c>
      <c r="O9" s="9">
        <f>ROUND(L9*0.1285,2)+0.01</f>
        <v>208474.74000000002</v>
      </c>
      <c r="P9" s="9">
        <f t="shared" ref="P9" si="45">ROUND((L9*0.07)*0.9,2)</f>
        <v>102209.4</v>
      </c>
      <c r="Q9" s="9">
        <f>ROUND(L9*0.01,2)+0.01</f>
        <v>16223.72</v>
      </c>
      <c r="R9" s="9">
        <f t="shared" ref="R9" si="46">ROUND((L9*0.0075)*0.9,2)</f>
        <v>10951.01</v>
      </c>
      <c r="S9" s="9">
        <f t="shared" ref="S9" si="47">ROUND((L9*0.0075)*0.9,2)</f>
        <v>10951.01</v>
      </c>
      <c r="T9" s="9">
        <f>ROUND(L9*0.02,2)+0.01</f>
        <v>32447.439999999999</v>
      </c>
      <c r="U9" s="9">
        <v>0</v>
      </c>
      <c r="V9" s="17">
        <f t="shared" ref="V9" si="48">E9/W9</f>
        <v>1658.4595191364101</v>
      </c>
      <c r="W9" s="10">
        <v>1019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 t="shared" si="24"/>
        <v>44772</v>
      </c>
      <c r="B10" s="9">
        <v>18276934.039999999</v>
      </c>
      <c r="C10" s="9">
        <v>16227475.510000002</v>
      </c>
      <c r="D10" s="9">
        <v>301682</v>
      </c>
      <c r="E10" s="9">
        <f t="shared" ref="E10" si="49">B10-C10-D10</f>
        <v>1747776.5299999975</v>
      </c>
      <c r="F10" s="9">
        <f>ROUND(E10*0.04,2)</f>
        <v>69911.06</v>
      </c>
      <c r="G10" s="9">
        <f t="shared" ref="G10" si="50">ROUND(E10*0,2)</f>
        <v>0</v>
      </c>
      <c r="H10" s="22">
        <f t="shared" ref="H10" si="51">E10-F10-G10</f>
        <v>1677865.4699999974</v>
      </c>
      <c r="I10" s="9">
        <f t="shared" ref="I10" si="52">ROUND(H10*0,2)</f>
        <v>0</v>
      </c>
      <c r="J10" s="9">
        <f t="shared" ref="J10" si="53">ROUND((I10*0.58)+((I10*0.42)*0.1),2)</f>
        <v>0</v>
      </c>
      <c r="K10" s="9">
        <f t="shared" ref="K10" si="54">ROUND((I10*0.42)*0.9,2)</f>
        <v>0</v>
      </c>
      <c r="L10" s="22">
        <f t="shared" ref="L10" si="55">IF(J10+K10=I10,H10-I10,"ERROR")</f>
        <v>1677865.4699999974</v>
      </c>
      <c r="M10" s="9">
        <f t="shared" ref="M10" si="56">ROUND(L10*0.465,2)</f>
        <v>780207.44</v>
      </c>
      <c r="N10" s="9">
        <f>ROUND(L10*0.3,2)-0.03</f>
        <v>503359.61</v>
      </c>
      <c r="O10" s="9">
        <f>ROUND(L10*0.1285,2)+0.03</f>
        <v>215605.74</v>
      </c>
      <c r="P10" s="9">
        <f t="shared" ref="P10" si="57">ROUND((L10*0.07)*0.9,2)</f>
        <v>105705.52</v>
      </c>
      <c r="Q10" s="9">
        <f>ROUND(L10*0.01,2)+0.01</f>
        <v>16778.66</v>
      </c>
      <c r="R10" s="9">
        <f t="shared" ref="R10" si="58">ROUND((L10*0.0075)*0.9,2)</f>
        <v>11325.59</v>
      </c>
      <c r="S10" s="9">
        <f t="shared" ref="S10" si="59">ROUND((L10*0.0075)*0.9,2)</f>
        <v>11325.59</v>
      </c>
      <c r="T10" s="9">
        <f>ROUND(L10*0.02,2)+0.01</f>
        <v>33557.32</v>
      </c>
      <c r="U10" s="9">
        <v>0</v>
      </c>
      <c r="V10" s="17">
        <f t="shared" ref="V10" si="60">E10/W10</f>
        <v>1997.4588914285684</v>
      </c>
      <c r="W10" s="10">
        <v>875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 t="shared" si="24"/>
        <v>44779</v>
      </c>
      <c r="B11" s="9">
        <v>18743597.43</v>
      </c>
      <c r="C11" s="9">
        <v>16751712.619999999</v>
      </c>
      <c r="D11" s="9">
        <v>295525</v>
      </c>
      <c r="E11" s="9">
        <f t="shared" ref="E11" si="61">B11-C11-D11</f>
        <v>1696359.8100000005</v>
      </c>
      <c r="F11" s="9">
        <f>ROUND(E11*0.04,2)+0.01</f>
        <v>67854.399999999994</v>
      </c>
      <c r="G11" s="9">
        <f t="shared" ref="G11" si="62">ROUND(E11*0,2)</f>
        <v>0</v>
      </c>
      <c r="H11" s="22">
        <f t="shared" ref="H11" si="63">E11-F11-G11</f>
        <v>1628505.4100000006</v>
      </c>
      <c r="I11" s="9">
        <f t="shared" ref="I11" si="64">ROUND(H11*0,2)</f>
        <v>0</v>
      </c>
      <c r="J11" s="9">
        <f t="shared" ref="J11" si="65">ROUND((I11*0.58)+((I11*0.42)*0.1),2)</f>
        <v>0</v>
      </c>
      <c r="K11" s="9">
        <f t="shared" ref="K11" si="66">ROUND((I11*0.42)*0.9,2)</f>
        <v>0</v>
      </c>
      <c r="L11" s="22">
        <f t="shared" ref="L11" si="67">IF(J11+K11=I11,H11-I11,"ERROR")</f>
        <v>1628505.4100000006</v>
      </c>
      <c r="M11" s="9">
        <f t="shared" ref="M11" si="68">ROUND(L11*0.465,2)</f>
        <v>757255.02</v>
      </c>
      <c r="N11" s="9">
        <f>ROUND(L11*0.3,2)-0.04</f>
        <v>488551.58</v>
      </c>
      <c r="O11" s="9">
        <f>ROUND(L11*0.1285,2)+0.02</f>
        <v>209262.97</v>
      </c>
      <c r="P11" s="9">
        <f t="shared" ref="P11" si="69">ROUND((L11*0.07)*0.9,2)</f>
        <v>102595.84</v>
      </c>
      <c r="Q11" s="9">
        <f>ROUND(L11*0.01,2)+0.01</f>
        <v>16285.06</v>
      </c>
      <c r="R11" s="9">
        <f t="shared" ref="R11" si="70">ROUND((L11*0.0075)*0.9,2)</f>
        <v>10992.41</v>
      </c>
      <c r="S11" s="9">
        <f t="shared" ref="S11" si="71">ROUND((L11*0.0075)*0.9,2)</f>
        <v>10992.41</v>
      </c>
      <c r="T11" s="9">
        <f>ROUND(L11*0.02,2)+0.01</f>
        <v>32570.12</v>
      </c>
      <c r="U11" s="9">
        <v>0</v>
      </c>
      <c r="V11" s="17">
        <f t="shared" ref="V11" si="72">E11/W11</f>
        <v>1659.8432583170259</v>
      </c>
      <c r="W11" s="10">
        <v>1022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 t="shared" si="24"/>
        <v>44786</v>
      </c>
      <c r="B12" s="9">
        <v>17031860.640000001</v>
      </c>
      <c r="C12" s="9">
        <v>15214230.100000001</v>
      </c>
      <c r="D12" s="9">
        <v>279947</v>
      </c>
      <c r="E12" s="9">
        <f t="shared" ref="E12" si="73">B12-C12-D12</f>
        <v>1537683.5399999991</v>
      </c>
      <c r="F12" s="9">
        <f>ROUND(E12*0.04,2)</f>
        <v>61507.34</v>
      </c>
      <c r="G12" s="9">
        <f t="shared" ref="G12" si="74">ROUND(E12*0,2)</f>
        <v>0</v>
      </c>
      <c r="H12" s="22">
        <f t="shared" ref="H12" si="75">E12-F12-G12</f>
        <v>1476176.199999999</v>
      </c>
      <c r="I12" s="9">
        <f t="shared" ref="I12" si="76">ROUND(H12*0,2)</f>
        <v>0</v>
      </c>
      <c r="J12" s="9">
        <f t="shared" ref="J12" si="77">ROUND((I12*0.58)+((I12*0.42)*0.1),2)</f>
        <v>0</v>
      </c>
      <c r="K12" s="9">
        <f t="shared" ref="K12" si="78">ROUND((I12*0.42)*0.9,2)</f>
        <v>0</v>
      </c>
      <c r="L12" s="22">
        <f t="shared" ref="L12" si="79">IF(J12+K12=I12,H12-I12,"ERROR")</f>
        <v>1476176.199999999</v>
      </c>
      <c r="M12" s="9">
        <f t="shared" ref="M12" si="80">ROUND(L12*0.465,2)</f>
        <v>686421.93</v>
      </c>
      <c r="N12" s="9">
        <f>ROUND(L12*0.3,2)+0.03</f>
        <v>442852.89</v>
      </c>
      <c r="O12" s="9">
        <f>ROUND(L12*0.1285,2)-0.02</f>
        <v>189688.62000000002</v>
      </c>
      <c r="P12" s="9">
        <f t="shared" ref="P12" si="81">ROUND((L12*0.07)*0.9,2)</f>
        <v>92999.1</v>
      </c>
      <c r="Q12" s="9">
        <f>ROUND(L12*0.01,2)</f>
        <v>14761.76</v>
      </c>
      <c r="R12" s="9">
        <f t="shared" ref="R12" si="82">ROUND((L12*0.0075)*0.9,2)</f>
        <v>9964.19</v>
      </c>
      <c r="S12" s="9">
        <f t="shared" ref="S12" si="83">ROUND((L12*0.0075)*0.9,2)</f>
        <v>9964.19</v>
      </c>
      <c r="T12" s="9">
        <f>ROUND(L12*0.02,2)</f>
        <v>29523.52</v>
      </c>
      <c r="U12" s="9">
        <v>0</v>
      </c>
      <c r="V12" s="17">
        <f t="shared" ref="V12" si="84">E12/W12</f>
        <v>1501.6440820312491</v>
      </c>
      <c r="W12" s="10">
        <v>1024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 t="shared" si="24"/>
        <v>44793</v>
      </c>
      <c r="B13" s="9">
        <v>17277194.210000001</v>
      </c>
      <c r="C13" s="9">
        <v>15522284.98</v>
      </c>
      <c r="D13" s="9">
        <v>280638</v>
      </c>
      <c r="E13" s="9">
        <f t="shared" ref="E13" si="85">B13-C13-D13</f>
        <v>1474271.2300000004</v>
      </c>
      <c r="F13" s="9">
        <f>ROUND(E13*0.04,2)+0.01</f>
        <v>58970.86</v>
      </c>
      <c r="G13" s="9">
        <f t="shared" ref="G13" si="86">ROUND(E13*0,2)</f>
        <v>0</v>
      </c>
      <c r="H13" s="22">
        <f t="shared" ref="H13" si="87">E13-F13-G13</f>
        <v>1415300.3700000003</v>
      </c>
      <c r="I13" s="9">
        <f t="shared" ref="I13" si="88">ROUND(H13*0,2)</f>
        <v>0</v>
      </c>
      <c r="J13" s="9">
        <f t="shared" ref="J13" si="89">ROUND((I13*0.58)+((I13*0.42)*0.1),2)</f>
        <v>0</v>
      </c>
      <c r="K13" s="9">
        <f t="shared" ref="K13" si="90">ROUND((I13*0.42)*0.9,2)</f>
        <v>0</v>
      </c>
      <c r="L13" s="22">
        <f t="shared" ref="L13" si="91">IF(J13+K13=I13,H13-I13,"ERROR")</f>
        <v>1415300.3700000003</v>
      </c>
      <c r="M13" s="9">
        <f t="shared" ref="M13" si="92">ROUND(L13*0.465,2)</f>
        <v>658114.67000000004</v>
      </c>
      <c r="N13" s="9">
        <f>ROUND(L13*0.3,2)+0.02</f>
        <v>424590.13</v>
      </c>
      <c r="O13" s="9">
        <f>ROUND(L13*0.1285,2)-0.01</f>
        <v>181866.09</v>
      </c>
      <c r="P13" s="9">
        <f t="shared" ref="P13" si="93">ROUND((L13*0.07)*0.9,2)</f>
        <v>89163.92</v>
      </c>
      <c r="Q13" s="9">
        <f>ROUND(L13*0.01,2)</f>
        <v>14153</v>
      </c>
      <c r="R13" s="9">
        <f t="shared" ref="R13" si="94">ROUND((L13*0.0075)*0.9,2)</f>
        <v>9553.2800000000007</v>
      </c>
      <c r="S13" s="9">
        <f t="shared" ref="S13" si="95">ROUND((L13*0.0075)*0.9,2)</f>
        <v>9553.2800000000007</v>
      </c>
      <c r="T13" s="9">
        <f>ROUND(L13*0.02,2)-0.01</f>
        <v>28306</v>
      </c>
      <c r="U13" s="9">
        <v>0</v>
      </c>
      <c r="V13" s="17">
        <f t="shared" ref="V13" si="96">E13/W13</f>
        <v>1435.5123953261932</v>
      </c>
      <c r="W13" s="10">
        <v>1027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 t="shared" si="24"/>
        <v>44800</v>
      </c>
      <c r="B14" s="9">
        <v>16873725.140000001</v>
      </c>
      <c r="C14" s="9">
        <v>15031893.630000001</v>
      </c>
      <c r="D14" s="9">
        <v>259743</v>
      </c>
      <c r="E14" s="9">
        <f t="shared" ref="E14" si="97">B14-C14-D14</f>
        <v>1582088.5099999998</v>
      </c>
      <c r="F14" s="9">
        <f>ROUND(E14*0.04,2)+0.01</f>
        <v>63283.55</v>
      </c>
      <c r="G14" s="9">
        <f t="shared" ref="G14" si="98">ROUND(E14*0,2)</f>
        <v>0</v>
      </c>
      <c r="H14" s="22">
        <f t="shared" ref="H14" si="99">E14-F14-G14</f>
        <v>1518804.9599999997</v>
      </c>
      <c r="I14" s="9">
        <f t="shared" ref="I14" si="100">ROUND(H14*0,2)</f>
        <v>0</v>
      </c>
      <c r="J14" s="9">
        <f t="shared" ref="J14" si="101">ROUND((I14*0.58)+((I14*0.42)*0.1),2)</f>
        <v>0</v>
      </c>
      <c r="K14" s="9">
        <f t="shared" ref="K14" si="102">ROUND((I14*0.42)*0.9,2)</f>
        <v>0</v>
      </c>
      <c r="L14" s="22">
        <f t="shared" ref="L14" si="103">IF(J14+K14=I14,H14-I14,"ERROR")</f>
        <v>1518804.9599999997</v>
      </c>
      <c r="M14" s="9">
        <f t="shared" ref="M14" si="104">ROUND(L14*0.465,2)</f>
        <v>706244.31</v>
      </c>
      <c r="N14" s="9">
        <f>ROUND(L14*0.3,2)-0.05</f>
        <v>455641.44</v>
      </c>
      <c r="O14" s="9">
        <f>ROUND(L14*0.1285,2)+0.02</f>
        <v>195166.46</v>
      </c>
      <c r="P14" s="9">
        <f t="shared" ref="P14" si="105">ROUND((L14*0.07)*0.9,2)</f>
        <v>95684.71</v>
      </c>
      <c r="Q14" s="9">
        <f>ROUND(L14*0.01,2)+0.01</f>
        <v>15188.06</v>
      </c>
      <c r="R14" s="9">
        <f t="shared" ref="R14" si="106">ROUND((L14*0.0075)*0.9,2)</f>
        <v>10251.93</v>
      </c>
      <c r="S14" s="9">
        <f t="shared" ref="S14" si="107">ROUND((L14*0.0075)*0.9,2)</f>
        <v>10251.93</v>
      </c>
      <c r="T14" s="9">
        <f>ROUND(L14*0.02,2)+0.02</f>
        <v>30376.12</v>
      </c>
      <c r="U14" s="9">
        <v>0</v>
      </c>
      <c r="V14" s="17">
        <f t="shared" ref="V14" si="108">E14/W14</f>
        <v>1555.6425860373645</v>
      </c>
      <c r="W14" s="10">
        <v>1017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 t="shared" si="24"/>
        <v>44807</v>
      </c>
      <c r="B15" s="9">
        <v>17585023.609999999</v>
      </c>
      <c r="C15" s="9">
        <v>15652235.080000002</v>
      </c>
      <c r="D15" s="9">
        <v>282110</v>
      </c>
      <c r="E15" s="9">
        <f t="shared" ref="E15" si="109">B15-C15-D15</f>
        <v>1650678.5299999975</v>
      </c>
      <c r="F15" s="9">
        <f>ROUND(E15*0.04,2)-0.01</f>
        <v>66027.13</v>
      </c>
      <c r="G15" s="9">
        <f t="shared" ref="G15" si="110">ROUND(E15*0,2)</f>
        <v>0</v>
      </c>
      <c r="H15" s="22">
        <f t="shared" ref="H15" si="111">E15-F15-G15</f>
        <v>1584651.3999999976</v>
      </c>
      <c r="I15" s="9">
        <f t="shared" ref="I15" si="112">ROUND(H15*0,2)</f>
        <v>0</v>
      </c>
      <c r="J15" s="9">
        <f t="shared" ref="J15" si="113">ROUND((I15*0.58)+((I15*0.42)*0.1),2)</f>
        <v>0</v>
      </c>
      <c r="K15" s="9">
        <f t="shared" ref="K15" si="114">ROUND((I15*0.42)*0.9,2)</f>
        <v>0</v>
      </c>
      <c r="L15" s="22">
        <f t="shared" ref="L15" si="115">IF(J15+K15=I15,H15-I15,"ERROR")</f>
        <v>1584651.3999999976</v>
      </c>
      <c r="M15" s="9">
        <f t="shared" ref="M15" si="116">ROUND(L15*0.465,2)</f>
        <v>736862.9</v>
      </c>
      <c r="N15" s="9">
        <f>ROUND(L15*0.3,2)-0.05</f>
        <v>475395.37</v>
      </c>
      <c r="O15" s="9">
        <f>ROUND(L15*0.1285,2)+0.03</f>
        <v>203627.73</v>
      </c>
      <c r="P15" s="9">
        <f t="shared" ref="P15" si="117">ROUND((L15*0.07)*0.9,2)</f>
        <v>99833.04</v>
      </c>
      <c r="Q15" s="9">
        <f>ROUND(L15*0.01,2)+0.01</f>
        <v>15846.52</v>
      </c>
      <c r="R15" s="9">
        <f t="shared" ref="R15" si="118">ROUND((L15*0.0075)*0.9,2)</f>
        <v>10696.4</v>
      </c>
      <c r="S15" s="9">
        <f t="shared" ref="S15" si="119">ROUND((L15*0.0075)*0.9,2)</f>
        <v>10696.4</v>
      </c>
      <c r="T15" s="9">
        <f>ROUND(L15*0.02,2)+0.01</f>
        <v>31693.039999999997</v>
      </c>
      <c r="U15" s="9">
        <v>0</v>
      </c>
      <c r="V15" s="17">
        <f t="shared" ref="V15" si="120">E15/W15</f>
        <v>1619.9004219823332</v>
      </c>
      <c r="W15" s="10">
        <v>1019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 t="shared" si="24"/>
        <v>44814</v>
      </c>
      <c r="B16" s="9">
        <v>18756568.75</v>
      </c>
      <c r="C16" s="9">
        <v>16725847.93</v>
      </c>
      <c r="D16" s="9">
        <v>318605</v>
      </c>
      <c r="E16" s="9">
        <f t="shared" ref="E16" si="121">B16-C16-D16</f>
        <v>1712115.8200000003</v>
      </c>
      <c r="F16" s="9">
        <f>ROUND(E16*0.04,2)</f>
        <v>68484.63</v>
      </c>
      <c r="G16" s="9">
        <f t="shared" ref="G16" si="122">ROUND(E16*0,2)</f>
        <v>0</v>
      </c>
      <c r="H16" s="22">
        <f t="shared" ref="H16" si="123">E16-F16-G16</f>
        <v>1643631.1900000004</v>
      </c>
      <c r="I16" s="9">
        <f t="shared" ref="I16" si="124">ROUND(H16*0,2)</f>
        <v>0</v>
      </c>
      <c r="J16" s="9">
        <f t="shared" ref="J16" si="125">ROUND((I16*0.58)+((I16*0.42)*0.1),2)</f>
        <v>0</v>
      </c>
      <c r="K16" s="9">
        <f t="shared" ref="K16" si="126">ROUND((I16*0.42)*0.9,2)</f>
        <v>0</v>
      </c>
      <c r="L16" s="22">
        <f t="shared" ref="L16" si="127">IF(J16+K16=I16,H16-I16,"ERROR")</f>
        <v>1643631.1900000004</v>
      </c>
      <c r="M16" s="9">
        <f t="shared" ref="M16" si="128">ROUND(L16*0.465,2)</f>
        <v>764288.5</v>
      </c>
      <c r="N16" s="9">
        <f>ROUND(L16*0.3,2)-0.03</f>
        <v>493089.32999999996</v>
      </c>
      <c r="O16" s="9">
        <f>ROUND(L16*0.1285,2)+0.01</f>
        <v>211206.62</v>
      </c>
      <c r="P16" s="9">
        <f t="shared" ref="P16" si="129">ROUND((L16*0.07)*0.9,2)</f>
        <v>103548.76</v>
      </c>
      <c r="Q16" s="9">
        <f>ROUND(L16*0.01,2)+0.01</f>
        <v>16436.32</v>
      </c>
      <c r="R16" s="9">
        <f t="shared" ref="R16" si="130">ROUND((L16*0.0075)*0.9,2)</f>
        <v>11094.51</v>
      </c>
      <c r="S16" s="9">
        <f t="shared" ref="S16" si="131">ROUND((L16*0.0075)*0.9,2)</f>
        <v>11094.51</v>
      </c>
      <c r="T16" s="9">
        <f>ROUND(L16*0.02,2)+0.02</f>
        <v>32872.639999999999</v>
      </c>
      <c r="U16" s="9">
        <v>0</v>
      </c>
      <c r="V16" s="17">
        <f t="shared" ref="V16" si="132">E16/W16</f>
        <v>1685.1533661417325</v>
      </c>
      <c r="W16" s="10">
        <v>1016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 t="shared" si="24"/>
        <v>44821</v>
      </c>
      <c r="B17" s="9">
        <v>17404016.800000001</v>
      </c>
      <c r="C17" s="9">
        <v>15453211.949999999</v>
      </c>
      <c r="D17" s="9">
        <v>263451</v>
      </c>
      <c r="E17" s="9">
        <f t="shared" ref="E17" si="133">B17-C17-D17</f>
        <v>1687353.8500000015</v>
      </c>
      <c r="F17" s="9">
        <f>ROUND(E17*0.04,2)</f>
        <v>67494.149999999994</v>
      </c>
      <c r="G17" s="9">
        <f t="shared" ref="G17" si="134">ROUND(E17*0,2)</f>
        <v>0</v>
      </c>
      <c r="H17" s="22">
        <f t="shared" ref="H17" si="135">E17-F17-G17</f>
        <v>1619859.7000000016</v>
      </c>
      <c r="I17" s="9">
        <f t="shared" ref="I17" si="136">ROUND(H17*0,2)</f>
        <v>0</v>
      </c>
      <c r="J17" s="9">
        <f t="shared" ref="J17" si="137">ROUND((I17*0.58)+((I17*0.42)*0.1),2)</f>
        <v>0</v>
      </c>
      <c r="K17" s="9">
        <f t="shared" ref="K17" si="138">ROUND((I17*0.42)*0.9,2)</f>
        <v>0</v>
      </c>
      <c r="L17" s="22">
        <f t="shared" ref="L17" si="139">IF(J17+K17=I17,H17-I17,"ERROR")</f>
        <v>1619859.7000000016</v>
      </c>
      <c r="M17" s="9">
        <f t="shared" ref="M17" si="140">ROUND(L17*0.465,2)</f>
        <v>753234.76</v>
      </c>
      <c r="N17" s="9">
        <f>ROUND(L17*0.3,2)-0.02</f>
        <v>485957.88999999996</v>
      </c>
      <c r="O17" s="9">
        <f>ROUND(L17*0.1285,2)+0.02</f>
        <v>208151.99</v>
      </c>
      <c r="P17" s="9">
        <f t="shared" ref="P17" si="141">ROUND((L17*0.07)*0.9,2)</f>
        <v>102051.16</v>
      </c>
      <c r="Q17" s="9">
        <f>ROUND(L17*0.01,2)</f>
        <v>16198.6</v>
      </c>
      <c r="R17" s="9">
        <f t="shared" ref="R17" si="142">ROUND((L17*0.0075)*0.9,2)</f>
        <v>10934.05</v>
      </c>
      <c r="S17" s="9">
        <f t="shared" ref="S17" si="143">ROUND((L17*0.0075)*0.9,2)</f>
        <v>10934.05</v>
      </c>
      <c r="T17" s="9">
        <f>ROUND(L17*0.02,2)+0.01</f>
        <v>32397.199999999997</v>
      </c>
      <c r="U17" s="9">
        <v>0</v>
      </c>
      <c r="V17" s="17">
        <f t="shared" ref="V17" si="144">E17/W17</f>
        <v>1652.6482370225283</v>
      </c>
      <c r="W17" s="10">
        <v>1021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 t="shared" si="24"/>
        <v>44828</v>
      </c>
      <c r="B18" s="9">
        <v>15737473.32</v>
      </c>
      <c r="C18" s="9">
        <v>13920851.030000001</v>
      </c>
      <c r="D18" s="9">
        <v>281529</v>
      </c>
      <c r="E18" s="9">
        <f t="shared" ref="E18" si="145">B18-C18-D18</f>
        <v>1535093.2899999991</v>
      </c>
      <c r="F18" s="9">
        <f>ROUND(E18*0.04,2)+0.02</f>
        <v>61403.75</v>
      </c>
      <c r="G18" s="9">
        <f t="shared" ref="G18" si="146">ROUND(E18*0,2)</f>
        <v>0</v>
      </c>
      <c r="H18" s="22">
        <f t="shared" ref="H18" si="147">E18-F18-G18</f>
        <v>1473689.5399999991</v>
      </c>
      <c r="I18" s="9">
        <f t="shared" ref="I18" si="148">ROUND(H18*0,2)</f>
        <v>0</v>
      </c>
      <c r="J18" s="9">
        <f t="shared" ref="J18" si="149">ROUND((I18*0.58)+((I18*0.42)*0.1),2)</f>
        <v>0</v>
      </c>
      <c r="K18" s="9">
        <f t="shared" ref="K18" si="150">ROUND((I18*0.42)*0.9,2)</f>
        <v>0</v>
      </c>
      <c r="L18" s="22">
        <f t="shared" ref="L18" si="151">IF(J18+K18=I18,H18-I18,"ERROR")</f>
        <v>1473689.5399999991</v>
      </c>
      <c r="M18" s="9">
        <f t="shared" ref="M18" si="152">ROUND(L18*0.465,2)</f>
        <v>685265.64</v>
      </c>
      <c r="N18" s="9">
        <f>ROUND(L18*0.3,2)-0.04</f>
        <v>442106.82</v>
      </c>
      <c r="O18" s="9">
        <f>ROUND(L18*0.1285,2)+0.03</f>
        <v>189369.13999999998</v>
      </c>
      <c r="P18" s="9">
        <f t="shared" ref="P18" si="153">ROUND((L18*0.07)*0.9,2)</f>
        <v>92842.44</v>
      </c>
      <c r="Q18" s="9">
        <f>ROUND(L18*0.01,2)</f>
        <v>14736.9</v>
      </c>
      <c r="R18" s="9">
        <f t="shared" ref="R18" si="154">ROUND((L18*0.0075)*0.9,2)</f>
        <v>9947.4</v>
      </c>
      <c r="S18" s="9">
        <f t="shared" ref="S18" si="155">ROUND((L18*0.0075)*0.9,2)</f>
        <v>9947.4</v>
      </c>
      <c r="T18" s="9">
        <f>ROUND(L18*0.02,2)+0.01</f>
        <v>29473.8</v>
      </c>
      <c r="U18" s="9">
        <v>0</v>
      </c>
      <c r="V18" s="17">
        <f t="shared" ref="V18" si="156">E18/W18</f>
        <v>1504.9934215686267</v>
      </c>
      <c r="W18" s="10">
        <v>1020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 t="shared" si="24"/>
        <v>44835</v>
      </c>
      <c r="B19" s="9">
        <v>16483561.630000001</v>
      </c>
      <c r="C19" s="9">
        <v>14543294.530000001</v>
      </c>
      <c r="D19" s="9">
        <v>291507</v>
      </c>
      <c r="E19" s="9">
        <f t="shared" ref="E19" si="157">B19-C19-D19</f>
        <v>1648760.0999999996</v>
      </c>
      <c r="F19" s="9">
        <f>ROUND(E19*0.04,2)+0.01</f>
        <v>65950.409999999989</v>
      </c>
      <c r="G19" s="9">
        <f t="shared" ref="G19" si="158">ROUND(E19*0,2)</f>
        <v>0</v>
      </c>
      <c r="H19" s="22">
        <f t="shared" ref="H19" si="159">E19-F19-G19</f>
        <v>1582809.6899999997</v>
      </c>
      <c r="I19" s="9">
        <f t="shared" ref="I19" si="160">ROUND(H19*0,2)</f>
        <v>0</v>
      </c>
      <c r="J19" s="9">
        <f t="shared" ref="J19" si="161">ROUND((I19*0.58)+((I19*0.42)*0.1),2)</f>
        <v>0</v>
      </c>
      <c r="K19" s="9">
        <f t="shared" ref="K19" si="162">ROUND((I19*0.42)*0.9,2)</f>
        <v>0</v>
      </c>
      <c r="L19" s="22">
        <f t="shared" ref="L19" si="163">IF(J19+K19=I19,H19-I19,"ERROR")</f>
        <v>1582809.6899999997</v>
      </c>
      <c r="M19" s="9">
        <f t="shared" ref="M19" si="164">ROUND(L19*0.465,2)</f>
        <v>736006.51</v>
      </c>
      <c r="N19" s="9">
        <f>ROUND(L19*0.3,2)-0.03</f>
        <v>474842.87999999995</v>
      </c>
      <c r="O19" s="9">
        <f>ROUND(L19*0.1285,2)</f>
        <v>203391.05</v>
      </c>
      <c r="P19" s="9">
        <f t="shared" ref="P19" si="165">ROUND((L19*0.07)*0.9,2)</f>
        <v>99717.01</v>
      </c>
      <c r="Q19" s="9">
        <f>ROUND(L19*0.01,2)</f>
        <v>15828.1</v>
      </c>
      <c r="R19" s="9">
        <f t="shared" ref="R19" si="166">ROUND((L19*0.0075)*0.9,2)</f>
        <v>10683.97</v>
      </c>
      <c r="S19" s="9">
        <f t="shared" ref="S19" si="167">ROUND((L19*0.0075)*0.9,2)</f>
        <v>10683.97</v>
      </c>
      <c r="T19" s="9">
        <f>ROUND(L19*0.02,2)+0.01</f>
        <v>31656.199999999997</v>
      </c>
      <c r="U19" s="9">
        <v>0</v>
      </c>
      <c r="V19" s="17">
        <f t="shared" ref="V19" si="168">E19/W19</f>
        <v>1610.1172851562496</v>
      </c>
      <c r="W19" s="10">
        <v>1024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 t="shared" si="24"/>
        <v>44842</v>
      </c>
      <c r="B20" s="9">
        <v>17953464.390000001</v>
      </c>
      <c r="C20" s="9">
        <v>15914554.449999999</v>
      </c>
      <c r="D20" s="9">
        <v>284442</v>
      </c>
      <c r="E20" s="9">
        <f t="shared" ref="E20" si="169">B20-C20-D20</f>
        <v>1754467.9400000013</v>
      </c>
      <c r="F20" s="9">
        <f>ROUND(E20*0.04,2)-0.01</f>
        <v>70178.710000000006</v>
      </c>
      <c r="G20" s="9">
        <f t="shared" ref="G20" si="170">ROUND(E20*0,2)</f>
        <v>0</v>
      </c>
      <c r="H20" s="22">
        <f t="shared" ref="H20" si="171">E20-F20-G20</f>
        <v>1684289.2300000014</v>
      </c>
      <c r="I20" s="9">
        <f t="shared" ref="I20" si="172">ROUND(H20*0,2)</f>
        <v>0</v>
      </c>
      <c r="J20" s="9">
        <f t="shared" ref="J20" si="173">ROUND((I20*0.58)+((I20*0.42)*0.1),2)</f>
        <v>0</v>
      </c>
      <c r="K20" s="9">
        <f t="shared" ref="K20" si="174">ROUND((I20*0.42)*0.9,2)</f>
        <v>0</v>
      </c>
      <c r="L20" s="22">
        <f t="shared" ref="L20" si="175">IF(J20+K20=I20,H20-I20,"ERROR")</f>
        <v>1684289.2300000014</v>
      </c>
      <c r="M20" s="9">
        <f t="shared" ref="M20" si="176">ROUND(L20*0.465,2)</f>
        <v>783194.49</v>
      </c>
      <c r="N20" s="9">
        <f>ROUND(L20*0.3,2)-0.05</f>
        <v>505286.72000000003</v>
      </c>
      <c r="O20" s="9">
        <f>ROUND(L20*0.1285,2)+0.03</f>
        <v>216431.2</v>
      </c>
      <c r="P20" s="9">
        <f t="shared" ref="P20" si="177">ROUND((L20*0.07)*0.9,2)</f>
        <v>106110.22</v>
      </c>
      <c r="Q20" s="9">
        <f>ROUND(L20*0.01,2)+0.01</f>
        <v>16842.899999999998</v>
      </c>
      <c r="R20" s="9">
        <f t="shared" ref="R20" si="178">ROUND((L20*0.0075)*0.9,2)</f>
        <v>11368.95</v>
      </c>
      <c r="S20" s="9">
        <f t="shared" ref="S20" si="179">ROUND((L20*0.0075)*0.9,2)</f>
        <v>11368.95</v>
      </c>
      <c r="T20" s="9">
        <f>ROUND(L20*0.02,2)+0.02</f>
        <v>33685.799999999996</v>
      </c>
      <c r="U20" s="9">
        <v>0</v>
      </c>
      <c r="V20" s="17">
        <f t="shared" ref="V20" si="180">E20/W20</f>
        <v>1720.0666078431386</v>
      </c>
      <c r="W20" s="10">
        <v>1020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 t="shared" si="24"/>
        <v>44849</v>
      </c>
      <c r="B21" s="9">
        <v>17047623.449999999</v>
      </c>
      <c r="C21" s="9">
        <v>15131809.27</v>
      </c>
      <c r="D21" s="9">
        <v>296658</v>
      </c>
      <c r="E21" s="9">
        <f t="shared" ref="E21" si="181">B21-C21-D21</f>
        <v>1619156.1799999997</v>
      </c>
      <c r="F21" s="9">
        <f>ROUND(E21*0.04,2)-0.01</f>
        <v>64766.239999999998</v>
      </c>
      <c r="G21" s="9">
        <f t="shared" ref="G21" si="182">ROUND(E21*0,2)</f>
        <v>0</v>
      </c>
      <c r="H21" s="22">
        <f t="shared" ref="H21" si="183">E21-F21-G21</f>
        <v>1554389.9399999997</v>
      </c>
      <c r="I21" s="9">
        <f t="shared" ref="I21" si="184">ROUND(H21*0,2)</f>
        <v>0</v>
      </c>
      <c r="J21" s="9">
        <f t="shared" ref="J21" si="185">ROUND((I21*0.58)+((I21*0.42)*0.1),2)</f>
        <v>0</v>
      </c>
      <c r="K21" s="9">
        <f t="shared" ref="K21" si="186">ROUND((I21*0.42)*0.9,2)</f>
        <v>0</v>
      </c>
      <c r="L21" s="22">
        <f t="shared" ref="L21" si="187">IF(J21+K21=I21,H21-I21,"ERROR")</f>
        <v>1554389.9399999997</v>
      </c>
      <c r="M21" s="9">
        <f t="shared" ref="M21" si="188">ROUND(L21*0.465,2)</f>
        <v>722791.32</v>
      </c>
      <c r="N21" s="9">
        <f>ROUND(L21*0.3,2)+0.01</f>
        <v>466316.99</v>
      </c>
      <c r="O21" s="9">
        <f>ROUND(L21*0.1285,2)-0.01</f>
        <v>199739.09999999998</v>
      </c>
      <c r="P21" s="9">
        <f t="shared" ref="P21" si="189">ROUND((L21*0.07)*0.9,2)</f>
        <v>97926.57</v>
      </c>
      <c r="Q21" s="9">
        <f>ROUND(L21*0.01,2)</f>
        <v>15543.9</v>
      </c>
      <c r="R21" s="9">
        <f t="shared" ref="R21" si="190">ROUND((L21*0.0075)*0.9,2)</f>
        <v>10492.13</v>
      </c>
      <c r="S21" s="9">
        <f t="shared" ref="S21" si="191">ROUND((L21*0.0075)*0.9,2)</f>
        <v>10492.13</v>
      </c>
      <c r="T21" s="9">
        <f>ROUND(L21*0.02,2)</f>
        <v>31087.8</v>
      </c>
      <c r="U21" s="9">
        <v>0</v>
      </c>
      <c r="V21" s="17">
        <f t="shared" ref="V21" si="192">E21/W21</f>
        <v>1590.5266994106087</v>
      </c>
      <c r="W21" s="10">
        <v>1018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 t="shared" si="24"/>
        <v>44856</v>
      </c>
      <c r="B22" s="9">
        <v>16103186.600000001</v>
      </c>
      <c r="C22" s="9">
        <v>14427050.390000001</v>
      </c>
      <c r="D22" s="9">
        <v>286561</v>
      </c>
      <c r="E22" s="9">
        <f t="shared" ref="E22" si="193">B22-C22-D22</f>
        <v>1389575.2100000009</v>
      </c>
      <c r="F22" s="9">
        <f>ROUND(E22*0.04,2)-0.02</f>
        <v>55582.990000000005</v>
      </c>
      <c r="G22" s="9">
        <f t="shared" ref="G22" si="194">ROUND(E22*0,2)</f>
        <v>0</v>
      </c>
      <c r="H22" s="22">
        <f t="shared" ref="H22" si="195">E22-F22-G22</f>
        <v>1333992.2200000009</v>
      </c>
      <c r="I22" s="9">
        <f t="shared" ref="I22" si="196">ROUND(H22*0,2)</f>
        <v>0</v>
      </c>
      <c r="J22" s="9">
        <f t="shared" ref="J22" si="197">ROUND((I22*0.58)+((I22*0.42)*0.1),2)</f>
        <v>0</v>
      </c>
      <c r="K22" s="9">
        <f t="shared" ref="K22" si="198">ROUND((I22*0.42)*0.9,2)</f>
        <v>0</v>
      </c>
      <c r="L22" s="22">
        <f t="shared" ref="L22" si="199">IF(J22+K22=I22,H22-I22,"ERROR")</f>
        <v>1333992.2200000009</v>
      </c>
      <c r="M22" s="9">
        <f t="shared" ref="M22" si="200">ROUND(L22*0.465,2)</f>
        <v>620306.38</v>
      </c>
      <c r="N22" s="9">
        <f>ROUND(L22*0.3,2)</f>
        <v>400197.67</v>
      </c>
      <c r="O22" s="9">
        <f>ROUND(L22*0.1285,2)</f>
        <v>171418</v>
      </c>
      <c r="P22" s="9">
        <f t="shared" ref="P22" si="201">ROUND((L22*0.07)*0.9,2)</f>
        <v>84041.51</v>
      </c>
      <c r="Q22" s="9">
        <f>ROUND(L22*0.01,2)</f>
        <v>13339.92</v>
      </c>
      <c r="R22" s="9">
        <f t="shared" ref="R22" si="202">ROUND((L22*0.0075)*0.9,2)</f>
        <v>9004.4500000000007</v>
      </c>
      <c r="S22" s="9">
        <f t="shared" ref="S22" si="203">ROUND((L22*0.0075)*0.9,2)</f>
        <v>9004.4500000000007</v>
      </c>
      <c r="T22" s="9">
        <f>ROUND(L22*0.02,2)</f>
        <v>26679.84</v>
      </c>
      <c r="U22" s="9">
        <v>0</v>
      </c>
      <c r="V22" s="17">
        <f t="shared" ref="V22" si="204">E22/W22</f>
        <v>1358.3335386119265</v>
      </c>
      <c r="W22" s="10">
        <v>1023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 t="shared" si="24"/>
        <v>44863</v>
      </c>
      <c r="B23" s="9">
        <v>15757310.07</v>
      </c>
      <c r="C23" s="9">
        <v>13969171.379999999</v>
      </c>
      <c r="D23" s="9">
        <v>289770</v>
      </c>
      <c r="E23" s="9">
        <f t="shared" ref="E23" si="205">B23-C23-D23</f>
        <v>1498368.6900000013</v>
      </c>
      <c r="F23" s="9">
        <f>ROUND(E23*0.04,2)</f>
        <v>59934.75</v>
      </c>
      <c r="G23" s="9">
        <f t="shared" ref="G23" si="206">ROUND(E23*0,2)</f>
        <v>0</v>
      </c>
      <c r="H23" s="22">
        <f t="shared" ref="H23" si="207">E23-F23-G23</f>
        <v>1438433.9400000013</v>
      </c>
      <c r="I23" s="9">
        <f t="shared" ref="I23" si="208">ROUND(H23*0,2)</f>
        <v>0</v>
      </c>
      <c r="J23" s="9">
        <f t="shared" ref="J23" si="209">ROUND((I23*0.58)+((I23*0.42)*0.1),2)</f>
        <v>0</v>
      </c>
      <c r="K23" s="9">
        <f t="shared" ref="K23" si="210">ROUND((I23*0.42)*0.9,2)</f>
        <v>0</v>
      </c>
      <c r="L23" s="22">
        <f t="shared" ref="L23" si="211">IF(J23+K23=I23,H23-I23,"ERROR")</f>
        <v>1438433.9400000013</v>
      </c>
      <c r="M23" s="9">
        <f t="shared" ref="M23" si="212">ROUND(L23*0.465,2)</f>
        <v>668871.78</v>
      </c>
      <c r="N23" s="9">
        <f>ROUND(L23*0.3,2)</f>
        <v>431530.18</v>
      </c>
      <c r="O23" s="9">
        <f>ROUND(L23*0.1285,2)+0.02</f>
        <v>184838.78</v>
      </c>
      <c r="P23" s="9">
        <f t="shared" ref="P23" si="213">ROUND((L23*0.07)*0.9,2)</f>
        <v>90621.34</v>
      </c>
      <c r="Q23" s="9">
        <f>ROUND(L23*0.01,2)</f>
        <v>14384.34</v>
      </c>
      <c r="R23" s="9">
        <f>ROUND((L23*0.0075)*0.9,2)-0.01</f>
        <v>9709.42</v>
      </c>
      <c r="S23" s="9">
        <f>ROUND((L23*0.0075)*0.9,2)-0.01</f>
        <v>9709.42</v>
      </c>
      <c r="T23" s="9">
        <f>ROUND(L23*0.02,2)</f>
        <v>28768.68</v>
      </c>
      <c r="U23" s="9">
        <v>0</v>
      </c>
      <c r="V23" s="17">
        <f t="shared" ref="V23" si="214">E23/W23</f>
        <v>1466.1141780821931</v>
      </c>
      <c r="W23" s="10">
        <v>1022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 t="shared" si="24"/>
        <v>44870</v>
      </c>
      <c r="B24" s="9">
        <v>16939758.43</v>
      </c>
      <c r="C24" s="9">
        <v>14995106.23</v>
      </c>
      <c r="D24" s="9">
        <v>289256</v>
      </c>
      <c r="E24" s="9">
        <f t="shared" ref="E24" si="215">B24-C24-D24</f>
        <v>1655396.1999999993</v>
      </c>
      <c r="F24" s="9">
        <f>ROUND(E24*0.04,2)</f>
        <v>66215.850000000006</v>
      </c>
      <c r="G24" s="9">
        <f t="shared" ref="G24" si="216">ROUND(E24*0,2)</f>
        <v>0</v>
      </c>
      <c r="H24" s="22">
        <f t="shared" ref="H24" si="217">E24-F24-G24</f>
        <v>1589180.3499999992</v>
      </c>
      <c r="I24" s="9">
        <f t="shared" ref="I24" si="218">ROUND(H24*0,2)</f>
        <v>0</v>
      </c>
      <c r="J24" s="9">
        <f t="shared" ref="J24" si="219">ROUND((I24*0.58)+((I24*0.42)*0.1),2)</f>
        <v>0</v>
      </c>
      <c r="K24" s="9">
        <f t="shared" ref="K24" si="220">ROUND((I24*0.42)*0.9,2)</f>
        <v>0</v>
      </c>
      <c r="L24" s="22">
        <f t="shared" ref="L24" si="221">IF(J24+K24=I24,H24-I24,"ERROR")</f>
        <v>1589180.3499999992</v>
      </c>
      <c r="M24" s="9">
        <f t="shared" ref="M24" si="222">ROUND(L24*0.465,2)</f>
        <v>738968.86</v>
      </c>
      <c r="N24" s="9">
        <f>ROUND(L24*0.3,2)+0.03</f>
        <v>476754.14</v>
      </c>
      <c r="O24" s="9">
        <f>ROUND(L24*0.1285,2)</f>
        <v>204209.67</v>
      </c>
      <c r="P24" s="9">
        <f t="shared" ref="P24" si="223">ROUND((L24*0.07)*0.9,2)</f>
        <v>100118.36</v>
      </c>
      <c r="Q24" s="9">
        <f>ROUND(L24*0.01,2)</f>
        <v>15891.8</v>
      </c>
      <c r="R24" s="9">
        <f>ROUND((L24*0.0075)*0.9,2)-0.01</f>
        <v>10726.96</v>
      </c>
      <c r="S24" s="9">
        <f>ROUND((L24*0.0075)*0.9,2)-0.01</f>
        <v>10726.96</v>
      </c>
      <c r="T24" s="9">
        <f>ROUND(L24*0.02,2)-0.01</f>
        <v>31783.600000000002</v>
      </c>
      <c r="U24" s="9">
        <v>0</v>
      </c>
      <c r="V24" s="17">
        <f t="shared" ref="V24" si="224">E24/W24</f>
        <v>1783.8321120689648</v>
      </c>
      <c r="W24" s="10">
        <v>928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 t="shared" si="24"/>
        <v>44877</v>
      </c>
      <c r="B25" s="9">
        <v>17149573.370000001</v>
      </c>
      <c r="C25" s="9">
        <v>15267507.059999999</v>
      </c>
      <c r="D25" s="9">
        <v>283753</v>
      </c>
      <c r="E25" s="9">
        <f t="shared" ref="E25" si="225">B25-C25-D25</f>
        <v>1598313.3100000024</v>
      </c>
      <c r="F25" s="9">
        <f>ROUND(E25*0.04,2)</f>
        <v>63932.53</v>
      </c>
      <c r="G25" s="9">
        <f t="shared" ref="G25" si="226">ROUND(E25*0,2)</f>
        <v>0</v>
      </c>
      <c r="H25" s="22">
        <f t="shared" ref="H25" si="227">E25-F25-G25</f>
        <v>1534380.7800000024</v>
      </c>
      <c r="I25" s="9">
        <f t="shared" ref="I25" si="228">ROUND(H25*0,2)</f>
        <v>0</v>
      </c>
      <c r="J25" s="9">
        <f t="shared" ref="J25" si="229">ROUND((I25*0.58)+((I25*0.42)*0.1),2)</f>
        <v>0</v>
      </c>
      <c r="K25" s="9">
        <f t="shared" ref="K25" si="230">ROUND((I25*0.42)*0.9,2)</f>
        <v>0</v>
      </c>
      <c r="L25" s="22">
        <f t="shared" ref="L25" si="231">IF(J25+K25=I25,H25-I25,"ERROR")</f>
        <v>1534380.7800000024</v>
      </c>
      <c r="M25" s="9">
        <f t="shared" ref="M25" si="232">ROUND(L25*0.465,2)</f>
        <v>713487.06</v>
      </c>
      <c r="N25" s="9">
        <f>ROUND(L25*0.3,2)+0.04</f>
        <v>460314.26999999996</v>
      </c>
      <c r="O25" s="9">
        <f>ROUND(L25*0.1285,2)-0.01</f>
        <v>197167.91999999998</v>
      </c>
      <c r="P25" s="9">
        <f t="shared" ref="P25" si="233">ROUND((L25*0.07)*0.9,2)</f>
        <v>96665.99</v>
      </c>
      <c r="Q25" s="9">
        <f>ROUND(L25*0.01,2)-0.01</f>
        <v>15343.8</v>
      </c>
      <c r="R25" s="9">
        <f t="shared" ref="R25:R30" si="234">ROUND((L25*0.0075)*0.9,2)</f>
        <v>10357.07</v>
      </c>
      <c r="S25" s="9">
        <f t="shared" ref="S25:S30" si="235">ROUND((L25*0.0075)*0.9,2)</f>
        <v>10357.07</v>
      </c>
      <c r="T25" s="9">
        <f>ROUND(L25*0.02,2)-0.02</f>
        <v>30687.599999999999</v>
      </c>
      <c r="U25" s="9">
        <v>0</v>
      </c>
      <c r="V25" s="17">
        <f t="shared" ref="V25" si="236">E25/W25</f>
        <v>1742.9807088331543</v>
      </c>
      <c r="W25" s="10">
        <v>917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 t="shared" si="24"/>
        <v>44884</v>
      </c>
      <c r="B26" s="9">
        <v>14346628.940000001</v>
      </c>
      <c r="C26" s="9">
        <v>12662730.460000001</v>
      </c>
      <c r="D26" s="9">
        <v>259618</v>
      </c>
      <c r="E26" s="9">
        <f t="shared" ref="E26" si="237">B26-C26-D26</f>
        <v>1424280.4800000004</v>
      </c>
      <c r="F26" s="9">
        <f>ROUND(E26*0.04,2)</f>
        <v>56971.22</v>
      </c>
      <c r="G26" s="9">
        <f t="shared" ref="G26" si="238">ROUND(E26*0,2)</f>
        <v>0</v>
      </c>
      <c r="H26" s="22">
        <f t="shared" ref="H26" si="239">E26-F26-G26</f>
        <v>1367309.2600000005</v>
      </c>
      <c r="I26" s="9">
        <f t="shared" ref="I26" si="240">ROUND(H26*0,2)</f>
        <v>0</v>
      </c>
      <c r="J26" s="9">
        <f t="shared" ref="J26" si="241">ROUND((I26*0.58)+((I26*0.42)*0.1),2)</f>
        <v>0</v>
      </c>
      <c r="K26" s="9">
        <f t="shared" ref="K26" si="242">ROUND((I26*0.42)*0.9,2)</f>
        <v>0</v>
      </c>
      <c r="L26" s="22">
        <f t="shared" ref="L26" si="243">IF(J26+K26=I26,H26-I26,"ERROR")</f>
        <v>1367309.2600000005</v>
      </c>
      <c r="M26" s="9">
        <f t="shared" ref="M26" si="244">ROUND(L26*0.465,2)</f>
        <v>635798.81000000006</v>
      </c>
      <c r="N26" s="9">
        <f>ROUND(L26*0.3,2)-0.05</f>
        <v>410192.73000000004</v>
      </c>
      <c r="O26" s="9">
        <f>ROUND(L26*0.1285,2)+0.02</f>
        <v>175699.25999999998</v>
      </c>
      <c r="P26" s="9">
        <f t="shared" ref="P26" si="245">ROUND((L26*0.07)*0.9,2)</f>
        <v>86140.479999999996</v>
      </c>
      <c r="Q26" s="9">
        <f>ROUND(L26*0.01,2)+0.01</f>
        <v>13673.1</v>
      </c>
      <c r="R26" s="9">
        <f t="shared" si="234"/>
        <v>9229.34</v>
      </c>
      <c r="S26" s="9">
        <f t="shared" si="235"/>
        <v>9229.34</v>
      </c>
      <c r="T26" s="9">
        <f>ROUND(L26*0.02,2)+0.01</f>
        <v>27346.199999999997</v>
      </c>
      <c r="U26" s="9">
        <v>0</v>
      </c>
      <c r="V26" s="17">
        <f t="shared" ref="V26" si="246">E26/W26</f>
        <v>1553.1957251908402</v>
      </c>
      <c r="W26" s="10">
        <v>917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 t="shared" si="24"/>
        <v>44891</v>
      </c>
      <c r="B27" s="9">
        <v>17265712.670000002</v>
      </c>
      <c r="C27" s="9">
        <v>15381845.009999998</v>
      </c>
      <c r="D27" s="9">
        <v>285328</v>
      </c>
      <c r="E27" s="9">
        <f t="shared" ref="E27" si="247">B27-C27-D27</f>
        <v>1598539.6600000039</v>
      </c>
      <c r="F27" s="9">
        <f>ROUND(E27*0.04,2)-0.01</f>
        <v>63941.579999999994</v>
      </c>
      <c r="G27" s="9">
        <f t="shared" ref="G27" si="248">ROUND(E27*0,2)</f>
        <v>0</v>
      </c>
      <c r="H27" s="22">
        <f t="shared" ref="H27" si="249">E27-F27-G27</f>
        <v>1534598.0800000038</v>
      </c>
      <c r="I27" s="9">
        <f t="shared" ref="I27" si="250">ROUND(H27*0,2)</f>
        <v>0</v>
      </c>
      <c r="J27" s="9">
        <f t="shared" ref="J27" si="251">ROUND((I27*0.58)+((I27*0.42)*0.1),2)</f>
        <v>0</v>
      </c>
      <c r="K27" s="9">
        <f t="shared" ref="K27" si="252">ROUND((I27*0.42)*0.9,2)</f>
        <v>0</v>
      </c>
      <c r="L27" s="22">
        <f t="shared" ref="L27" si="253">IF(J27+K27=I27,H27-I27,"ERROR")</f>
        <v>1534598.0800000038</v>
      </c>
      <c r="M27" s="9">
        <f t="shared" ref="M27" si="254">ROUND(L27*0.465,2)</f>
        <v>713588.11</v>
      </c>
      <c r="N27" s="9">
        <f>ROUND(L27*0.3,2)</f>
        <v>460379.42</v>
      </c>
      <c r="O27" s="9">
        <f>ROUND(L27*0.1285,2)</f>
        <v>197195.85</v>
      </c>
      <c r="P27" s="9">
        <f t="shared" ref="P27" si="255">ROUND((L27*0.07)*0.9,2)</f>
        <v>96679.679999999993</v>
      </c>
      <c r="Q27" s="9">
        <f>ROUND(L27*0.01,2)</f>
        <v>15345.98</v>
      </c>
      <c r="R27" s="9">
        <f t="shared" si="234"/>
        <v>10358.540000000001</v>
      </c>
      <c r="S27" s="9">
        <f t="shared" si="235"/>
        <v>10358.540000000001</v>
      </c>
      <c r="T27" s="9">
        <f>ROUND(L27*0.02,2)</f>
        <v>30691.96</v>
      </c>
      <c r="U27" s="9">
        <v>0</v>
      </c>
      <c r="V27" s="17">
        <f t="shared" ref="V27" si="256">E27/W27</f>
        <v>1741.3286056644922</v>
      </c>
      <c r="W27" s="10">
        <v>918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 t="shared" si="24"/>
        <v>44898</v>
      </c>
      <c r="B28" s="9">
        <v>14558651.859999999</v>
      </c>
      <c r="C28" s="9">
        <v>12960598.279999999</v>
      </c>
      <c r="D28" s="9">
        <v>263104</v>
      </c>
      <c r="E28" s="9">
        <f t="shared" ref="E28" si="257">B28-C28-D28</f>
        <v>1334949.58</v>
      </c>
      <c r="F28" s="9">
        <f>ROUND(E28*0.04,2)-0.01</f>
        <v>53397.97</v>
      </c>
      <c r="G28" s="9">
        <f t="shared" ref="G28" si="258">ROUND(E28*0,2)</f>
        <v>0</v>
      </c>
      <c r="H28" s="22">
        <f t="shared" ref="H28" si="259">E28-F28-G28</f>
        <v>1281551.6100000001</v>
      </c>
      <c r="I28" s="9">
        <f t="shared" ref="I28" si="260">ROUND(H28*0,2)</f>
        <v>0</v>
      </c>
      <c r="J28" s="9">
        <f t="shared" ref="J28" si="261">ROUND((I28*0.58)+((I28*0.42)*0.1),2)</f>
        <v>0</v>
      </c>
      <c r="K28" s="9">
        <f t="shared" ref="K28" si="262">ROUND((I28*0.42)*0.9,2)</f>
        <v>0</v>
      </c>
      <c r="L28" s="22">
        <f t="shared" ref="L28" si="263">IF(J28+K28=I28,H28-I28,"ERROR")</f>
        <v>1281551.6100000001</v>
      </c>
      <c r="M28" s="9">
        <f t="shared" ref="M28" si="264">ROUND(L28*0.465,2)</f>
        <v>595921.5</v>
      </c>
      <c r="N28" s="9">
        <f>ROUND(L28*0.3,2)-0.02</f>
        <v>384465.45999999996</v>
      </c>
      <c r="O28" s="9">
        <f>ROUND(L28*0.1285,2)+0.02</f>
        <v>164679.4</v>
      </c>
      <c r="P28" s="9">
        <f t="shared" ref="P28" si="265">ROUND((L28*0.07)*0.9,2)</f>
        <v>80737.75</v>
      </c>
      <c r="Q28" s="9">
        <f>ROUND(L28*0.01,2)</f>
        <v>12815.52</v>
      </c>
      <c r="R28" s="9">
        <f t="shared" si="234"/>
        <v>8650.4699999999993</v>
      </c>
      <c r="S28" s="9">
        <f t="shared" si="235"/>
        <v>8650.4699999999993</v>
      </c>
      <c r="T28" s="9">
        <f>ROUND(L28*0.02,2)+0.01</f>
        <v>25631.039999999997</v>
      </c>
      <c r="U28" s="9">
        <v>0</v>
      </c>
      <c r="V28" s="17">
        <f t="shared" ref="V28" si="266">E28/W28</f>
        <v>1364.9791206543969</v>
      </c>
      <c r="W28" s="10">
        <v>978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 t="shared" si="24"/>
        <v>44905</v>
      </c>
      <c r="B29" s="9">
        <v>14320085.33</v>
      </c>
      <c r="C29" s="9">
        <v>12717921.91</v>
      </c>
      <c r="D29" s="9">
        <v>249839</v>
      </c>
      <c r="E29" s="9">
        <f t="shared" ref="E29" si="267">B29-C29-D29</f>
        <v>1352324.42</v>
      </c>
      <c r="F29" s="9">
        <f>ROUND(E29*0.04,2)+0.01</f>
        <v>54092.990000000005</v>
      </c>
      <c r="G29" s="9">
        <f t="shared" ref="G29" si="268">ROUND(E29*0,2)</f>
        <v>0</v>
      </c>
      <c r="H29" s="22">
        <f t="shared" ref="H29" si="269">E29-F29-G29</f>
        <v>1298231.43</v>
      </c>
      <c r="I29" s="9">
        <f t="shared" ref="I29" si="270">ROUND(H29*0,2)</f>
        <v>0</v>
      </c>
      <c r="J29" s="9">
        <f t="shared" ref="J29" si="271">ROUND((I29*0.58)+((I29*0.42)*0.1),2)</f>
        <v>0</v>
      </c>
      <c r="K29" s="9">
        <f t="shared" ref="K29" si="272">ROUND((I29*0.42)*0.9,2)</f>
        <v>0</v>
      </c>
      <c r="L29" s="22">
        <f t="shared" ref="L29" si="273">IF(J29+K29=I29,H29-I29,"ERROR")</f>
        <v>1298231.43</v>
      </c>
      <c r="M29" s="9">
        <f t="shared" ref="M29" si="274">ROUND(L29*0.465,2)</f>
        <v>603677.61</v>
      </c>
      <c r="N29" s="9">
        <f>ROUND(L29*0.3,2)-0.03</f>
        <v>389469.39999999997</v>
      </c>
      <c r="O29" s="9">
        <f>ROUND(L29*0.1285,2)+0.02</f>
        <v>166822.75999999998</v>
      </c>
      <c r="P29" s="9">
        <f t="shared" ref="P29" si="275">ROUND((L29*0.07)*0.9,2)</f>
        <v>81788.58</v>
      </c>
      <c r="Q29" s="9">
        <f>ROUND(L29*0.01,2)+0.01</f>
        <v>12982.32</v>
      </c>
      <c r="R29" s="9">
        <f t="shared" si="234"/>
        <v>8763.06</v>
      </c>
      <c r="S29" s="9">
        <f t="shared" si="235"/>
        <v>8763.06</v>
      </c>
      <c r="T29" s="9">
        <f>ROUND(L29*0.02,2)+0.01</f>
        <v>25964.639999999999</v>
      </c>
      <c r="U29" s="9">
        <v>0</v>
      </c>
      <c r="V29" s="17">
        <f t="shared" ref="V29" si="276">E29/W29</f>
        <v>1345.5964378109452</v>
      </c>
      <c r="W29" s="10">
        <v>1005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 t="shared" si="24"/>
        <v>44912</v>
      </c>
      <c r="B30" s="9">
        <v>13535896.109999999</v>
      </c>
      <c r="C30" s="9">
        <v>11977218.9</v>
      </c>
      <c r="D30" s="9">
        <v>251269</v>
      </c>
      <c r="E30" s="9">
        <f t="shared" ref="E30" si="277">B30-C30-D30</f>
        <v>1307408.209999999</v>
      </c>
      <c r="F30" s="9">
        <f>ROUND(E30*0.04,2)</f>
        <v>52296.33</v>
      </c>
      <c r="G30" s="9">
        <f t="shared" ref="G30" si="278">ROUND(E30*0,2)</f>
        <v>0</v>
      </c>
      <c r="H30" s="22">
        <f t="shared" ref="H30" si="279">E30-F30-G30</f>
        <v>1255111.879999999</v>
      </c>
      <c r="I30" s="9">
        <f t="shared" ref="I30" si="280">ROUND(H30*0,2)</f>
        <v>0</v>
      </c>
      <c r="J30" s="9">
        <f t="shared" ref="J30" si="281">ROUND((I30*0.58)+((I30*0.42)*0.1),2)</f>
        <v>0</v>
      </c>
      <c r="K30" s="9">
        <f t="shared" ref="K30" si="282">ROUND((I30*0.42)*0.9,2)</f>
        <v>0</v>
      </c>
      <c r="L30" s="22">
        <f t="shared" ref="L30" si="283">IF(J30+K30=I30,H30-I30,"ERROR")</f>
        <v>1255111.879999999</v>
      </c>
      <c r="M30" s="9">
        <f t="shared" ref="M30" si="284">ROUND(L30*0.465,2)</f>
        <v>583627.02</v>
      </c>
      <c r="N30" s="9">
        <f>ROUND(L30*0.3,2)+0.01</f>
        <v>376533.57</v>
      </c>
      <c r="O30" s="9">
        <f>ROUND(L30*0.1285,2)-0.02</f>
        <v>161281.86000000002</v>
      </c>
      <c r="P30" s="9">
        <f t="shared" ref="P30" si="285">ROUND((L30*0.07)*0.9,2)</f>
        <v>79072.05</v>
      </c>
      <c r="Q30" s="9">
        <f>ROUND(L30*0.01,2)</f>
        <v>12551.12</v>
      </c>
      <c r="R30" s="9">
        <f t="shared" si="234"/>
        <v>8472.01</v>
      </c>
      <c r="S30" s="9">
        <f t="shared" si="235"/>
        <v>8472.01</v>
      </c>
      <c r="T30" s="9">
        <f>ROUND(L30*0.02,2)</f>
        <v>25102.240000000002</v>
      </c>
      <c r="U30" s="9">
        <v>0</v>
      </c>
      <c r="V30" s="17">
        <f t="shared" ref="V30" si="286">E30/W30</f>
        <v>1285.5537954768918</v>
      </c>
      <c r="W30" s="10">
        <v>1017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 t="shared" si="24"/>
        <v>44919</v>
      </c>
      <c r="B31" s="9">
        <v>8244750.3199999994</v>
      </c>
      <c r="C31" s="9">
        <v>7344219.2000000002</v>
      </c>
      <c r="D31" s="9">
        <v>154097</v>
      </c>
      <c r="E31" s="9">
        <f t="shared" ref="E31" si="287">B31-C31-D31</f>
        <v>746434.11999999918</v>
      </c>
      <c r="F31" s="9">
        <f>ROUND(E31*0.04,2)</f>
        <v>29857.360000000001</v>
      </c>
      <c r="G31" s="9">
        <f t="shared" ref="G31" si="288">ROUND(E31*0,2)</f>
        <v>0</v>
      </c>
      <c r="H31" s="22">
        <f t="shared" ref="H31" si="289">E31-F31-G31</f>
        <v>716576.75999999919</v>
      </c>
      <c r="I31" s="9">
        <f t="shared" ref="I31" si="290">ROUND(H31*0,2)</f>
        <v>0</v>
      </c>
      <c r="J31" s="9">
        <f t="shared" ref="J31" si="291">ROUND((I31*0.58)+((I31*0.42)*0.1),2)</f>
        <v>0</v>
      </c>
      <c r="K31" s="9">
        <f t="shared" ref="K31" si="292">ROUND((I31*0.42)*0.9,2)</f>
        <v>0</v>
      </c>
      <c r="L31" s="22">
        <f t="shared" ref="L31" si="293">IF(J31+K31=I31,H31-I31,"ERROR")</f>
        <v>716576.75999999919</v>
      </c>
      <c r="M31" s="9">
        <f t="shared" ref="M31" si="294">ROUND(L31*0.465,2)</f>
        <v>333208.19</v>
      </c>
      <c r="N31" s="9">
        <f>ROUND(L31*0.3,2)+0.04</f>
        <v>214973.07</v>
      </c>
      <c r="O31" s="9">
        <f>ROUND(L31*0.1285,2)-0.01</f>
        <v>92080.1</v>
      </c>
      <c r="P31" s="9">
        <f t="shared" ref="P31" si="295">ROUND((L31*0.07)*0.9,2)</f>
        <v>45144.34</v>
      </c>
      <c r="Q31" s="9">
        <f>ROUND(L31*0.01,2)-0.01</f>
        <v>7165.76</v>
      </c>
      <c r="R31" s="9">
        <f t="shared" ref="R31" si="296">ROUND((L31*0.0075)*0.9,2)</f>
        <v>4836.8900000000003</v>
      </c>
      <c r="S31" s="9">
        <f t="shared" ref="S31" si="297">ROUND((L31*0.0075)*0.9,2)</f>
        <v>4836.8900000000003</v>
      </c>
      <c r="T31" s="9">
        <f>ROUND(L31*0.02,2)-0.02</f>
        <v>14331.52</v>
      </c>
      <c r="U31" s="9">
        <v>0</v>
      </c>
      <c r="V31" s="17">
        <f t="shared" ref="V31" si="298">E31/W31</f>
        <v>750.18504522612977</v>
      </c>
      <c r="W31" s="10">
        <v>995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 t="shared" si="24"/>
        <v>44926</v>
      </c>
      <c r="B32" s="9">
        <v>23795357.57</v>
      </c>
      <c r="C32" s="9">
        <v>21046342.490000002</v>
      </c>
      <c r="D32" s="9">
        <v>454503</v>
      </c>
      <c r="E32" s="9">
        <f t="shared" ref="E32" si="299">B32-C32-D32</f>
        <v>2294512.0799999982</v>
      </c>
      <c r="F32" s="9">
        <f>ROUND(E32*0.04,2)</f>
        <v>91780.479999999996</v>
      </c>
      <c r="G32" s="9">
        <f t="shared" ref="G32" si="300">ROUND(E32*0,2)</f>
        <v>0</v>
      </c>
      <c r="H32" s="22">
        <f t="shared" ref="H32" si="301">E32-F32-G32</f>
        <v>2202731.5999999982</v>
      </c>
      <c r="I32" s="9">
        <f t="shared" ref="I32" si="302">ROUND(H32*0,2)</f>
        <v>0</v>
      </c>
      <c r="J32" s="9">
        <f t="shared" ref="J32" si="303">ROUND((I32*0.58)+((I32*0.42)*0.1),2)</f>
        <v>0</v>
      </c>
      <c r="K32" s="9">
        <f t="shared" ref="K32" si="304">ROUND((I32*0.42)*0.9,2)</f>
        <v>0</v>
      </c>
      <c r="L32" s="22">
        <f t="shared" ref="L32" si="305">IF(J32+K32=I32,H32-I32,"ERROR")</f>
        <v>2202731.5999999982</v>
      </c>
      <c r="M32" s="9">
        <f t="shared" ref="M32" si="306">ROUND(L32*0.465,2)</f>
        <v>1024270.19</v>
      </c>
      <c r="N32" s="9">
        <f>ROUND(L32*0.3,2)-0.02</f>
        <v>660819.46</v>
      </c>
      <c r="O32" s="9">
        <f>ROUND(L32*0.1285,2)+0.01</f>
        <v>283051.02</v>
      </c>
      <c r="P32" s="9">
        <f t="shared" ref="P32" si="307">ROUND((L32*0.07)*0.9,2)</f>
        <v>138772.09</v>
      </c>
      <c r="Q32" s="9">
        <f>ROUND(L32*0.01,2)</f>
        <v>22027.32</v>
      </c>
      <c r="R32" s="9">
        <f t="shared" ref="R32" si="308">ROUND((L32*0.0075)*0.9,2)</f>
        <v>14868.44</v>
      </c>
      <c r="S32" s="9">
        <f t="shared" ref="S32" si="309">ROUND((L32*0.0075)*0.9,2)</f>
        <v>14868.44</v>
      </c>
      <c r="T32" s="9">
        <f>ROUND(L32*0.02,2)+0.01</f>
        <v>44054.64</v>
      </c>
      <c r="U32" s="9">
        <v>0</v>
      </c>
      <c r="V32" s="17">
        <f t="shared" ref="V32" si="310">E32/W32</f>
        <v>2249.5216470588216</v>
      </c>
      <c r="W32" s="10">
        <v>1020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 t="shared" si="24"/>
        <v>44933</v>
      </c>
      <c r="B33" s="9">
        <v>18498728.729999997</v>
      </c>
      <c r="C33" s="9">
        <v>16386432.850000001</v>
      </c>
      <c r="D33" s="9">
        <v>323596</v>
      </c>
      <c r="E33" s="9">
        <f t="shared" ref="E33" si="311">B33-C33-D33</f>
        <v>1788699.8799999952</v>
      </c>
      <c r="F33" s="9">
        <f>ROUND(E33*0.04,2)-0.01</f>
        <v>71547.990000000005</v>
      </c>
      <c r="G33" s="9">
        <f t="shared" ref="G33" si="312">ROUND(E33*0,2)</f>
        <v>0</v>
      </c>
      <c r="H33" s="22">
        <f t="shared" ref="H33" si="313">E33-F33-G33</f>
        <v>1717151.8899999952</v>
      </c>
      <c r="I33" s="9">
        <f t="shared" ref="I33" si="314">ROUND(H33*0,2)</f>
        <v>0</v>
      </c>
      <c r="J33" s="9">
        <f t="shared" ref="J33" si="315">ROUND((I33*0.58)+((I33*0.42)*0.1),2)</f>
        <v>0</v>
      </c>
      <c r="K33" s="9">
        <f t="shared" ref="K33" si="316">ROUND((I33*0.42)*0.9,2)</f>
        <v>0</v>
      </c>
      <c r="L33" s="22">
        <f t="shared" ref="L33" si="317">IF(J33+K33=I33,H33-I33,"ERROR")</f>
        <v>1717151.8899999952</v>
      </c>
      <c r="M33" s="9">
        <f t="shared" ref="M33" si="318">ROUND(L33*0.465,2)</f>
        <v>798475.63</v>
      </c>
      <c r="N33" s="9">
        <f>ROUND(L33*0.3,2)-0.01</f>
        <v>515145.56</v>
      </c>
      <c r="O33" s="9">
        <f>ROUND(L33*0.1285,2)-0.01</f>
        <v>220654.00999999998</v>
      </c>
      <c r="P33" s="9">
        <f t="shared" ref="P33" si="319">ROUND((L33*0.07)*0.9,2)</f>
        <v>108180.57</v>
      </c>
      <c r="Q33" s="9">
        <f>ROUND(L33*0.01,2)</f>
        <v>17171.52</v>
      </c>
      <c r="R33" s="9">
        <f t="shared" ref="R33" si="320">ROUND((L33*0.0075)*0.9,2)</f>
        <v>11590.78</v>
      </c>
      <c r="S33" s="9">
        <f t="shared" ref="S33" si="321">ROUND((L33*0.0075)*0.9,2)</f>
        <v>11590.78</v>
      </c>
      <c r="T33" s="9">
        <f>ROUND(L33*0.02,2)</f>
        <v>34343.040000000001</v>
      </c>
      <c r="U33" s="9">
        <v>0</v>
      </c>
      <c r="V33" s="17">
        <f t="shared" ref="V33" si="322">E33/W33</f>
        <v>1751.9097747306516</v>
      </c>
      <c r="W33" s="10">
        <v>1021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 t="shared" si="24"/>
        <v>44940</v>
      </c>
      <c r="B34" s="9">
        <v>16071978.990000002</v>
      </c>
      <c r="C34" s="9">
        <v>14406695.989999998</v>
      </c>
      <c r="D34" s="9">
        <v>284781</v>
      </c>
      <c r="E34" s="9">
        <f t="shared" ref="E34" si="323">B34-C34-D34</f>
        <v>1380502.0000000037</v>
      </c>
      <c r="F34" s="9">
        <f>ROUND(E34*0.04,2)</f>
        <v>55220.08</v>
      </c>
      <c r="G34" s="9">
        <f t="shared" ref="G34" si="324">ROUND(E34*0,2)</f>
        <v>0</v>
      </c>
      <c r="H34" s="22">
        <f t="shared" ref="H34" si="325">E34-F34-G34</f>
        <v>1325281.9200000037</v>
      </c>
      <c r="I34" s="9">
        <f t="shared" ref="I34" si="326">ROUND(H34*0,2)</f>
        <v>0</v>
      </c>
      <c r="J34" s="9">
        <f t="shared" ref="J34" si="327">ROUND((I34*0.58)+((I34*0.42)*0.1),2)</f>
        <v>0</v>
      </c>
      <c r="K34" s="9">
        <f t="shared" ref="K34" si="328">ROUND((I34*0.42)*0.9,2)</f>
        <v>0</v>
      </c>
      <c r="L34" s="22">
        <f t="shared" ref="L34" si="329">IF(J34+K34=I34,H34-I34,"ERROR")</f>
        <v>1325281.9200000037</v>
      </c>
      <c r="M34" s="9">
        <f t="shared" ref="M34" si="330">ROUND(L34*0.465,2)</f>
        <v>616256.09</v>
      </c>
      <c r="N34" s="9">
        <f>ROUND(L34*0.3,2)+0.01</f>
        <v>397584.59</v>
      </c>
      <c r="O34" s="9">
        <f>ROUND(L34*0.1285,2)-0.01</f>
        <v>170298.72</v>
      </c>
      <c r="P34" s="9">
        <f t="shared" ref="P34" si="331">ROUND((L34*0.07)*0.9,2)</f>
        <v>83492.759999999995</v>
      </c>
      <c r="Q34" s="9">
        <f>ROUND(L34*0.01,2)</f>
        <v>13252.82</v>
      </c>
      <c r="R34" s="9">
        <f t="shared" ref="R34" si="332">ROUND((L34*0.0075)*0.9,2)</f>
        <v>8945.65</v>
      </c>
      <c r="S34" s="9">
        <f t="shared" ref="S34" si="333">ROUND((L34*0.0075)*0.9,2)</f>
        <v>8945.65</v>
      </c>
      <c r="T34" s="9">
        <f>ROUND(L34*0.02,2)</f>
        <v>26505.64</v>
      </c>
      <c r="U34" s="9">
        <v>0</v>
      </c>
      <c r="V34" s="17">
        <f t="shared" ref="V34" si="334">E34/W34</f>
        <v>1358.7618110236258</v>
      </c>
      <c r="W34" s="10">
        <v>1016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 t="shared" si="24"/>
        <v>44947</v>
      </c>
      <c r="B35" s="9">
        <v>17593468.420000002</v>
      </c>
      <c r="C35" s="9">
        <v>15727175.829999998</v>
      </c>
      <c r="D35" s="9">
        <v>317320</v>
      </c>
      <c r="E35" s="9">
        <f t="shared" ref="E35" si="335">B35-C35-D35</f>
        <v>1548972.5900000036</v>
      </c>
      <c r="F35" s="9">
        <f>ROUND(E35*0.04,2)</f>
        <v>61958.9</v>
      </c>
      <c r="G35" s="9">
        <f t="shared" ref="G35" si="336">ROUND(E35*0,2)</f>
        <v>0</v>
      </c>
      <c r="H35" s="22">
        <f t="shared" ref="H35" si="337">E35-F35-G35</f>
        <v>1487013.6900000037</v>
      </c>
      <c r="I35" s="9">
        <f t="shared" ref="I35" si="338">ROUND(H35*0,2)</f>
        <v>0</v>
      </c>
      <c r="J35" s="9">
        <f t="shared" ref="J35" si="339">ROUND((I35*0.58)+((I35*0.42)*0.1),2)</f>
        <v>0</v>
      </c>
      <c r="K35" s="9">
        <f t="shared" ref="K35" si="340">ROUND((I35*0.42)*0.9,2)</f>
        <v>0</v>
      </c>
      <c r="L35" s="22">
        <f t="shared" ref="L35" si="341">IF(J35+K35=I35,H35-I35,"ERROR")</f>
        <v>1487013.6900000037</v>
      </c>
      <c r="M35" s="9">
        <f t="shared" ref="M35" si="342">ROUND(L35*0.465,2)</f>
        <v>691461.37</v>
      </c>
      <c r="N35" s="9">
        <f>ROUND(L35*0.3,2)-0.02</f>
        <v>446104.08999999997</v>
      </c>
      <c r="O35" s="9">
        <f>ROUND(L35*0.1285,2)+0.01</f>
        <v>191081.27000000002</v>
      </c>
      <c r="P35" s="9">
        <f t="shared" ref="P35" si="343">ROUND((L35*0.07)*0.9,2)</f>
        <v>93681.86</v>
      </c>
      <c r="Q35" s="9">
        <f>ROUND(L35*0.01,2)</f>
        <v>14870.14</v>
      </c>
      <c r="R35" s="9">
        <f t="shared" ref="R35" si="344">ROUND((L35*0.0075)*0.9,2)</f>
        <v>10037.34</v>
      </c>
      <c r="S35" s="9">
        <f t="shared" ref="S35" si="345">ROUND((L35*0.0075)*0.9,2)</f>
        <v>10037.34</v>
      </c>
      <c r="T35" s="9">
        <f>ROUND(L35*0.02,2)+0.01</f>
        <v>29740.28</v>
      </c>
      <c r="U35" s="9">
        <v>0</v>
      </c>
      <c r="V35" s="17">
        <f t="shared" ref="V35" si="346">E35/W35</f>
        <v>1518.6005784313761</v>
      </c>
      <c r="W35" s="10">
        <v>1020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 t="shared" si="24"/>
        <v>44954</v>
      </c>
      <c r="B36" s="9">
        <v>15028485.900000002</v>
      </c>
      <c r="C36" s="9">
        <v>13353593.870000001</v>
      </c>
      <c r="D36" s="9">
        <v>283828</v>
      </c>
      <c r="E36" s="9">
        <f t="shared" ref="E36" si="347">B36-C36-D36</f>
        <v>1391064.0300000012</v>
      </c>
      <c r="F36" s="9">
        <f>ROUND(E36*0.04,2)</f>
        <v>55642.559999999998</v>
      </c>
      <c r="G36" s="9">
        <f t="shared" ref="G36" si="348">ROUND(E36*0,2)</f>
        <v>0</v>
      </c>
      <c r="H36" s="22">
        <f t="shared" ref="H36" si="349">E36-F36-G36</f>
        <v>1335421.4700000011</v>
      </c>
      <c r="I36" s="9">
        <f t="shared" ref="I36" si="350">ROUND(H36*0,2)</f>
        <v>0</v>
      </c>
      <c r="J36" s="9">
        <f t="shared" ref="J36" si="351">ROUND((I36*0.58)+((I36*0.42)*0.1),2)</f>
        <v>0</v>
      </c>
      <c r="K36" s="9">
        <f t="shared" ref="K36" si="352">ROUND((I36*0.42)*0.9,2)</f>
        <v>0</v>
      </c>
      <c r="L36" s="22">
        <f t="shared" ref="L36" si="353">IF(J36+K36=I36,H36-I36,"ERROR")</f>
        <v>1335421.4700000011</v>
      </c>
      <c r="M36" s="9">
        <f t="shared" ref="M36" si="354">ROUND(L36*0.465,2)</f>
        <v>620970.98</v>
      </c>
      <c r="N36" s="9">
        <f>ROUND(L36*0.3,2)-0.02</f>
        <v>400626.42</v>
      </c>
      <c r="O36" s="9">
        <f>ROUND(L36*0.1285,2)+0.02</f>
        <v>171601.68</v>
      </c>
      <c r="P36" s="9">
        <f t="shared" ref="P36" si="355">ROUND((L36*0.07)*0.9,2)</f>
        <v>84131.55</v>
      </c>
      <c r="Q36" s="9">
        <f>ROUND(L36*0.01,2)+0.01</f>
        <v>13354.22</v>
      </c>
      <c r="R36" s="9">
        <f t="shared" ref="R36" si="356">ROUND((L36*0.0075)*0.9,2)</f>
        <v>9014.09</v>
      </c>
      <c r="S36" s="9">
        <f t="shared" ref="S36" si="357">ROUND((L36*0.0075)*0.9,2)</f>
        <v>9014.09</v>
      </c>
      <c r="T36" s="9">
        <f>ROUND(L36*0.02,2)+0.01</f>
        <v>26708.44</v>
      </c>
      <c r="U36" s="9">
        <v>0</v>
      </c>
      <c r="V36" s="17">
        <f t="shared" ref="V36" si="358">E36/W36</f>
        <v>1542.1995898004448</v>
      </c>
      <c r="W36" s="10">
        <v>902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 t="shared" si="24"/>
        <v>44961</v>
      </c>
      <c r="B37" s="9">
        <v>16410000.379999999</v>
      </c>
      <c r="C37" s="9">
        <v>14568240.1</v>
      </c>
      <c r="D37" s="9">
        <v>301735</v>
      </c>
      <c r="E37" s="9">
        <f t="shared" ref="E37" si="359">B37-C37-D37</f>
        <v>1540025.2799999993</v>
      </c>
      <c r="F37" s="9">
        <f>ROUND(E37*0.04,2)+0.01</f>
        <v>61601.020000000004</v>
      </c>
      <c r="G37" s="9">
        <f t="shared" ref="G37" si="360">ROUND(E37*0,2)</f>
        <v>0</v>
      </c>
      <c r="H37" s="22">
        <f t="shared" ref="H37" si="361">E37-F37-G37</f>
        <v>1478424.2599999993</v>
      </c>
      <c r="I37" s="9">
        <f t="shared" ref="I37" si="362">ROUND(H37*0,2)</f>
        <v>0</v>
      </c>
      <c r="J37" s="9">
        <f t="shared" ref="J37" si="363">ROUND((I37*0.58)+((I37*0.42)*0.1),2)</f>
        <v>0</v>
      </c>
      <c r="K37" s="9">
        <f t="shared" ref="K37" si="364">ROUND((I37*0.42)*0.9,2)</f>
        <v>0</v>
      </c>
      <c r="L37" s="22">
        <f t="shared" ref="L37" si="365">IF(J37+K37=I37,H37-I37,"ERROR")</f>
        <v>1478424.2599999993</v>
      </c>
      <c r="M37" s="9">
        <f t="shared" ref="M37" si="366">ROUND(L37*0.465,2)</f>
        <v>687467.28</v>
      </c>
      <c r="N37" s="9">
        <f>ROUND(L37*0.3,2)+0.01</f>
        <v>443527.29000000004</v>
      </c>
      <c r="O37" s="9">
        <f>ROUND(L37*0.1285,2)</f>
        <v>189977.52</v>
      </c>
      <c r="P37" s="9">
        <f t="shared" ref="P37" si="367">ROUND((L37*0.07)*0.9,2)</f>
        <v>93140.73</v>
      </c>
      <c r="Q37" s="9">
        <f>ROUND(L37*0.01,2)</f>
        <v>14784.24</v>
      </c>
      <c r="R37" s="9">
        <f t="shared" ref="R37" si="368">ROUND((L37*0.0075)*0.9,2)</f>
        <v>9979.36</v>
      </c>
      <c r="S37" s="9">
        <f t="shared" ref="S37" si="369">ROUND((L37*0.0075)*0.9,2)</f>
        <v>9979.36</v>
      </c>
      <c r="T37" s="9">
        <f>ROUND(L37*0.02,2)-0.01</f>
        <v>29568.480000000003</v>
      </c>
      <c r="U37" s="9">
        <v>0</v>
      </c>
      <c r="V37" s="17">
        <f t="shared" ref="V37" si="370">E37/W37</f>
        <v>1673.9405217391297</v>
      </c>
      <c r="W37" s="10">
        <v>920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 t="shared" si="24"/>
        <v>44968</v>
      </c>
      <c r="B38" s="9">
        <v>18912056.850000001</v>
      </c>
      <c r="C38" s="9">
        <v>16819420.27</v>
      </c>
      <c r="D38" s="9">
        <v>342168</v>
      </c>
      <c r="E38" s="9">
        <f t="shared" ref="E38" si="371">B38-C38-D38</f>
        <v>1750468.5800000019</v>
      </c>
      <c r="F38" s="9">
        <f>ROUND(E38*0.04,2)+0.01</f>
        <v>70018.75</v>
      </c>
      <c r="G38" s="9">
        <f t="shared" ref="G38" si="372">ROUND(E38*0,2)</f>
        <v>0</v>
      </c>
      <c r="H38" s="22">
        <f t="shared" ref="H38" si="373">E38-F38-G38</f>
        <v>1680449.8300000019</v>
      </c>
      <c r="I38" s="9">
        <f t="shared" ref="I38" si="374">ROUND(H38*0,2)</f>
        <v>0</v>
      </c>
      <c r="J38" s="9">
        <f t="shared" ref="J38" si="375">ROUND((I38*0.58)+((I38*0.42)*0.1),2)</f>
        <v>0</v>
      </c>
      <c r="K38" s="9">
        <f t="shared" ref="K38" si="376">ROUND((I38*0.42)*0.9,2)</f>
        <v>0</v>
      </c>
      <c r="L38" s="22">
        <f t="shared" ref="L38" si="377">IF(J38+K38=I38,H38-I38,"ERROR")</f>
        <v>1680449.8300000019</v>
      </c>
      <c r="M38" s="9">
        <f t="shared" ref="M38" si="378">ROUND(L38*0.465,2)</f>
        <v>781409.17</v>
      </c>
      <c r="N38" s="9">
        <f>ROUND(L38*0.3,2)-0.01</f>
        <v>504134.94</v>
      </c>
      <c r="O38" s="9">
        <f>ROUND(L38*0.1285,2)</f>
        <v>215937.8</v>
      </c>
      <c r="P38" s="9">
        <f t="shared" ref="P38" si="379">ROUND((L38*0.07)*0.9,2)</f>
        <v>105868.34</v>
      </c>
      <c r="Q38" s="9">
        <f>ROUND(L38*0.01,2)</f>
        <v>16804.5</v>
      </c>
      <c r="R38" s="9">
        <f t="shared" ref="R38" si="380">ROUND((L38*0.0075)*0.9,2)</f>
        <v>11343.04</v>
      </c>
      <c r="S38" s="9">
        <f t="shared" ref="S38" si="381">ROUND((L38*0.0075)*0.9,2)</f>
        <v>11343.04</v>
      </c>
      <c r="T38" s="9">
        <f>ROUND(L38*0.02,2)</f>
        <v>33609</v>
      </c>
      <c r="U38" s="9">
        <v>0</v>
      </c>
      <c r="V38" s="17">
        <f t="shared" ref="V38" si="382">E38/W38</f>
        <v>1854.3099364406801</v>
      </c>
      <c r="W38" s="10">
        <v>944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 t="shared" si="24"/>
        <v>44975</v>
      </c>
      <c r="B39" s="9">
        <v>18521702.559999999</v>
      </c>
      <c r="C39" s="9">
        <v>16426906.93</v>
      </c>
      <c r="D39" s="9">
        <v>327732</v>
      </c>
      <c r="E39" s="9">
        <f t="shared" ref="E39" si="383">B39-C39-D39</f>
        <v>1767063.629999999</v>
      </c>
      <c r="F39" s="9">
        <f>ROUND(E39*0.04,2)+0.01</f>
        <v>70682.559999999998</v>
      </c>
      <c r="G39" s="9">
        <f t="shared" ref="G39" si="384">ROUND(E39*0,2)</f>
        <v>0</v>
      </c>
      <c r="H39" s="22">
        <f t="shared" ref="H39" si="385">E39-F39-G39</f>
        <v>1696381.0699999989</v>
      </c>
      <c r="I39" s="9">
        <f t="shared" ref="I39" si="386">ROUND(H39*0,2)</f>
        <v>0</v>
      </c>
      <c r="J39" s="9">
        <f t="shared" ref="J39" si="387">ROUND((I39*0.58)+((I39*0.42)*0.1),2)</f>
        <v>0</v>
      </c>
      <c r="K39" s="9">
        <f t="shared" ref="K39" si="388">ROUND((I39*0.42)*0.9,2)</f>
        <v>0</v>
      </c>
      <c r="L39" s="22">
        <f t="shared" ref="L39" si="389">IF(J39+K39=I39,H39-I39,"ERROR")</f>
        <v>1696381.0699999989</v>
      </c>
      <c r="M39" s="9">
        <f t="shared" ref="M39" si="390">ROUND(L39*0.465,2)</f>
        <v>788817.2</v>
      </c>
      <c r="N39" s="9">
        <f>ROUND(L39*0.3,2)-0.05</f>
        <v>508914.27</v>
      </c>
      <c r="O39" s="9">
        <f>ROUND(L39*0.1285,2)+0.02</f>
        <v>217984.99</v>
      </c>
      <c r="P39" s="9">
        <f t="shared" ref="P39" si="391">ROUND((L39*0.07)*0.9,2)</f>
        <v>106872.01</v>
      </c>
      <c r="Q39" s="9">
        <f>ROUND(L39*0.01,2)+0.01</f>
        <v>16963.82</v>
      </c>
      <c r="R39" s="9">
        <f t="shared" ref="R39" si="392">ROUND((L39*0.0075)*0.9,2)</f>
        <v>11450.57</v>
      </c>
      <c r="S39" s="9">
        <f t="shared" ref="S39" si="393">ROUND((L39*0.0075)*0.9,2)</f>
        <v>11450.57</v>
      </c>
      <c r="T39" s="9">
        <f>ROUND(L39*0.02,2)+0.02</f>
        <v>33927.64</v>
      </c>
      <c r="U39" s="9">
        <v>0</v>
      </c>
      <c r="V39" s="17">
        <f t="shared" ref="V39" si="394">E39/W39</f>
        <v>1768.8324624624613</v>
      </c>
      <c r="W39" s="10">
        <v>999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 t="shared" si="24"/>
        <v>44982</v>
      </c>
      <c r="B40" s="9">
        <v>20211384.870000001</v>
      </c>
      <c r="C40" s="9">
        <v>18053489.560000002</v>
      </c>
      <c r="D40" s="9">
        <v>351929</v>
      </c>
      <c r="E40" s="9">
        <f t="shared" ref="E40" si="395">B40-C40-D40</f>
        <v>1805966.3099999987</v>
      </c>
      <c r="F40" s="9">
        <f>ROUND(E40*0.04,2)+0.01</f>
        <v>72238.659999999989</v>
      </c>
      <c r="G40" s="9">
        <f t="shared" ref="G40" si="396">ROUND(E40*0,2)</f>
        <v>0</v>
      </c>
      <c r="H40" s="22">
        <f t="shared" ref="H40" si="397">E40-F40-G40</f>
        <v>1733727.6499999987</v>
      </c>
      <c r="I40" s="9">
        <f t="shared" ref="I40" si="398">ROUND(H40*0,2)</f>
        <v>0</v>
      </c>
      <c r="J40" s="9">
        <f t="shared" ref="J40" si="399">ROUND((I40*0.58)+((I40*0.42)*0.1),2)</f>
        <v>0</v>
      </c>
      <c r="K40" s="9">
        <f t="shared" ref="K40" si="400">ROUND((I40*0.42)*0.9,2)</f>
        <v>0</v>
      </c>
      <c r="L40" s="22">
        <f t="shared" ref="L40" si="401">IF(J40+K40=I40,H40-I40,"ERROR")</f>
        <v>1733727.6499999987</v>
      </c>
      <c r="M40" s="9">
        <f t="shared" ref="M40" si="402">ROUND(L40*0.465,2)</f>
        <v>806183.36</v>
      </c>
      <c r="N40" s="9">
        <f>ROUND(L40*0.3,2)-0.05</f>
        <v>520118.25</v>
      </c>
      <c r="O40" s="9">
        <f>ROUND(L40*0.1285,2)+0.04</f>
        <v>222784.04</v>
      </c>
      <c r="P40" s="9">
        <f t="shared" ref="P40" si="403">ROUND((L40*0.07)*0.9,2)</f>
        <v>109224.84</v>
      </c>
      <c r="Q40" s="9">
        <f>ROUND(L40*0.01,2)</f>
        <v>17337.28</v>
      </c>
      <c r="R40" s="9">
        <f t="shared" ref="R40" si="404">ROUND((L40*0.0075)*0.9,2)</f>
        <v>11702.66</v>
      </c>
      <c r="S40" s="9">
        <f t="shared" ref="S40" si="405">ROUND((L40*0.0075)*0.9,2)</f>
        <v>11702.66</v>
      </c>
      <c r="T40" s="9">
        <f>ROUND(L40*0.02,2)+0.01</f>
        <v>34674.560000000005</v>
      </c>
      <c r="U40" s="9">
        <v>0</v>
      </c>
      <c r="V40" s="17">
        <f t="shared" ref="V40" si="406">E40/W40</f>
        <v>1779.2771527093582</v>
      </c>
      <c r="W40" s="10">
        <v>1015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 t="shared" si="24"/>
        <v>44989</v>
      </c>
      <c r="B41" s="9">
        <v>19184487.059999999</v>
      </c>
      <c r="C41" s="9">
        <v>17167819.469999999</v>
      </c>
      <c r="D41" s="9">
        <v>328520</v>
      </c>
      <c r="E41" s="9">
        <f t="shared" ref="E41" si="407">B41-C41-D41</f>
        <v>1688147.5899999999</v>
      </c>
      <c r="F41" s="9">
        <f>ROUND(E41*0.04,2)+0.01</f>
        <v>67525.909999999989</v>
      </c>
      <c r="G41" s="9">
        <f t="shared" ref="G41" si="408">ROUND(E41*0,2)</f>
        <v>0</v>
      </c>
      <c r="H41" s="22">
        <f t="shared" ref="H41" si="409">E41-F41-G41</f>
        <v>1620621.68</v>
      </c>
      <c r="I41" s="9">
        <f t="shared" ref="I41" si="410">ROUND(H41*0,2)</f>
        <v>0</v>
      </c>
      <c r="J41" s="9">
        <f t="shared" ref="J41" si="411">ROUND((I41*0.58)+((I41*0.42)*0.1),2)</f>
        <v>0</v>
      </c>
      <c r="K41" s="9">
        <f t="shared" ref="K41" si="412">ROUND((I41*0.42)*0.9,2)</f>
        <v>0</v>
      </c>
      <c r="L41" s="22">
        <f t="shared" ref="L41" si="413">IF(J41+K41=I41,H41-I41,"ERROR")</f>
        <v>1620621.68</v>
      </c>
      <c r="M41" s="9">
        <f t="shared" ref="M41" si="414">ROUND(L41*0.465,2)</f>
        <v>753589.08</v>
      </c>
      <c r="N41" s="9">
        <f>ROUND(L41*0.3,2)-0.01</f>
        <v>486186.49</v>
      </c>
      <c r="O41" s="9">
        <f>ROUND(L41*0.1285,2)-0.01</f>
        <v>208249.88</v>
      </c>
      <c r="P41" s="9">
        <f t="shared" ref="P41" si="415">ROUND((L41*0.07)*0.9,2)</f>
        <v>102099.17</v>
      </c>
      <c r="Q41" s="9">
        <f>ROUND(L41*0.01,2)</f>
        <v>16206.22</v>
      </c>
      <c r="R41" s="9">
        <f t="shared" ref="R41" si="416">ROUND((L41*0.0075)*0.9,2)</f>
        <v>10939.2</v>
      </c>
      <c r="S41" s="9">
        <f t="shared" ref="S41" si="417">ROUND((L41*0.0075)*0.9,2)</f>
        <v>10939.2</v>
      </c>
      <c r="T41" s="9">
        <f>ROUND(L41*0.02,2)+0.01</f>
        <v>32412.44</v>
      </c>
      <c r="U41" s="9">
        <v>0</v>
      </c>
      <c r="V41" s="17">
        <f t="shared" ref="V41" si="418">E41/W41</f>
        <v>1678.0791153081509</v>
      </c>
      <c r="W41" s="10">
        <v>1006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 t="shared" si="24"/>
        <v>44996</v>
      </c>
      <c r="B42" s="9">
        <v>19074532.370000001</v>
      </c>
      <c r="C42" s="9">
        <v>17006037.48</v>
      </c>
      <c r="D42" s="9">
        <v>330226</v>
      </c>
      <c r="E42" s="9">
        <f t="shared" ref="E42" si="419">B42-C42-D42</f>
        <v>1738268.8900000006</v>
      </c>
      <c r="F42" s="9">
        <f>ROUND(E42*0.04,2)-0.02</f>
        <v>69530.739999999991</v>
      </c>
      <c r="G42" s="9">
        <f t="shared" ref="G42" si="420">ROUND(E42*0,2)</f>
        <v>0</v>
      </c>
      <c r="H42" s="22">
        <f t="shared" ref="H42" si="421">E42-F42-G42</f>
        <v>1668738.1500000006</v>
      </c>
      <c r="I42" s="9">
        <f t="shared" ref="I42" si="422">ROUND(H42*0,2)</f>
        <v>0</v>
      </c>
      <c r="J42" s="9">
        <f t="shared" ref="J42" si="423">ROUND((I42*0.58)+((I42*0.42)*0.1),2)</f>
        <v>0</v>
      </c>
      <c r="K42" s="9">
        <f t="shared" ref="K42" si="424">ROUND((I42*0.42)*0.9,2)</f>
        <v>0</v>
      </c>
      <c r="L42" s="22">
        <f t="shared" ref="L42" si="425">IF(J42+K42=I42,H42-I42,"ERROR")</f>
        <v>1668738.1500000006</v>
      </c>
      <c r="M42" s="9">
        <f t="shared" ref="M42" si="426">ROUND(L42*0.465,2)</f>
        <v>775963.24</v>
      </c>
      <c r="N42" s="9">
        <f>ROUND(L42*0.3,2)</f>
        <v>500621.45</v>
      </c>
      <c r="O42" s="9">
        <f>ROUND(L42*0.1285,2)+0.01</f>
        <v>214432.86000000002</v>
      </c>
      <c r="P42" s="9">
        <f t="shared" ref="P42" si="427">ROUND((L42*0.07)*0.9,2)</f>
        <v>105130.5</v>
      </c>
      <c r="Q42" s="9">
        <f>ROUND(L42*0.01,2)</f>
        <v>16687.38</v>
      </c>
      <c r="R42" s="9">
        <f t="shared" ref="R42" si="428">ROUND((L42*0.0075)*0.9,2)</f>
        <v>11263.98</v>
      </c>
      <c r="S42" s="9">
        <f t="shared" ref="S42" si="429">ROUND((L42*0.0075)*0.9,2)</f>
        <v>11263.98</v>
      </c>
      <c r="T42" s="9">
        <f>ROUND(L42*0.02,2)</f>
        <v>33374.76</v>
      </c>
      <c r="U42" s="9">
        <v>0</v>
      </c>
      <c r="V42" s="17">
        <f t="shared" ref="V42" si="430">E42/W42</f>
        <v>1710.8945767716541</v>
      </c>
      <c r="W42" s="10">
        <v>1016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 t="shared" si="24"/>
        <v>45003</v>
      </c>
      <c r="B43" s="9">
        <v>18009831.350000001</v>
      </c>
      <c r="C43" s="9">
        <v>16102738.93</v>
      </c>
      <c r="D43" s="9">
        <v>316160</v>
      </c>
      <c r="E43" s="9">
        <f t="shared" ref="E43" si="431">B43-C43-D43</f>
        <v>1590932.4200000018</v>
      </c>
      <c r="F43" s="9">
        <f>ROUND(E43*0.04,2)-0.02</f>
        <v>63637.280000000006</v>
      </c>
      <c r="G43" s="9">
        <f t="shared" ref="G43" si="432">ROUND(E43*0,2)</f>
        <v>0</v>
      </c>
      <c r="H43" s="22">
        <f t="shared" ref="H43" si="433">E43-F43-G43</f>
        <v>1527295.1400000018</v>
      </c>
      <c r="I43" s="9">
        <f t="shared" ref="I43" si="434">ROUND(H43*0,2)</f>
        <v>0</v>
      </c>
      <c r="J43" s="9">
        <f t="shared" ref="J43" si="435">ROUND((I43*0.58)+((I43*0.42)*0.1),2)</f>
        <v>0</v>
      </c>
      <c r="K43" s="9">
        <f t="shared" ref="K43" si="436">ROUND((I43*0.42)*0.9,2)</f>
        <v>0</v>
      </c>
      <c r="L43" s="22">
        <f t="shared" ref="L43" si="437">IF(J43+K43=I43,H43-I43,"ERROR")</f>
        <v>1527295.1400000018</v>
      </c>
      <c r="M43" s="9">
        <f t="shared" ref="M43" si="438">ROUND(L43*0.465,2)</f>
        <v>710192.24</v>
      </c>
      <c r="N43" s="9">
        <f>ROUND(L43*0.3,2)-0.04</f>
        <v>458188.5</v>
      </c>
      <c r="O43" s="9">
        <f>ROUND(L43*0.1285,2)+0.02</f>
        <v>196257.44999999998</v>
      </c>
      <c r="P43" s="9">
        <f t="shared" ref="P43" si="439">ROUND((L43*0.07)*0.9,2)</f>
        <v>96219.59</v>
      </c>
      <c r="Q43" s="9">
        <f>ROUND(L43*0.01,2)+0.01</f>
        <v>15272.960000000001</v>
      </c>
      <c r="R43" s="9">
        <f t="shared" ref="R43" si="440">ROUND((L43*0.0075)*0.9,2)</f>
        <v>10309.24</v>
      </c>
      <c r="S43" s="9">
        <f t="shared" ref="S43" si="441">ROUND((L43*0.0075)*0.9,2)</f>
        <v>10309.24</v>
      </c>
      <c r="T43" s="9">
        <f>ROUND(L43*0.02,2)+0.02</f>
        <v>30545.920000000002</v>
      </c>
      <c r="U43" s="9">
        <v>0</v>
      </c>
      <c r="V43" s="17">
        <f t="shared" ref="V43" si="442">E43/W43</f>
        <v>1564.3386627335317</v>
      </c>
      <c r="W43" s="10">
        <v>1017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 t="shared" si="24"/>
        <v>45010</v>
      </c>
      <c r="B44" s="9">
        <v>12508914.879999999</v>
      </c>
      <c r="C44" s="9">
        <v>11105110.140000001</v>
      </c>
      <c r="D44" s="9">
        <v>213368</v>
      </c>
      <c r="E44" s="9">
        <f t="shared" ref="E44" si="443">B44-C44-D44</f>
        <v>1190436.7399999984</v>
      </c>
      <c r="F44" s="9">
        <f>ROUND(E44*0.04,2)</f>
        <v>47617.47</v>
      </c>
      <c r="G44" s="9">
        <f t="shared" ref="G44" si="444">ROUND(E44*0,2)</f>
        <v>0</v>
      </c>
      <c r="H44" s="22">
        <f t="shared" ref="H44" si="445">E44-F44-G44</f>
        <v>1142819.2699999984</v>
      </c>
      <c r="I44" s="9">
        <f t="shared" ref="I44" si="446">ROUND(H44*0,2)</f>
        <v>0</v>
      </c>
      <c r="J44" s="9">
        <f t="shared" ref="J44" si="447">ROUND((I44*0.58)+((I44*0.42)*0.1),2)</f>
        <v>0</v>
      </c>
      <c r="K44" s="9">
        <f t="shared" ref="K44" si="448">ROUND((I44*0.42)*0.9,2)</f>
        <v>0</v>
      </c>
      <c r="L44" s="22">
        <f t="shared" ref="L44" si="449">IF(J44+K44=I44,H44-I44,"ERROR")</f>
        <v>1142819.2699999984</v>
      </c>
      <c r="M44" s="9">
        <f t="shared" ref="M44" si="450">ROUND(L44*0.465,2)</f>
        <v>531410.96</v>
      </c>
      <c r="N44" s="9">
        <f>ROUND(L44*0.3,2)+0.01</f>
        <v>342845.79000000004</v>
      </c>
      <c r="O44" s="9">
        <f t="shared" ref="O44:O49" si="451">ROUND(L44*0.1285,2)</f>
        <v>146852.28</v>
      </c>
      <c r="P44" s="9">
        <f t="shared" ref="P44" si="452">ROUND((L44*0.07)*0.9,2)</f>
        <v>71997.61</v>
      </c>
      <c r="Q44" s="9">
        <f t="shared" ref="Q44:Q49" si="453">ROUND(L44*0.01,2)</f>
        <v>11428.19</v>
      </c>
      <c r="R44" s="9">
        <f t="shared" ref="R44" si="454">ROUND((L44*0.0075)*0.9,2)</f>
        <v>7714.03</v>
      </c>
      <c r="S44" s="9">
        <f t="shared" ref="S44" si="455">ROUND((L44*0.0075)*0.9,2)</f>
        <v>7714.03</v>
      </c>
      <c r="T44" s="9">
        <f>ROUND(L44*0.02,2)-0.01</f>
        <v>22856.38</v>
      </c>
      <c r="U44" s="9">
        <v>0</v>
      </c>
      <c r="V44" s="17">
        <f t="shared" ref="V44" si="456">E44/W44</f>
        <v>1357.3965108323812</v>
      </c>
      <c r="W44" s="10">
        <v>877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 t="shared" si="24"/>
        <v>45017</v>
      </c>
      <c r="B45" s="9">
        <v>24817854.68</v>
      </c>
      <c r="C45" s="9">
        <v>21959888.870000001</v>
      </c>
      <c r="D45" s="9">
        <v>484513</v>
      </c>
      <c r="E45" s="9">
        <f t="shared" ref="E45" si="457">B45-C45-D45</f>
        <v>2373452.8099999987</v>
      </c>
      <c r="F45" s="9">
        <f>ROUND(E45*0.04,2)</f>
        <v>94938.11</v>
      </c>
      <c r="G45" s="9">
        <f t="shared" ref="G45" si="458">ROUND(E45*0,2)</f>
        <v>0</v>
      </c>
      <c r="H45" s="22">
        <f t="shared" ref="H45" si="459">E45-F45-G45</f>
        <v>2278514.6999999988</v>
      </c>
      <c r="I45" s="9">
        <f t="shared" ref="I45" si="460">ROUND(H45*0,2)</f>
        <v>0</v>
      </c>
      <c r="J45" s="9">
        <f t="shared" ref="J45" si="461">ROUND((I45*0.58)+((I45*0.42)*0.1),2)</f>
        <v>0</v>
      </c>
      <c r="K45" s="9">
        <f t="shared" ref="K45" si="462">ROUND((I45*0.42)*0.9,2)</f>
        <v>0</v>
      </c>
      <c r="L45" s="22">
        <f t="shared" ref="L45" si="463">IF(J45+K45=I45,H45-I45,"ERROR")</f>
        <v>2278514.6999999988</v>
      </c>
      <c r="M45" s="9">
        <f t="shared" ref="M45" si="464">ROUND(L45*0.465,2)</f>
        <v>1059509.3400000001</v>
      </c>
      <c r="N45" s="9">
        <f>ROUND(L45*0.3,2)-0.01</f>
        <v>683554.4</v>
      </c>
      <c r="O45" s="9">
        <f t="shared" si="451"/>
        <v>292789.14</v>
      </c>
      <c r="P45" s="9">
        <f t="shared" ref="P45" si="465">ROUND((L45*0.07)*0.9,2)</f>
        <v>143546.43</v>
      </c>
      <c r="Q45" s="9">
        <f t="shared" si="453"/>
        <v>22785.15</v>
      </c>
      <c r="R45" s="9">
        <f t="shared" ref="R45" si="466">ROUND((L45*0.0075)*0.9,2)</f>
        <v>15379.97</v>
      </c>
      <c r="S45" s="9">
        <f t="shared" ref="S45" si="467">ROUND((L45*0.0075)*0.9,2)</f>
        <v>15379.97</v>
      </c>
      <c r="T45" s="9">
        <f>ROUND(L45*0.02,2)+0.01</f>
        <v>45570.3</v>
      </c>
      <c r="U45" s="9">
        <v>0</v>
      </c>
      <c r="V45" s="17">
        <f t="shared" ref="V45" si="468">E45/W45</f>
        <v>2354.6158829365068</v>
      </c>
      <c r="W45" s="10">
        <v>1008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 t="shared" si="24"/>
        <v>45024</v>
      </c>
      <c r="B46" s="9">
        <v>17765619.760000002</v>
      </c>
      <c r="C46" s="9">
        <v>15854728.039999999</v>
      </c>
      <c r="D46" s="9">
        <v>315187</v>
      </c>
      <c r="E46" s="9">
        <f t="shared" ref="E46" si="469">B46-C46-D46</f>
        <v>1595704.7200000025</v>
      </c>
      <c r="F46" s="9">
        <f>ROUND(E46*0.04,2)+0.01</f>
        <v>63828.200000000004</v>
      </c>
      <c r="G46" s="9">
        <f t="shared" ref="G46" si="470">ROUND(E46*0,2)</f>
        <v>0</v>
      </c>
      <c r="H46" s="22">
        <f t="shared" ref="H46" si="471">E46-F46-G46</f>
        <v>1531876.5200000026</v>
      </c>
      <c r="I46" s="9">
        <f t="shared" ref="I46" si="472">ROUND(H46*0,2)</f>
        <v>0</v>
      </c>
      <c r="J46" s="9">
        <f t="shared" ref="J46" si="473">ROUND((I46*0.58)+((I46*0.42)*0.1),2)</f>
        <v>0</v>
      </c>
      <c r="K46" s="9">
        <f t="shared" ref="K46" si="474">ROUND((I46*0.42)*0.9,2)</f>
        <v>0</v>
      </c>
      <c r="L46" s="22">
        <f t="shared" ref="L46" si="475">IF(J46+K46=I46,H46-I46,"ERROR")</f>
        <v>1531876.5200000026</v>
      </c>
      <c r="M46" s="9">
        <f t="shared" ref="M46" si="476">ROUND(L46*0.465,2)</f>
        <v>712322.58</v>
      </c>
      <c r="N46" s="9">
        <f>ROUND(L46*0.3,2)-0.02</f>
        <v>459562.94</v>
      </c>
      <c r="O46" s="9">
        <f t="shared" si="451"/>
        <v>196846.13</v>
      </c>
      <c r="P46" s="9">
        <f t="shared" ref="P46" si="477">ROUND((L46*0.07)*0.9,2)</f>
        <v>96508.22</v>
      </c>
      <c r="Q46" s="9">
        <f t="shared" si="453"/>
        <v>15318.77</v>
      </c>
      <c r="R46" s="9">
        <f t="shared" ref="R46" si="478">ROUND((L46*0.0075)*0.9,2)</f>
        <v>10340.17</v>
      </c>
      <c r="S46" s="9">
        <f t="shared" ref="S46" si="479">ROUND((L46*0.0075)*0.9,2)</f>
        <v>10340.17</v>
      </c>
      <c r="T46" s="9">
        <f>ROUND(L46*0.02,2)+0.01</f>
        <v>30637.539999999997</v>
      </c>
      <c r="U46" s="9">
        <v>0</v>
      </c>
      <c r="V46" s="17">
        <f t="shared" ref="V46" si="480">E46/W46</f>
        <v>1572.1228768472931</v>
      </c>
      <c r="W46" s="10">
        <v>1015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 t="shared" si="24"/>
        <v>45031</v>
      </c>
      <c r="B47" s="9">
        <v>16733592.93</v>
      </c>
      <c r="C47" s="9">
        <v>14883277.43</v>
      </c>
      <c r="D47" s="9">
        <v>302121</v>
      </c>
      <c r="E47" s="9">
        <f t="shared" ref="E47" si="481">B47-C47-D47</f>
        <v>1548194.5</v>
      </c>
      <c r="F47" s="9">
        <f>ROUND(E47*0.04,2)-0.01</f>
        <v>61927.77</v>
      </c>
      <c r="G47" s="9">
        <f t="shared" ref="G47" si="482">ROUND(E47*0,2)</f>
        <v>0</v>
      </c>
      <c r="H47" s="22">
        <f t="shared" ref="H47" si="483">E47-F47-G47</f>
        <v>1486266.73</v>
      </c>
      <c r="I47" s="9">
        <f t="shared" ref="I47" si="484">ROUND(H47*0,2)</f>
        <v>0</v>
      </c>
      <c r="J47" s="9">
        <f t="shared" ref="J47" si="485">ROUND((I47*0.58)+((I47*0.42)*0.1),2)</f>
        <v>0</v>
      </c>
      <c r="K47" s="9">
        <f t="shared" ref="K47" si="486">ROUND((I47*0.42)*0.9,2)</f>
        <v>0</v>
      </c>
      <c r="L47" s="22">
        <f t="shared" ref="L47" si="487">IF(J47+K47=I47,H47-I47,"ERROR")</f>
        <v>1486266.73</v>
      </c>
      <c r="M47" s="9">
        <f t="shared" ref="M47" si="488">ROUND(L47*0.465,2)</f>
        <v>691114.03</v>
      </c>
      <c r="N47" s="9">
        <f>ROUND(L47*0.3,2)</f>
        <v>445880.02</v>
      </c>
      <c r="O47" s="9">
        <f t="shared" si="451"/>
        <v>190985.27</v>
      </c>
      <c r="P47" s="9">
        <f t="shared" ref="P47" si="489">ROUND((L47*0.07)*0.9,2)</f>
        <v>93634.8</v>
      </c>
      <c r="Q47" s="9">
        <f t="shared" si="453"/>
        <v>14862.67</v>
      </c>
      <c r="R47" s="9">
        <f t="shared" ref="R47" si="490">ROUND((L47*0.0075)*0.9,2)</f>
        <v>10032.299999999999</v>
      </c>
      <c r="S47" s="9">
        <f t="shared" ref="S47" si="491">ROUND((L47*0.0075)*0.9,2)</f>
        <v>10032.299999999999</v>
      </c>
      <c r="T47" s="9">
        <f>ROUND(L47*0.02,2)+0.01</f>
        <v>29725.34</v>
      </c>
      <c r="U47" s="9">
        <v>0</v>
      </c>
      <c r="V47" s="17">
        <f t="shared" ref="V47" si="492">E47/W47</f>
        <v>1501.6435499515035</v>
      </c>
      <c r="W47" s="10">
        <v>1031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 t="shared" si="24"/>
        <v>45038</v>
      </c>
      <c r="B48" s="9">
        <v>17352180.460000001</v>
      </c>
      <c r="C48" s="9">
        <v>15404734.719999999</v>
      </c>
      <c r="D48" s="9">
        <v>328004</v>
      </c>
      <c r="E48" s="9">
        <f t="shared" ref="E48" si="493">B48-C48-D48</f>
        <v>1619441.7400000021</v>
      </c>
      <c r="F48" s="9">
        <f>ROUND(E48*0.04,2)-0.01</f>
        <v>64777.659999999996</v>
      </c>
      <c r="G48" s="9">
        <f t="shared" ref="G48" si="494">ROUND(E48*0,2)</f>
        <v>0</v>
      </c>
      <c r="H48" s="22">
        <f t="shared" ref="H48" si="495">E48-F48-G48</f>
        <v>1554664.0800000022</v>
      </c>
      <c r="I48" s="9">
        <f t="shared" ref="I48" si="496">ROUND(H48*0,2)</f>
        <v>0</v>
      </c>
      <c r="J48" s="9">
        <f t="shared" ref="J48" si="497">ROUND((I48*0.58)+((I48*0.42)*0.1),2)</f>
        <v>0</v>
      </c>
      <c r="K48" s="9">
        <f t="shared" ref="K48" si="498">ROUND((I48*0.42)*0.9,2)</f>
        <v>0</v>
      </c>
      <c r="L48" s="22">
        <f t="shared" ref="L48" si="499">IF(J48+K48=I48,H48-I48,"ERROR")</f>
        <v>1554664.0800000022</v>
      </c>
      <c r="M48" s="9">
        <f t="shared" ref="M48" si="500">ROUND(L48*0.465,2)</f>
        <v>722918.8</v>
      </c>
      <c r="N48" s="9">
        <f>ROUND(L48*0.3,2)+0.01</f>
        <v>466399.23</v>
      </c>
      <c r="O48" s="9">
        <f t="shared" si="451"/>
        <v>199774.33</v>
      </c>
      <c r="P48" s="9">
        <f t="shared" ref="P48" si="501">ROUND((L48*0.07)*0.9,2)</f>
        <v>97943.84</v>
      </c>
      <c r="Q48" s="9">
        <f t="shared" si="453"/>
        <v>15546.64</v>
      </c>
      <c r="R48" s="9">
        <f t="shared" ref="R48" si="502">ROUND((L48*0.0075)*0.9,2)</f>
        <v>10493.98</v>
      </c>
      <c r="S48" s="9">
        <f t="shared" ref="S48" si="503">ROUND((L48*0.0075)*0.9,2)</f>
        <v>10493.98</v>
      </c>
      <c r="T48" s="9">
        <f t="shared" ref="T48:T53" si="504">ROUND(L48*0.02,2)</f>
        <v>31093.279999999999</v>
      </c>
      <c r="U48" s="9">
        <v>0</v>
      </c>
      <c r="V48" s="17">
        <f t="shared" ref="V48" si="505">E48/W48</f>
        <v>1552.676644295304</v>
      </c>
      <c r="W48" s="10">
        <v>1043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 t="shared" si="24"/>
        <v>45045</v>
      </c>
      <c r="B49" s="9">
        <v>19323628.27</v>
      </c>
      <c r="C49" s="9">
        <v>17063237.800000001</v>
      </c>
      <c r="D49" s="9">
        <v>344257</v>
      </c>
      <c r="E49" s="9">
        <f t="shared" ref="E49" si="506">B49-C49-D49</f>
        <v>1916133.4699999988</v>
      </c>
      <c r="F49" s="9">
        <f>ROUND(E49*0.04,2)</f>
        <v>76645.34</v>
      </c>
      <c r="G49" s="9">
        <f t="shared" ref="G49" si="507">ROUND(E49*0,2)</f>
        <v>0</v>
      </c>
      <c r="H49" s="22">
        <f t="shared" ref="H49" si="508">E49-F49-G49</f>
        <v>1839488.1299999987</v>
      </c>
      <c r="I49" s="9">
        <f t="shared" ref="I49" si="509">ROUND(H49*0,2)</f>
        <v>0</v>
      </c>
      <c r="J49" s="9">
        <f t="shared" ref="J49" si="510">ROUND((I49*0.58)+((I49*0.42)*0.1),2)</f>
        <v>0</v>
      </c>
      <c r="K49" s="9">
        <f t="shared" ref="K49" si="511">ROUND((I49*0.42)*0.9,2)</f>
        <v>0</v>
      </c>
      <c r="L49" s="22">
        <f t="shared" ref="L49" si="512">IF(J49+K49=I49,H49-I49,"ERROR")</f>
        <v>1839488.1299999987</v>
      </c>
      <c r="M49" s="9">
        <f t="shared" ref="M49" si="513">ROUND(L49*0.465,2)</f>
        <v>855361.98</v>
      </c>
      <c r="N49" s="9">
        <f>ROUND(L49*0.3,2)+0.02</f>
        <v>551846.46</v>
      </c>
      <c r="O49" s="9">
        <f t="shared" si="451"/>
        <v>236374.22</v>
      </c>
      <c r="P49" s="9">
        <f t="shared" ref="P49" si="514">ROUND((L49*0.07)*0.9,2)</f>
        <v>115887.75</v>
      </c>
      <c r="Q49" s="9">
        <f t="shared" si="453"/>
        <v>18394.88</v>
      </c>
      <c r="R49" s="9">
        <f t="shared" ref="R49" si="515">ROUND((L49*0.0075)*0.9,2)</f>
        <v>12416.54</v>
      </c>
      <c r="S49" s="9">
        <f t="shared" ref="S49" si="516">ROUND((L49*0.0075)*0.9,2)</f>
        <v>12416.54</v>
      </c>
      <c r="T49" s="9">
        <f t="shared" si="504"/>
        <v>36789.760000000002</v>
      </c>
      <c r="U49" s="9">
        <v>0</v>
      </c>
      <c r="V49" s="17">
        <f t="shared" ref="V49" si="517">E49/W49</f>
        <v>1851.3366859903369</v>
      </c>
      <c r="W49" s="10">
        <v>1035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 t="shared" si="24"/>
        <v>45052</v>
      </c>
      <c r="B50" s="9">
        <v>17801803.82</v>
      </c>
      <c r="C50" s="9">
        <v>15829280.220000001</v>
      </c>
      <c r="D50" s="9">
        <v>329260</v>
      </c>
      <c r="E50" s="9">
        <f t="shared" ref="E50" si="518">B50-C50-D50</f>
        <v>1643263.5999999996</v>
      </c>
      <c r="F50" s="9">
        <f>ROUND(E50*0.04,2)+0.01</f>
        <v>65730.549999999988</v>
      </c>
      <c r="G50" s="9">
        <f t="shared" ref="G50" si="519">ROUND(E50*0,2)</f>
        <v>0</v>
      </c>
      <c r="H50" s="22">
        <f t="shared" ref="H50" si="520">E50-F50-G50</f>
        <v>1577533.0499999996</v>
      </c>
      <c r="I50" s="9">
        <f t="shared" ref="I50" si="521">ROUND(H50*0,2)</f>
        <v>0</v>
      </c>
      <c r="J50" s="9">
        <f t="shared" ref="J50" si="522">ROUND((I50*0.58)+((I50*0.42)*0.1),2)</f>
        <v>0</v>
      </c>
      <c r="K50" s="9">
        <f t="shared" ref="K50" si="523">ROUND((I50*0.42)*0.9,2)</f>
        <v>0</v>
      </c>
      <c r="L50" s="22">
        <f t="shared" ref="L50" si="524">IF(J50+K50=I50,H50-I50,"ERROR")</f>
        <v>1577533.0499999996</v>
      </c>
      <c r="M50" s="9">
        <f t="shared" ref="M50" si="525">ROUND(L50*0.465,2)</f>
        <v>733552.87</v>
      </c>
      <c r="N50" s="9">
        <f>ROUND(L50*0.3,2)-0.01</f>
        <v>473259.91</v>
      </c>
      <c r="O50" s="9">
        <f t="shared" ref="O50" si="526">ROUND(L50*0.1285,2)</f>
        <v>202713</v>
      </c>
      <c r="P50" s="9">
        <f t="shared" ref="P50" si="527">ROUND((L50*0.07)*0.9,2)</f>
        <v>99384.58</v>
      </c>
      <c r="Q50" s="9">
        <f t="shared" ref="Q50" si="528">ROUND(L50*0.01,2)</f>
        <v>15775.33</v>
      </c>
      <c r="R50" s="9">
        <f t="shared" ref="R50" si="529">ROUND((L50*0.0075)*0.9,2)</f>
        <v>10648.35</v>
      </c>
      <c r="S50" s="9">
        <f t="shared" ref="S50" si="530">ROUND((L50*0.0075)*0.9,2)</f>
        <v>10648.35</v>
      </c>
      <c r="T50" s="9">
        <f t="shared" si="504"/>
        <v>31550.66</v>
      </c>
      <c r="U50" s="9">
        <v>0</v>
      </c>
      <c r="V50" s="17">
        <f t="shared" ref="V50" si="531">E50/W50</f>
        <v>1584.6322082931529</v>
      </c>
      <c r="W50" s="10">
        <v>1037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 t="shared" si="24"/>
        <v>45059</v>
      </c>
      <c r="B51" s="9">
        <v>16904588.009999998</v>
      </c>
      <c r="C51" s="9">
        <v>14911928.109999999</v>
      </c>
      <c r="D51" s="9">
        <v>317039</v>
      </c>
      <c r="E51" s="9">
        <f t="shared" ref="E51" si="532">B51-C51-D51</f>
        <v>1675620.8999999985</v>
      </c>
      <c r="F51" s="9">
        <f>ROUND(E51*0.04,2)-0.01</f>
        <v>67024.83</v>
      </c>
      <c r="G51" s="9">
        <f t="shared" ref="G51" si="533">ROUND(E51*0,2)</f>
        <v>0</v>
      </c>
      <c r="H51" s="22">
        <f t="shared" ref="H51" si="534">E51-F51-G51</f>
        <v>1608596.0699999984</v>
      </c>
      <c r="I51" s="9">
        <f t="shared" ref="I51" si="535">ROUND(H51*0,2)</f>
        <v>0</v>
      </c>
      <c r="J51" s="9">
        <f t="shared" ref="J51" si="536">ROUND((I51*0.58)+((I51*0.42)*0.1),2)</f>
        <v>0</v>
      </c>
      <c r="K51" s="9">
        <f t="shared" ref="K51" si="537">ROUND((I51*0.42)*0.9,2)</f>
        <v>0</v>
      </c>
      <c r="L51" s="22">
        <f t="shared" ref="L51" si="538">IF(J51+K51=I51,H51-I51,"ERROR")</f>
        <v>1608596.0699999984</v>
      </c>
      <c r="M51" s="9">
        <f t="shared" ref="M51" si="539">ROUND(L51*0.465,2)</f>
        <v>747997.17</v>
      </c>
      <c r="N51" s="9">
        <f>ROUND(L51*0.3,2)+0.02</f>
        <v>482578.84</v>
      </c>
      <c r="O51" s="9">
        <f t="shared" ref="O51" si="540">ROUND(L51*0.1285,2)</f>
        <v>206704.59</v>
      </c>
      <c r="P51" s="9">
        <f t="shared" ref="P51" si="541">ROUND((L51*0.07)*0.9,2)</f>
        <v>101341.55</v>
      </c>
      <c r="Q51" s="9">
        <f t="shared" ref="Q51" si="542">ROUND(L51*0.01,2)</f>
        <v>16085.96</v>
      </c>
      <c r="R51" s="9">
        <f t="shared" ref="R51" si="543">ROUND((L51*0.0075)*0.9,2)</f>
        <v>10858.02</v>
      </c>
      <c r="S51" s="9">
        <f t="shared" ref="S51" si="544">ROUND((L51*0.0075)*0.9,2)</f>
        <v>10858.02</v>
      </c>
      <c r="T51" s="9">
        <f t="shared" si="504"/>
        <v>32171.919999999998</v>
      </c>
      <c r="U51" s="9">
        <v>0</v>
      </c>
      <c r="V51" s="17">
        <f t="shared" ref="V51" si="545">E51/W51</f>
        <v>1876.395184770435</v>
      </c>
      <c r="W51" s="10">
        <v>893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 t="shared" si="24"/>
        <v>45066</v>
      </c>
      <c r="B52" s="9">
        <v>17162923.039999999</v>
      </c>
      <c r="C52" s="25">
        <v>15179829.190000001</v>
      </c>
      <c r="D52" s="26">
        <v>322817</v>
      </c>
      <c r="E52" s="9">
        <f t="shared" ref="E52" si="546">B52-C52-D52</f>
        <v>1660276.8499999978</v>
      </c>
      <c r="F52" s="9">
        <f>ROUND(E52*0.04,2)+0.01</f>
        <v>66411.08</v>
      </c>
      <c r="G52" s="9">
        <f t="shared" ref="G52" si="547">ROUND(E52*0,2)</f>
        <v>0</v>
      </c>
      <c r="H52" s="22">
        <f t="shared" ref="H52" si="548">E52-F52-G52</f>
        <v>1593865.7699999977</v>
      </c>
      <c r="I52" s="9">
        <f t="shared" ref="I52" si="549">ROUND(H52*0,2)</f>
        <v>0</v>
      </c>
      <c r="J52" s="9">
        <f t="shared" ref="J52" si="550">ROUND((I52*0.58)+((I52*0.42)*0.1),2)</f>
        <v>0</v>
      </c>
      <c r="K52" s="9">
        <f t="shared" ref="K52" si="551">ROUND((I52*0.42)*0.9,2)</f>
        <v>0</v>
      </c>
      <c r="L52" s="22">
        <f t="shared" ref="L52" si="552">IF(J52+K52=I52,H52-I52,"ERROR")</f>
        <v>1593865.7699999977</v>
      </c>
      <c r="M52" s="9">
        <f t="shared" ref="M52" si="553">ROUND(L52*0.465,2)</f>
        <v>741147.58</v>
      </c>
      <c r="N52" s="9">
        <f>ROUND(L52*0.3,2)+0.01</f>
        <v>478159.74</v>
      </c>
      <c r="O52" s="9">
        <f t="shared" ref="O52" si="554">ROUND(L52*0.1285,2)</f>
        <v>204811.75</v>
      </c>
      <c r="P52" s="9">
        <f t="shared" ref="P52" si="555">ROUND((L52*0.07)*0.9,2)</f>
        <v>100413.54</v>
      </c>
      <c r="Q52" s="9">
        <f t="shared" ref="Q52" si="556">ROUND(L52*0.01,2)</f>
        <v>15938.66</v>
      </c>
      <c r="R52" s="9">
        <f t="shared" ref="R52" si="557">ROUND((L52*0.0075)*0.9,2)</f>
        <v>10758.59</v>
      </c>
      <c r="S52" s="9">
        <f t="shared" ref="S52" si="558">ROUND((L52*0.0075)*0.9,2)</f>
        <v>10758.59</v>
      </c>
      <c r="T52" s="9">
        <f t="shared" si="504"/>
        <v>31877.32</v>
      </c>
      <c r="U52" s="9">
        <v>0</v>
      </c>
      <c r="V52" s="17">
        <f t="shared" ref="V52" si="559">E52/W52</f>
        <v>2219.6214572192484</v>
      </c>
      <c r="W52" s="10">
        <v>748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 t="shared" si="24"/>
        <v>45073</v>
      </c>
      <c r="B53" s="9">
        <v>15963966.35</v>
      </c>
      <c r="C53" s="25">
        <v>14192008.359999999</v>
      </c>
      <c r="D53" s="26">
        <v>308456</v>
      </c>
      <c r="E53" s="9">
        <f t="shared" ref="E53" si="560">B53-C53-D53</f>
        <v>1463501.9900000002</v>
      </c>
      <c r="F53" s="9">
        <f>ROUND(E53*0.04,2)-0.01</f>
        <v>58540.07</v>
      </c>
      <c r="G53" s="9">
        <f t="shared" ref="G53" si="561">ROUND(E53*0,2)</f>
        <v>0</v>
      </c>
      <c r="H53" s="22">
        <f t="shared" ref="H53" si="562">E53-F53-G53</f>
        <v>1404961.9200000002</v>
      </c>
      <c r="I53" s="9">
        <f t="shared" ref="I53" si="563">ROUND(H53*0,2)</f>
        <v>0</v>
      </c>
      <c r="J53" s="9">
        <f t="shared" ref="J53" si="564">ROUND((I53*0.58)+((I53*0.42)*0.1),2)</f>
        <v>0</v>
      </c>
      <c r="K53" s="9">
        <f t="shared" ref="K53" si="565">ROUND((I53*0.42)*0.9,2)</f>
        <v>0</v>
      </c>
      <c r="L53" s="22">
        <f t="shared" ref="L53" si="566">IF(J53+K53=I53,H53-I53,"ERROR")</f>
        <v>1404961.9200000002</v>
      </c>
      <c r="M53" s="9">
        <f t="shared" ref="M53" si="567">ROUND(L53*0.465,2)</f>
        <v>653307.29</v>
      </c>
      <c r="N53" s="9">
        <f>ROUND(L53*0.3,2)</f>
        <v>421488.58</v>
      </c>
      <c r="O53" s="9">
        <f t="shared" ref="O53" si="568">ROUND(L53*0.1285,2)</f>
        <v>180537.61</v>
      </c>
      <c r="P53" s="9">
        <f t="shared" ref="P53" si="569">ROUND((L53*0.07)*0.9,2)</f>
        <v>88512.6</v>
      </c>
      <c r="Q53" s="9">
        <f t="shared" ref="Q53" si="570">ROUND(L53*0.01,2)</f>
        <v>14049.62</v>
      </c>
      <c r="R53" s="9">
        <f t="shared" ref="R53" si="571">ROUND((L53*0.0075)*0.9,2)</f>
        <v>9483.49</v>
      </c>
      <c r="S53" s="9">
        <f t="shared" ref="S53" si="572">ROUND((L53*0.0075)*0.9,2)</f>
        <v>9483.49</v>
      </c>
      <c r="T53" s="9">
        <f t="shared" si="504"/>
        <v>28099.24</v>
      </c>
      <c r="U53" s="9">
        <v>0</v>
      </c>
      <c r="V53" s="17">
        <f t="shared" ref="V53" si="573">E53/W53</f>
        <v>1431.9980332681021</v>
      </c>
      <c r="W53" s="10">
        <v>1022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 t="shared" si="24"/>
        <v>45080</v>
      </c>
      <c r="B54" s="9">
        <v>18288458.449999999</v>
      </c>
      <c r="C54" s="25">
        <v>16309672.700000001</v>
      </c>
      <c r="D54" s="26">
        <v>346518</v>
      </c>
      <c r="E54" s="9">
        <f t="shared" ref="E54" si="574">B54-C54-D54</f>
        <v>1632267.7499999981</v>
      </c>
      <c r="F54" s="9">
        <f>ROUND(E54*0.04,2)+0.01</f>
        <v>65290.720000000001</v>
      </c>
      <c r="G54" s="9">
        <f t="shared" ref="G54" si="575">ROUND(E54*0,2)</f>
        <v>0</v>
      </c>
      <c r="H54" s="22">
        <f t="shared" ref="H54" si="576">E54-F54-G54</f>
        <v>1566977.0299999982</v>
      </c>
      <c r="I54" s="9">
        <f t="shared" ref="I54" si="577">ROUND(H54*0,2)</f>
        <v>0</v>
      </c>
      <c r="J54" s="9">
        <f t="shared" ref="J54" si="578">ROUND((I54*0.58)+((I54*0.42)*0.1),2)</f>
        <v>0</v>
      </c>
      <c r="K54" s="9">
        <f t="shared" ref="K54" si="579">ROUND((I54*0.42)*0.9,2)</f>
        <v>0</v>
      </c>
      <c r="L54" s="22">
        <f t="shared" ref="L54" si="580">IF(J54+K54=I54,H54-I54,"ERROR")</f>
        <v>1566977.0299999982</v>
      </c>
      <c r="M54" s="9">
        <f t="shared" ref="M54" si="581">ROUND(L54*0.465,2)</f>
        <v>728644.32</v>
      </c>
      <c r="N54" s="9">
        <f>ROUND(L54*0.3,2)+0.01</f>
        <v>470093.12</v>
      </c>
      <c r="O54" s="9">
        <f t="shared" ref="O54" si="582">ROUND(L54*0.1285,2)</f>
        <v>201356.55</v>
      </c>
      <c r="P54" s="9">
        <f t="shared" ref="P54" si="583">ROUND((L54*0.07)*0.9,2)</f>
        <v>98719.55</v>
      </c>
      <c r="Q54" s="9">
        <f t="shared" ref="Q54" si="584">ROUND(L54*0.01,2)</f>
        <v>15669.77</v>
      </c>
      <c r="R54" s="9">
        <f t="shared" ref="R54" si="585">ROUND((L54*0.0075)*0.9,2)</f>
        <v>10577.09</v>
      </c>
      <c r="S54" s="9">
        <f t="shared" ref="S54" si="586">ROUND((L54*0.0075)*0.9,2)</f>
        <v>10577.09</v>
      </c>
      <c r="T54" s="9">
        <f t="shared" ref="T54" si="587">ROUND(L54*0.02,2)</f>
        <v>31339.54</v>
      </c>
      <c r="U54" s="9">
        <v>0</v>
      </c>
      <c r="V54" s="17">
        <f t="shared" ref="V54" si="588">E54/W54</f>
        <v>1574.0286885245885</v>
      </c>
      <c r="W54" s="10">
        <v>1037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 t="shared" si="24"/>
        <v>45087</v>
      </c>
      <c r="B55" s="9">
        <v>16847712.759999998</v>
      </c>
      <c r="C55" s="25">
        <v>14930779.810000002</v>
      </c>
      <c r="D55" s="26">
        <v>330565</v>
      </c>
      <c r="E55" s="9">
        <f t="shared" ref="E55" si="589">B55-C55-D55</f>
        <v>1586367.9499999955</v>
      </c>
      <c r="F55" s="9">
        <f>ROUND(E55*0.04,2)</f>
        <v>63454.720000000001</v>
      </c>
      <c r="G55" s="9">
        <f t="shared" ref="G55" si="590">ROUND(E55*0,2)</f>
        <v>0</v>
      </c>
      <c r="H55" s="22">
        <f t="shared" ref="H55" si="591">E55-F55-G55</f>
        <v>1522913.2299999956</v>
      </c>
      <c r="I55" s="9">
        <f t="shared" ref="I55" si="592">ROUND(H55*0,2)</f>
        <v>0</v>
      </c>
      <c r="J55" s="9">
        <f t="shared" ref="J55" si="593">ROUND((I55*0.58)+((I55*0.42)*0.1),2)</f>
        <v>0</v>
      </c>
      <c r="K55" s="9">
        <f t="shared" ref="K55" si="594">ROUND((I55*0.42)*0.9,2)</f>
        <v>0</v>
      </c>
      <c r="L55" s="22">
        <f t="shared" ref="L55" si="595">IF(J55+K55=I55,H55-I55,"ERROR")</f>
        <v>1522913.2299999956</v>
      </c>
      <c r="M55" s="9">
        <f t="shared" ref="M55" si="596">ROUND(L55*0.465,2)</f>
        <v>708154.65</v>
      </c>
      <c r="N55" s="9">
        <f>ROUND(L55*0.3,2)+0.02</f>
        <v>456873.99</v>
      </c>
      <c r="O55" s="9">
        <f t="shared" ref="O55" si="597">ROUND(L55*0.1285,2)</f>
        <v>195694.35</v>
      </c>
      <c r="P55" s="9">
        <f t="shared" ref="P55" si="598">ROUND((L55*0.07)*0.9,2)</f>
        <v>95943.53</v>
      </c>
      <c r="Q55" s="9">
        <f t="shared" ref="Q55" si="599">ROUND(L55*0.01,2)</f>
        <v>15229.13</v>
      </c>
      <c r="R55" s="9">
        <f t="shared" ref="R55" si="600">ROUND((L55*0.0075)*0.9,2)</f>
        <v>10279.66</v>
      </c>
      <c r="S55" s="9">
        <f t="shared" ref="S55" si="601">ROUND((L55*0.0075)*0.9,2)</f>
        <v>10279.66</v>
      </c>
      <c r="T55" s="9">
        <f>ROUND(L55*0.02,2)/2+0.01</f>
        <v>15229.14</v>
      </c>
      <c r="U55" s="9">
        <f>ROUND(L55*0.02,2)/2-0.01</f>
        <v>15229.119999999999</v>
      </c>
      <c r="V55" s="17">
        <f t="shared" ref="V55" si="602">E55/W55</f>
        <v>1520.9663950143772</v>
      </c>
      <c r="W55" s="10">
        <v>1043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 t="shared" si="24"/>
        <v>45094</v>
      </c>
      <c r="B56" s="9">
        <v>17784848.68</v>
      </c>
      <c r="C56" s="25">
        <v>15758587.48</v>
      </c>
      <c r="D56" s="26">
        <v>333890</v>
      </c>
      <c r="E56" s="9">
        <f t="shared" ref="E56" si="603">B56-C56-D56</f>
        <v>1692371.1999999993</v>
      </c>
      <c r="F56" s="9">
        <f>ROUND(E56*0.04,2)</f>
        <v>67694.850000000006</v>
      </c>
      <c r="G56" s="9">
        <f t="shared" ref="G56" si="604">ROUND(E56*0,2)</f>
        <v>0</v>
      </c>
      <c r="H56" s="22">
        <f t="shared" ref="H56" si="605">E56-F56-G56</f>
        <v>1624676.3499999992</v>
      </c>
      <c r="I56" s="9">
        <f t="shared" ref="I56" si="606">ROUND(H56*0,2)</f>
        <v>0</v>
      </c>
      <c r="J56" s="9">
        <f t="shared" ref="J56" si="607">ROUND((I56*0.58)+((I56*0.42)*0.1),2)</f>
        <v>0</v>
      </c>
      <c r="K56" s="9">
        <f t="shared" ref="K56" si="608">ROUND((I56*0.42)*0.9,2)</f>
        <v>0</v>
      </c>
      <c r="L56" s="22">
        <f t="shared" ref="L56" si="609">IF(J56+K56=I56,H56-I56,"ERROR")</f>
        <v>1624676.3499999992</v>
      </c>
      <c r="M56" s="9">
        <f t="shared" ref="M56" si="610">ROUND(L56*0.465,2)</f>
        <v>755474.5</v>
      </c>
      <c r="N56" s="9">
        <f>ROUND(L56*0.3,2)</f>
        <v>487402.91</v>
      </c>
      <c r="O56" s="9">
        <f t="shared" ref="O56" si="611">ROUND(L56*0.1285,2)</f>
        <v>208770.91</v>
      </c>
      <c r="P56" s="9">
        <f t="shared" ref="P56" si="612">ROUND((L56*0.07)*0.9,2)</f>
        <v>102354.61</v>
      </c>
      <c r="Q56" s="9">
        <f t="shared" ref="Q56" si="613">ROUND(L56*0.01,2)</f>
        <v>16246.76</v>
      </c>
      <c r="R56" s="9">
        <f t="shared" ref="R56" si="614">ROUND((L56*0.0075)*0.9,2)</f>
        <v>10966.57</v>
      </c>
      <c r="S56" s="9">
        <f t="shared" ref="S56" si="615">ROUND((L56*0.0075)*0.9,2)</f>
        <v>10966.57</v>
      </c>
      <c r="T56" s="9">
        <f>ROUND(L56*0.02,2)/2-0.005</f>
        <v>16246.76</v>
      </c>
      <c r="U56" s="9">
        <f>ROUND(L56*0.02,2)/2-0.005</f>
        <v>16246.76</v>
      </c>
      <c r="V56" s="17">
        <f t="shared" ref="V56" si="616">E56/W56</f>
        <v>1617.9456978967487</v>
      </c>
      <c r="W56" s="10">
        <v>1046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 t="shared" si="24"/>
        <v>45101</v>
      </c>
      <c r="B57" s="9">
        <v>19188218.370000001</v>
      </c>
      <c r="C57" s="25">
        <v>17012548.559999999</v>
      </c>
      <c r="D57" s="26">
        <v>301369</v>
      </c>
      <c r="E57" s="9">
        <f t="shared" ref="E57" si="617">B57-C57-D57</f>
        <v>1874300.8100000024</v>
      </c>
      <c r="F57" s="9">
        <f>ROUND(E57*0.04,2)+0.01</f>
        <v>74972.039999999994</v>
      </c>
      <c r="G57" s="9">
        <f t="shared" ref="G57" si="618">ROUND(E57*0,2)</f>
        <v>0</v>
      </c>
      <c r="H57" s="22">
        <f t="shared" ref="H57" si="619">E57-F57-G57</f>
        <v>1799328.7700000023</v>
      </c>
      <c r="I57" s="9">
        <f t="shared" ref="I57" si="620">ROUND(H57*0,2)</f>
        <v>0</v>
      </c>
      <c r="J57" s="9">
        <f t="shared" ref="J57" si="621">ROUND((I57*0.58)+((I57*0.42)*0.1),2)</f>
        <v>0</v>
      </c>
      <c r="K57" s="9">
        <f t="shared" ref="K57" si="622">ROUND((I57*0.42)*0.9,2)</f>
        <v>0</v>
      </c>
      <c r="L57" s="22">
        <f t="shared" ref="L57" si="623">IF(J57+K57=I57,H57-I57,"ERROR")</f>
        <v>1799328.7700000023</v>
      </c>
      <c r="M57" s="9">
        <f t="shared" ref="M57" si="624">ROUND(L57*0.465,2)</f>
        <v>836687.88</v>
      </c>
      <c r="N57" s="9">
        <f>ROUND(L57*0.3,2)-0.01</f>
        <v>539798.62</v>
      </c>
      <c r="O57" s="9">
        <f t="shared" ref="O57" si="625">ROUND(L57*0.1285,2)</f>
        <v>231213.75</v>
      </c>
      <c r="P57" s="9">
        <f t="shared" ref="P57" si="626">ROUND((L57*0.07)*0.9,2)</f>
        <v>113357.71</v>
      </c>
      <c r="Q57" s="9">
        <f t="shared" ref="Q57" si="627">ROUND(L57*0.01,2)</f>
        <v>17993.29</v>
      </c>
      <c r="R57" s="9">
        <f t="shared" ref="R57" si="628">ROUND((L57*0.0075)*0.9,2)</f>
        <v>12145.47</v>
      </c>
      <c r="S57" s="9">
        <f t="shared" ref="S57" si="629">ROUND((L57*0.0075)*0.9,2)</f>
        <v>12145.47</v>
      </c>
      <c r="T57" s="9">
        <f>ROUND(L57*0.02,2)/2-0.01</f>
        <v>17993.280000000002</v>
      </c>
      <c r="U57" s="9">
        <f>ROUND(L57*0.02,2)/2+0.01</f>
        <v>17993.3</v>
      </c>
      <c r="V57" s="17">
        <f t="shared" ref="V57" si="630">E57/W57</f>
        <v>1788.454971374048</v>
      </c>
      <c r="W57" s="10">
        <v>1048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">
        <v>39</v>
      </c>
      <c r="B58" s="9">
        <v>13160980.050000001</v>
      </c>
      <c r="C58" s="25">
        <v>11680548.800000001</v>
      </c>
      <c r="D58" s="26">
        <v>243621</v>
      </c>
      <c r="E58" s="9">
        <f t="shared" ref="E58" si="631">B58-C58-D58</f>
        <v>1236810.25</v>
      </c>
      <c r="F58" s="9">
        <f>ROUND(E58*0.04,2)+0.01</f>
        <v>49472.420000000006</v>
      </c>
      <c r="G58" s="9">
        <f t="shared" ref="G58" si="632">ROUND(E58*0,2)</f>
        <v>0</v>
      </c>
      <c r="H58" s="22">
        <f t="shared" ref="H58" si="633">E58-F58-G58</f>
        <v>1187337.83</v>
      </c>
      <c r="I58" s="9">
        <f t="shared" ref="I58" si="634">ROUND(H58*0,2)</f>
        <v>0</v>
      </c>
      <c r="J58" s="9">
        <f t="shared" ref="J58" si="635">ROUND((I58*0.58)+((I58*0.42)*0.1),2)</f>
        <v>0</v>
      </c>
      <c r="K58" s="9">
        <f t="shared" ref="K58" si="636">ROUND((I58*0.42)*0.9,2)</f>
        <v>0</v>
      </c>
      <c r="L58" s="22">
        <f t="shared" ref="L58" si="637">IF(J58+K58=I58,H58-I58,"ERROR")</f>
        <v>1187337.83</v>
      </c>
      <c r="M58" s="9">
        <f t="shared" ref="M58" si="638">ROUND(L58*0.465,2)</f>
        <v>552112.09</v>
      </c>
      <c r="N58" s="9">
        <f>ROUND(L58*0.3,2)</f>
        <v>356201.35</v>
      </c>
      <c r="O58" s="9">
        <f t="shared" ref="O58" si="639">ROUND(L58*0.1285,2)</f>
        <v>152572.91</v>
      </c>
      <c r="P58" s="9">
        <f t="shared" ref="P58" si="640">ROUND((L58*0.07)*0.9,2)</f>
        <v>74802.28</v>
      </c>
      <c r="Q58" s="9">
        <f t="shared" ref="Q58" si="641">ROUND(L58*0.01,2)</f>
        <v>11873.38</v>
      </c>
      <c r="R58" s="9">
        <f t="shared" ref="R58" si="642">ROUND((L58*0.0075)*0.9,2)</f>
        <v>8014.53</v>
      </c>
      <c r="S58" s="9">
        <f t="shared" ref="S58" si="643">ROUND((L58*0.0075)*0.9,2)</f>
        <v>8014.53</v>
      </c>
      <c r="T58" s="9">
        <f>ROUND(L58*0.02,2)/2</f>
        <v>11873.38</v>
      </c>
      <c r="U58" s="9">
        <f>ROUND(L58*0.02,2)/2</f>
        <v>11873.38</v>
      </c>
      <c r="V58" s="17">
        <f t="shared" ref="V58" si="644">E58/W58</f>
        <v>1183.5504784688994</v>
      </c>
      <c r="W58" s="10">
        <v>1045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/>
      <c r="B59" s="9"/>
      <c r="C59" s="9"/>
      <c r="D59" s="9"/>
      <c r="E59" s="9"/>
      <c r="F59" s="9"/>
      <c r="G59" s="9"/>
      <c r="H59" s="22"/>
      <c r="I59" s="9"/>
      <c r="J59" s="9"/>
      <c r="K59" s="9"/>
      <c r="L59" s="22"/>
      <c r="M59" s="9"/>
      <c r="N59" s="9"/>
      <c r="O59" s="9"/>
      <c r="P59" s="9"/>
      <c r="Q59" s="9"/>
      <c r="R59" s="9"/>
      <c r="S59" s="9"/>
      <c r="T59" s="9"/>
      <c r="U59" s="9"/>
      <c r="V59" s="17"/>
      <c r="W59" s="10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thickBot="1" x14ac:dyDescent="0.3">
      <c r="B60" s="11">
        <f>SUM(B6:B59)</f>
        <v>904305345.05999982</v>
      </c>
      <c r="C60" s="11">
        <f t="shared" ref="C60:U60" si="645">SUM(C6:C59)</f>
        <v>803851683.0999999</v>
      </c>
      <c r="D60" s="11">
        <f t="shared" si="645"/>
        <v>15926574</v>
      </c>
      <c r="E60" s="11">
        <f t="shared" si="645"/>
        <v>84527087.959999993</v>
      </c>
      <c r="F60" s="11">
        <f t="shared" si="645"/>
        <v>3381083.5100000007</v>
      </c>
      <c r="G60" s="11">
        <f t="shared" si="645"/>
        <v>0</v>
      </c>
      <c r="H60" s="11">
        <f t="shared" si="645"/>
        <v>81146004.449999973</v>
      </c>
      <c r="I60" s="11">
        <f t="shared" si="645"/>
        <v>0</v>
      </c>
      <c r="J60" s="11">
        <f t="shared" si="645"/>
        <v>0</v>
      </c>
      <c r="K60" s="11">
        <f t="shared" si="645"/>
        <v>0</v>
      </c>
      <c r="L60" s="11">
        <f t="shared" si="645"/>
        <v>81146004.449999973</v>
      </c>
      <c r="M60" s="11">
        <f t="shared" si="645"/>
        <v>37732892.040000007</v>
      </c>
      <c r="N60" s="11">
        <f t="shared" si="645"/>
        <v>24343800.899999995</v>
      </c>
      <c r="O60" s="11">
        <f t="shared" si="645"/>
        <v>10427261.9</v>
      </c>
      <c r="P60" s="11">
        <f t="shared" si="645"/>
        <v>5112198.2299999977</v>
      </c>
      <c r="Q60" s="11">
        <f t="shared" si="645"/>
        <v>811460.14</v>
      </c>
      <c r="R60" s="11">
        <f t="shared" si="645"/>
        <v>547735.48</v>
      </c>
      <c r="S60" s="11">
        <f t="shared" si="645"/>
        <v>547735.48</v>
      </c>
      <c r="T60" s="11">
        <f>SUM(T6:T59)</f>
        <v>1561577.7199999997</v>
      </c>
      <c r="U60" s="11">
        <f t="shared" si="645"/>
        <v>61342.55999999999</v>
      </c>
      <c r="V60" s="11">
        <f>AVERAGE(V6:V59)</f>
        <v>1608.3024244544645</v>
      </c>
      <c r="W60" s="13">
        <f>AVERAGE(W6:W59)</f>
        <v>994.69811320754718</v>
      </c>
    </row>
    <row r="61" spans="1:96" ht="15" customHeight="1" thickTop="1" x14ac:dyDescent="0.25"/>
    <row r="62" spans="1:96" ht="15" customHeight="1" x14ac:dyDescent="0.25">
      <c r="A62" s="1" t="s">
        <v>32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40</v>
      </c>
    </row>
  </sheetData>
  <mergeCells count="1">
    <mergeCell ref="A4:W4"/>
  </mergeCells>
  <pageMargins left="0.25" right="0.25" top="0.5" bottom="0.25" header="0" footer="0"/>
  <pageSetup paperSize="5" scale="52" fitToHeight="0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7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2" width="17.7109375" style="2" customWidth="1"/>
    <col min="3" max="3" width="17.42578125" style="2" bestFit="1" customWidth="1"/>
    <col min="4" max="4" width="15.140625" style="2" customWidth="1"/>
    <col min="5" max="5" width="17.140625" style="2" customWidth="1"/>
    <col min="6" max="6" width="14.7109375" style="2" bestFit="1" customWidth="1"/>
    <col min="7" max="7" width="13.7109375" style="2" bestFit="1" customWidth="1"/>
    <col min="8" max="8" width="17.5703125" style="2" customWidth="1"/>
    <col min="9" max="9" width="11.7109375" style="2" hidden="1" customWidth="1"/>
    <col min="10" max="11" width="12.7109375" style="2" customWidth="1"/>
    <col min="12" max="12" width="16.5703125" style="2" customWidth="1"/>
    <col min="13" max="13" width="15.85546875" style="2" customWidth="1"/>
    <col min="14" max="14" width="16.140625" style="2" customWidth="1"/>
    <col min="15" max="15" width="15" style="2" customWidth="1"/>
    <col min="16" max="16" width="14.7109375" style="2" bestFit="1" customWidth="1"/>
    <col min="17" max="19" width="13.7109375" style="2" customWidth="1"/>
    <col min="20" max="20" width="16.42578125" style="2" customWidth="1"/>
    <col min="21" max="23" width="13.7109375" style="2" customWidth="1"/>
    <col min="24" max="16384" width="9.140625" style="2"/>
  </cols>
  <sheetData>
    <row r="1" spans="1:96" s="3" customFormat="1" ht="45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23</v>
      </c>
      <c r="U1" s="3" t="s">
        <v>22</v>
      </c>
      <c r="V1" s="3" t="s">
        <v>20</v>
      </c>
      <c r="W1" s="3" t="s">
        <v>21</v>
      </c>
    </row>
    <row r="2" spans="1:96" s="19" customFormat="1" ht="15" customHeight="1" x14ac:dyDescent="0.25">
      <c r="A2" s="19" t="s">
        <v>30</v>
      </c>
      <c r="B2" s="5">
        <v>894878352.6500001</v>
      </c>
      <c r="C2" s="5">
        <v>803624615.28999996</v>
      </c>
      <c r="D2" s="5">
        <v>12802731.890000001</v>
      </c>
      <c r="E2" s="5">
        <v>78451005.470000029</v>
      </c>
      <c r="F2" s="5">
        <v>3138040.1799999992</v>
      </c>
      <c r="G2" s="5">
        <v>0</v>
      </c>
      <c r="H2" s="5">
        <v>75312965.290000007</v>
      </c>
      <c r="I2" s="5">
        <v>0</v>
      </c>
      <c r="J2" s="5">
        <v>0</v>
      </c>
      <c r="K2" s="5">
        <v>0</v>
      </c>
      <c r="L2" s="5">
        <v>75312965.290000007</v>
      </c>
      <c r="M2" s="5">
        <v>35020528.899999991</v>
      </c>
      <c r="N2" s="5">
        <v>22593889.539999999</v>
      </c>
      <c r="O2" s="5">
        <v>9677716.1500000004</v>
      </c>
      <c r="P2" s="5">
        <v>4744716.82</v>
      </c>
      <c r="Q2" s="5">
        <v>753129.64000000025</v>
      </c>
      <c r="R2" s="5">
        <v>508362.48</v>
      </c>
      <c r="S2" s="5">
        <v>508362.48</v>
      </c>
      <c r="T2" s="5">
        <v>1137786.5800000003</v>
      </c>
      <c r="U2" s="6">
        <v>368472.70000000007</v>
      </c>
      <c r="V2" s="17">
        <v>1516.3678857603541</v>
      </c>
      <c r="W2" s="10">
        <v>982.90566037735846</v>
      </c>
    </row>
    <row r="3" spans="1:96" s="19" customFormat="1" ht="15" customHeight="1" x14ac:dyDescent="0.25"/>
    <row r="4" spans="1:96" s="19" customFormat="1" ht="15" customHeight="1" x14ac:dyDescent="0.25">
      <c r="A4" s="30" t="s">
        <v>31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19" customFormat="1" ht="15" customHeight="1" x14ac:dyDescent="0.25"/>
    <row r="6" spans="1:96" ht="15" customHeight="1" x14ac:dyDescent="0.25">
      <c r="A6" s="8" t="str">
        <f>Mountaineer!A6</f>
        <v>7/2/2022 *</v>
      </c>
      <c r="B6" s="9">
        <v>7928901.1799999997</v>
      </c>
      <c r="C6" s="9">
        <v>7142516.6899999995</v>
      </c>
      <c r="D6" s="9">
        <v>107980</v>
      </c>
      <c r="E6" s="9">
        <f t="shared" ref="E6" si="0">B6-C6-D6</f>
        <v>678404.49000000022</v>
      </c>
      <c r="F6" s="9">
        <f>ROUND(E6*0.04,2)</f>
        <v>27136.18</v>
      </c>
      <c r="G6" s="9">
        <f t="shared" ref="G6" si="1">ROUND(E6*0,2)</f>
        <v>0</v>
      </c>
      <c r="H6" s="9">
        <f t="shared" ref="H6" si="2">E6-F6-G6</f>
        <v>651268.31000000017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2">
        <f t="shared" ref="L6" si="6">IF(J6+K6=I6,H6-I6,"ERROR")</f>
        <v>651268.31000000017</v>
      </c>
      <c r="M6" s="9">
        <f t="shared" ref="M6" si="7">ROUND(L6*0.465,2)</f>
        <v>302839.76</v>
      </c>
      <c r="N6" s="9">
        <f>ROUND(L6*0.3,2)+0.03</f>
        <v>195380.52</v>
      </c>
      <c r="O6" s="9">
        <f>ROUND(L6*0.1285,2)-0.01</f>
        <v>83687.97</v>
      </c>
      <c r="P6" s="9">
        <f t="shared" ref="P6" si="8">ROUND((L6*0.07)*0.9,2)</f>
        <v>41029.9</v>
      </c>
      <c r="Q6" s="9">
        <f>ROUND(L6*0.01,2)</f>
        <v>6512.68</v>
      </c>
      <c r="R6" s="9">
        <f t="shared" ref="R6" si="9">ROUND((L6*0.0075)*0.9,2)</f>
        <v>4396.0600000000004</v>
      </c>
      <c r="S6" s="9">
        <f t="shared" ref="S6" si="10">ROUND((L6*0.0075)*0.9,2)</f>
        <v>4396.0600000000004</v>
      </c>
      <c r="T6" s="9">
        <f>ROUND(L6*0.02,2)-0.01</f>
        <v>13025.36</v>
      </c>
      <c r="U6" s="9">
        <f t="shared" ref="U6:U11" si="11">ROUND(M6*0,2)</f>
        <v>0</v>
      </c>
      <c r="V6" s="17">
        <f t="shared" ref="V6" si="12">E6/W6</f>
        <v>925.51772169167839</v>
      </c>
      <c r="W6" s="10">
        <v>733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44751</v>
      </c>
      <c r="B7" s="9">
        <v>20196982.890000001</v>
      </c>
      <c r="C7" s="9">
        <v>18201895.5</v>
      </c>
      <c r="D7" s="9">
        <v>276300</v>
      </c>
      <c r="E7" s="9">
        <f t="shared" ref="E7" si="13">B7-C7-D7</f>
        <v>1718787.3900000006</v>
      </c>
      <c r="F7" s="9">
        <f>ROUND(E7*0.04,2)-0.01</f>
        <v>68751.490000000005</v>
      </c>
      <c r="G7" s="9">
        <f t="shared" ref="G7" si="14">ROUND(E7*0,2)</f>
        <v>0</v>
      </c>
      <c r="H7" s="9">
        <f t="shared" ref="H7" si="15">E7-F7-G7</f>
        <v>1650035.9000000006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22">
        <f t="shared" ref="L7" si="19">IF(J7+K7=I7,H7-I7,"ERROR")</f>
        <v>1650035.9000000006</v>
      </c>
      <c r="M7" s="9">
        <f t="shared" ref="M7" si="20">ROUND(L7*0.465,2)</f>
        <v>767266.69</v>
      </c>
      <c r="N7" s="9">
        <f>ROUND(L7*0.3,2)+0.01</f>
        <v>495010.78</v>
      </c>
      <c r="O7" s="9">
        <f>ROUND(L7*0.1285,2)</f>
        <v>212029.61</v>
      </c>
      <c r="P7" s="9">
        <f t="shared" ref="P7" si="21">ROUND((L7*0.07)*0.9,2)</f>
        <v>103952.26</v>
      </c>
      <c r="Q7" s="9">
        <f>ROUND(L7*0.01,2)</f>
        <v>16500.36</v>
      </c>
      <c r="R7" s="9">
        <f t="shared" ref="R7" si="22">ROUND((L7*0.0075)*0.9,2)</f>
        <v>11137.74</v>
      </c>
      <c r="S7" s="9">
        <f t="shared" ref="S7" si="23">ROUND((L7*0.0075)*0.9,2)</f>
        <v>11137.74</v>
      </c>
      <c r="T7" s="9">
        <f>ROUND(L7*0.02,2)</f>
        <v>33000.720000000001</v>
      </c>
      <c r="U7" s="9">
        <f t="shared" si="11"/>
        <v>0</v>
      </c>
      <c r="V7" s="17">
        <f t="shared" ref="V7" si="24">E7/W7</f>
        <v>2192.3308545918376</v>
      </c>
      <c r="W7" s="10">
        <v>784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 t="shared" ref="A8:A57" si="25">A7+7</f>
        <v>44758</v>
      </c>
      <c r="B8" s="9">
        <v>18622629.390000001</v>
      </c>
      <c r="C8" s="9">
        <v>16748496.470000001</v>
      </c>
      <c r="D8" s="9">
        <v>258720</v>
      </c>
      <c r="E8" s="9">
        <f t="shared" ref="E8" si="26">B8-C8-D8</f>
        <v>1615412.92</v>
      </c>
      <c r="F8" s="9">
        <f>ROUND(E8*0.04,2)+0.01</f>
        <v>64616.53</v>
      </c>
      <c r="G8" s="9">
        <f t="shared" ref="G8" si="27">ROUND(E8*0,2)</f>
        <v>0</v>
      </c>
      <c r="H8" s="22">
        <f t="shared" ref="H8" si="28">E8-F8-G8</f>
        <v>1550796.39</v>
      </c>
      <c r="I8" s="9">
        <f t="shared" ref="I8" si="29">ROUND(H8*0,2)</f>
        <v>0</v>
      </c>
      <c r="J8" s="9">
        <f t="shared" ref="J8" si="30">ROUND((I8*0.58)+((I8*0.42)*0.1),2)</f>
        <v>0</v>
      </c>
      <c r="K8" s="9">
        <f t="shared" ref="K8" si="31">ROUND((I8*0.42)*0.9,2)</f>
        <v>0</v>
      </c>
      <c r="L8" s="22">
        <f t="shared" ref="L8" si="32">IF(J8+K8=I8,H8-I8,"ERROR")</f>
        <v>1550796.39</v>
      </c>
      <c r="M8" s="9">
        <f t="shared" ref="M8" si="33">ROUND(L8*0.465,2)</f>
        <v>721120.32</v>
      </c>
      <c r="N8" s="9">
        <f>ROUND(L8*0.3,2)+0.01</f>
        <v>465238.93</v>
      </c>
      <c r="O8" s="9">
        <f>ROUND(L8*0.1285,2)-0.01</f>
        <v>199277.33</v>
      </c>
      <c r="P8" s="9">
        <f t="shared" ref="P8" si="34">ROUND((L8*0.07)*0.9,2)</f>
        <v>97700.17</v>
      </c>
      <c r="Q8" s="9">
        <f>ROUND(L8*0.01,2)</f>
        <v>15507.96</v>
      </c>
      <c r="R8" s="9">
        <f t="shared" ref="R8" si="35">ROUND((L8*0.0075)*0.9,2)</f>
        <v>10467.879999999999</v>
      </c>
      <c r="S8" s="9">
        <f t="shared" ref="S8" si="36">ROUND((L8*0.0075)*0.9,2)</f>
        <v>10467.879999999999</v>
      </c>
      <c r="T8" s="9">
        <f>ROUND(L8*0.02,2)-0.01</f>
        <v>31015.920000000002</v>
      </c>
      <c r="U8" s="9">
        <f t="shared" si="11"/>
        <v>0</v>
      </c>
      <c r="V8" s="17">
        <f t="shared" ref="V8" si="37">E8/W8</f>
        <v>1796.8997997775305</v>
      </c>
      <c r="W8" s="10">
        <v>899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 t="shared" si="25"/>
        <v>44765</v>
      </c>
      <c r="B9" s="9">
        <v>18159928.329999998</v>
      </c>
      <c r="C9" s="9">
        <v>16243938.16</v>
      </c>
      <c r="D9" s="9">
        <v>256520</v>
      </c>
      <c r="E9" s="9">
        <f t="shared" ref="E9" si="38">B9-C9-D9</f>
        <v>1659470.1699999981</v>
      </c>
      <c r="F9" s="9">
        <f>ROUND(E9*0.04,2)+0.01</f>
        <v>66378.819999999992</v>
      </c>
      <c r="G9" s="9">
        <f t="shared" ref="G9" si="39">ROUND(E9*0,2)</f>
        <v>0</v>
      </c>
      <c r="H9" s="22">
        <f t="shared" ref="H9" si="40">E9-F9-G9</f>
        <v>1593091.349999998</v>
      </c>
      <c r="I9" s="9">
        <f t="shared" ref="I9" si="41">ROUND(H9*0,2)</f>
        <v>0</v>
      </c>
      <c r="J9" s="9">
        <f t="shared" ref="J9" si="42">ROUND((I9*0.58)+((I9*0.42)*0.1),2)</f>
        <v>0</v>
      </c>
      <c r="K9" s="9">
        <f t="shared" ref="K9" si="43">ROUND((I9*0.42)*0.9,2)</f>
        <v>0</v>
      </c>
      <c r="L9" s="22">
        <f t="shared" ref="L9" si="44">IF(J9+K9=I9,H9-I9,"ERROR")</f>
        <v>1593091.349999998</v>
      </c>
      <c r="M9" s="9">
        <f t="shared" ref="M9" si="45">ROUND(L9*0.465,2)</f>
        <v>740787.48</v>
      </c>
      <c r="N9" s="9">
        <f>ROUND(L9*0.3,2)-0.03</f>
        <v>477927.37</v>
      </c>
      <c r="O9" s="9">
        <f>ROUND(L9*0.1285,2)</f>
        <v>204712.24</v>
      </c>
      <c r="P9" s="9">
        <f t="shared" ref="P9" si="46">ROUND((L9*0.07)*0.9,2)</f>
        <v>100364.76</v>
      </c>
      <c r="Q9" s="9">
        <f>ROUND(L9*0.01,2)+0.01</f>
        <v>15930.92</v>
      </c>
      <c r="R9" s="9">
        <f t="shared" ref="R9" si="47">ROUND((L9*0.0075)*0.9,2)</f>
        <v>10753.37</v>
      </c>
      <c r="S9" s="9">
        <f t="shared" ref="S9" si="48">ROUND((L9*0.0075)*0.9,2)</f>
        <v>10753.37</v>
      </c>
      <c r="T9" s="9">
        <f>ROUND(L9*0.02,2)+0.01</f>
        <v>31861.84</v>
      </c>
      <c r="U9" s="9">
        <f t="shared" si="11"/>
        <v>0</v>
      </c>
      <c r="V9" s="17">
        <f t="shared" ref="V9" si="49">E9/W9</f>
        <v>1716.1015201654582</v>
      </c>
      <c r="W9" s="10">
        <v>967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 t="shared" si="25"/>
        <v>44772</v>
      </c>
      <c r="B10" s="9">
        <v>19027426.16</v>
      </c>
      <c r="C10" s="9">
        <v>17161171.559999999</v>
      </c>
      <c r="D10" s="9">
        <v>266492</v>
      </c>
      <c r="E10" s="9">
        <f t="shared" ref="E10" si="50">B10-C10-D10</f>
        <v>1599762.6000000015</v>
      </c>
      <c r="F10" s="9">
        <f>ROUND(E10*0.04,2)+0.01</f>
        <v>63990.51</v>
      </c>
      <c r="G10" s="9">
        <f t="shared" ref="G10" si="51">ROUND(E10*0,2)</f>
        <v>0</v>
      </c>
      <c r="H10" s="22">
        <f t="shared" ref="H10" si="52">E10-F10-G10</f>
        <v>1535772.0900000015</v>
      </c>
      <c r="I10" s="9">
        <f t="shared" ref="I10" si="53">ROUND(H10*0,2)</f>
        <v>0</v>
      </c>
      <c r="J10" s="9">
        <f t="shared" ref="J10" si="54">ROUND((I10*0.58)+((I10*0.42)*0.1),2)</f>
        <v>0</v>
      </c>
      <c r="K10" s="9">
        <f t="shared" ref="K10" si="55">ROUND((I10*0.42)*0.9,2)</f>
        <v>0</v>
      </c>
      <c r="L10" s="22">
        <f t="shared" ref="L10" si="56">IF(J10+K10=I10,H10-I10,"ERROR")</f>
        <v>1535772.0900000015</v>
      </c>
      <c r="M10" s="9">
        <f t="shared" ref="M10" si="57">ROUND(L10*0.465,2)</f>
        <v>714134.02</v>
      </c>
      <c r="N10" s="9">
        <f>ROUND(L10*0.3,2)-0.01</f>
        <v>460731.62</v>
      </c>
      <c r="O10" s="9">
        <f>ROUND(L10*0.1285,2)+0.02</f>
        <v>197346.72999999998</v>
      </c>
      <c r="P10" s="9">
        <f t="shared" ref="P10" si="58">ROUND((L10*0.07)*0.9,2)</f>
        <v>96753.64</v>
      </c>
      <c r="Q10" s="9">
        <f>ROUND(L10*0.01,2)</f>
        <v>15357.72</v>
      </c>
      <c r="R10" s="9">
        <f t="shared" ref="R10" si="59">ROUND((L10*0.0075)*0.9,2)</f>
        <v>10366.459999999999</v>
      </c>
      <c r="S10" s="9">
        <f t="shared" ref="S10" si="60">ROUND((L10*0.0075)*0.9,2)</f>
        <v>10366.459999999999</v>
      </c>
      <c r="T10" s="9">
        <f>ROUND(L10*0.02,2)</f>
        <v>30715.439999999999</v>
      </c>
      <c r="U10" s="9">
        <f t="shared" si="11"/>
        <v>0</v>
      </c>
      <c r="V10" s="17">
        <f t="shared" ref="V10" si="61">E10/W10</f>
        <v>1634.078243105211</v>
      </c>
      <c r="W10" s="10">
        <v>979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 t="shared" si="25"/>
        <v>44779</v>
      </c>
      <c r="B11" s="9">
        <v>19180198.82</v>
      </c>
      <c r="C11" s="9">
        <v>17372206.77</v>
      </c>
      <c r="D11" s="9">
        <v>250618</v>
      </c>
      <c r="E11" s="9">
        <f t="shared" ref="E11" si="62">B11-C11-D11</f>
        <v>1557374.0500000007</v>
      </c>
      <c r="F11" s="9">
        <f>ROUND(E11*0.04,2)</f>
        <v>62294.96</v>
      </c>
      <c r="G11" s="9">
        <f t="shared" ref="G11" si="63">ROUND(E11*0,2)</f>
        <v>0</v>
      </c>
      <c r="H11" s="22">
        <f t="shared" ref="H11" si="64">E11-F11-G11</f>
        <v>1495079.0900000008</v>
      </c>
      <c r="I11" s="9">
        <f t="shared" ref="I11" si="65">ROUND(H11*0,2)</f>
        <v>0</v>
      </c>
      <c r="J11" s="9">
        <f t="shared" ref="J11" si="66">ROUND((I11*0.58)+((I11*0.42)*0.1),2)</f>
        <v>0</v>
      </c>
      <c r="K11" s="9">
        <f t="shared" ref="K11" si="67">ROUND((I11*0.42)*0.9,2)</f>
        <v>0</v>
      </c>
      <c r="L11" s="22">
        <f t="shared" ref="L11" si="68">IF(J11+K11=I11,H11-I11,"ERROR")</f>
        <v>1495079.0900000008</v>
      </c>
      <c r="M11" s="9">
        <f t="shared" ref="M11" si="69">ROUND(L11*0.465,2)</f>
        <v>695211.78</v>
      </c>
      <c r="N11" s="9">
        <f>ROUND(L11*0.3,2)-0.06</f>
        <v>448523.67</v>
      </c>
      <c r="O11" s="9">
        <f>ROUND(L11*0.1285,2)+0.04</f>
        <v>192117.7</v>
      </c>
      <c r="P11" s="9">
        <f t="shared" ref="P11" si="70">ROUND((L11*0.07)*0.9,2)</f>
        <v>94189.98</v>
      </c>
      <c r="Q11" s="9">
        <f>ROUND(L11*0.01,2)+0.01</f>
        <v>14950.800000000001</v>
      </c>
      <c r="R11" s="9">
        <f t="shared" ref="R11" si="71">ROUND((L11*0.0075)*0.9,2)</f>
        <v>10091.780000000001</v>
      </c>
      <c r="S11" s="9">
        <f t="shared" ref="S11" si="72">ROUND((L11*0.0075)*0.9,2)</f>
        <v>10091.780000000001</v>
      </c>
      <c r="T11" s="9">
        <f>ROUND(L11*0.02,2)+0.02</f>
        <v>29901.600000000002</v>
      </c>
      <c r="U11" s="9">
        <f t="shared" si="11"/>
        <v>0</v>
      </c>
      <c r="V11" s="17">
        <f t="shared" ref="V11" si="73">E11/W11</f>
        <v>1545.0139384920642</v>
      </c>
      <c r="W11" s="10">
        <v>1008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 t="shared" si="25"/>
        <v>44786</v>
      </c>
      <c r="B12" s="9">
        <v>17516239.170000002</v>
      </c>
      <c r="C12" s="9">
        <v>15709061.02</v>
      </c>
      <c r="D12" s="9">
        <v>252674</v>
      </c>
      <c r="E12" s="9">
        <f t="shared" ref="E12" si="74">B12-C12-D12</f>
        <v>1554504.1500000022</v>
      </c>
      <c r="F12" s="9">
        <f>ROUND(E12*0.04,2)</f>
        <v>62180.17</v>
      </c>
      <c r="G12" s="9">
        <f t="shared" ref="G12" si="75">ROUND(E12*0,2)</f>
        <v>0</v>
      </c>
      <c r="H12" s="22">
        <f t="shared" ref="H12" si="76">E12-F12-G12</f>
        <v>1492323.9800000023</v>
      </c>
      <c r="I12" s="9">
        <f t="shared" ref="I12" si="77">ROUND(H12*0,2)</f>
        <v>0</v>
      </c>
      <c r="J12" s="9">
        <f t="shared" ref="J12" si="78">ROUND((I12*0.58)+((I12*0.42)*0.1),2)</f>
        <v>0</v>
      </c>
      <c r="K12" s="9">
        <f t="shared" ref="K12" si="79">ROUND((I12*0.42)*0.9,2)</f>
        <v>0</v>
      </c>
      <c r="L12" s="22">
        <f t="shared" ref="L12" si="80">IF(J12+K12=I12,H12-I12,"ERROR")</f>
        <v>1492323.9800000023</v>
      </c>
      <c r="M12" s="9">
        <f t="shared" ref="M12" si="81">ROUND(L12*0.465,2)</f>
        <v>693930.65</v>
      </c>
      <c r="N12" s="9">
        <f>ROUND(L12*0.3,2)+0.01</f>
        <v>447697.2</v>
      </c>
      <c r="O12" s="9">
        <f>ROUND(L12*0.1285,2)-0.01</f>
        <v>191763.62</v>
      </c>
      <c r="P12" s="9">
        <f t="shared" ref="P12" si="82">ROUND((L12*0.07)*0.9,2)</f>
        <v>94016.41</v>
      </c>
      <c r="Q12" s="9">
        <f>ROUND(L12*0.01,2)</f>
        <v>14923.24</v>
      </c>
      <c r="R12" s="9">
        <f t="shared" ref="R12" si="83">ROUND((L12*0.0075)*0.9,2)</f>
        <v>10073.19</v>
      </c>
      <c r="S12" s="9">
        <f t="shared" ref="S12" si="84">ROUND((L12*0.0075)*0.9,2)</f>
        <v>10073.19</v>
      </c>
      <c r="T12" s="9">
        <f>ROUND(L12*0.02,2)</f>
        <v>29846.48</v>
      </c>
      <c r="U12" s="9">
        <f t="shared" ref="U12" si="85">ROUND(M12*0,2)</f>
        <v>0</v>
      </c>
      <c r="V12" s="17">
        <f t="shared" ref="V12" si="86">E12/W12</f>
        <v>1528.5193215339254</v>
      </c>
      <c r="W12" s="10">
        <v>1017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 t="shared" si="25"/>
        <v>44793</v>
      </c>
      <c r="B13" s="9">
        <v>18708503.93</v>
      </c>
      <c r="C13" s="9">
        <v>16824960.550000001</v>
      </c>
      <c r="D13" s="9">
        <v>255229</v>
      </c>
      <c r="E13" s="9">
        <f t="shared" ref="E13" si="87">B13-C13-D13</f>
        <v>1628314.379999999</v>
      </c>
      <c r="F13" s="9">
        <f>ROUND(E13*0.04,2)-0.01</f>
        <v>65132.57</v>
      </c>
      <c r="G13" s="9">
        <f t="shared" ref="G13" si="88">ROUND(E13*0,2)</f>
        <v>0</v>
      </c>
      <c r="H13" s="22">
        <f t="shared" ref="H13" si="89">E13-F13-G13</f>
        <v>1563181.8099999989</v>
      </c>
      <c r="I13" s="9">
        <f t="shared" ref="I13" si="90">ROUND(H13*0,2)</f>
        <v>0</v>
      </c>
      <c r="J13" s="9">
        <f t="shared" ref="J13" si="91">ROUND((I13*0.58)+((I13*0.42)*0.1),2)</f>
        <v>0</v>
      </c>
      <c r="K13" s="9">
        <f t="shared" ref="K13" si="92">ROUND((I13*0.42)*0.9,2)</f>
        <v>0</v>
      </c>
      <c r="L13" s="22">
        <f t="shared" ref="L13" si="93">IF(J13+K13=I13,H13-I13,"ERROR")</f>
        <v>1563181.8099999989</v>
      </c>
      <c r="M13" s="9">
        <f t="shared" ref="M13" si="94">ROUND(L13*0.465,2)</f>
        <v>726879.54</v>
      </c>
      <c r="N13" s="9">
        <f>ROUND(L13*0.3,2)</f>
        <v>468954.54</v>
      </c>
      <c r="O13" s="9">
        <f>ROUND(L13*0.1285,2)</f>
        <v>200868.86</v>
      </c>
      <c r="P13" s="9">
        <f t="shared" ref="P13" si="95">ROUND((L13*0.07)*0.9,2)</f>
        <v>98480.45</v>
      </c>
      <c r="Q13" s="9">
        <f>ROUND(L13*0.01,2)</f>
        <v>15631.82</v>
      </c>
      <c r="R13" s="9">
        <f t="shared" ref="R13" si="96">ROUND((L13*0.0075)*0.9,2)</f>
        <v>10551.48</v>
      </c>
      <c r="S13" s="9">
        <f t="shared" ref="S13" si="97">ROUND((L13*0.0075)*0.9,2)</f>
        <v>10551.48</v>
      </c>
      <c r="T13" s="9">
        <f>ROUND(L13*0.02,2)</f>
        <v>31263.64</v>
      </c>
      <c r="U13" s="9">
        <f t="shared" ref="U13" si="98">ROUND(M13*0,2)</f>
        <v>0</v>
      </c>
      <c r="V13" s="17">
        <f t="shared" ref="V13" si="99">E13/W13</f>
        <v>1618.602763419482</v>
      </c>
      <c r="W13" s="10">
        <v>1006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 t="shared" si="25"/>
        <v>44800</v>
      </c>
      <c r="B14" s="9">
        <v>18695111.280000001</v>
      </c>
      <c r="C14" s="9">
        <v>16725286.689999999</v>
      </c>
      <c r="D14" s="9">
        <v>273241</v>
      </c>
      <c r="E14" s="9">
        <f t="shared" ref="E14" si="100">B14-C14-D14</f>
        <v>1696583.5900000017</v>
      </c>
      <c r="F14" s="9">
        <f>ROUND(E14*0.04,2)</f>
        <v>67863.34</v>
      </c>
      <c r="G14" s="9">
        <f t="shared" ref="G14" si="101">ROUND(E14*0,2)</f>
        <v>0</v>
      </c>
      <c r="H14" s="22">
        <f t="shared" ref="H14" si="102">E14-F14-G14</f>
        <v>1628720.2500000016</v>
      </c>
      <c r="I14" s="9">
        <f t="shared" ref="I14" si="103">ROUND(H14*0,2)</f>
        <v>0</v>
      </c>
      <c r="J14" s="9">
        <f t="shared" ref="J14" si="104">ROUND((I14*0.58)+((I14*0.42)*0.1),2)</f>
        <v>0</v>
      </c>
      <c r="K14" s="9">
        <f t="shared" ref="K14" si="105">ROUND((I14*0.42)*0.9,2)</f>
        <v>0</v>
      </c>
      <c r="L14" s="22">
        <f t="shared" ref="L14" si="106">IF(J14+K14=I14,H14-I14,"ERROR")</f>
        <v>1628720.2500000016</v>
      </c>
      <c r="M14" s="9">
        <f t="shared" ref="M14" si="107">ROUND(L14*0.465,2)</f>
        <v>757354.92</v>
      </c>
      <c r="N14" s="9">
        <f>ROUND(L14*0.3,2)+0.01</f>
        <v>488616.09</v>
      </c>
      <c r="O14" s="9">
        <f>ROUND(L14*0.1285,2)-0.01</f>
        <v>209290.53999999998</v>
      </c>
      <c r="P14" s="9">
        <f t="shared" ref="P14" si="108">ROUND((L14*0.07)*0.9,2)</f>
        <v>102609.38</v>
      </c>
      <c r="Q14" s="9">
        <f>ROUND(L14*0.01,2)</f>
        <v>16287.2</v>
      </c>
      <c r="R14" s="9">
        <f t="shared" ref="R14" si="109">ROUND((L14*0.0075)*0.9,2)</f>
        <v>10993.86</v>
      </c>
      <c r="S14" s="9">
        <f t="shared" ref="S14" si="110">ROUND((L14*0.0075)*0.9,2)</f>
        <v>10993.86</v>
      </c>
      <c r="T14" s="9">
        <f>ROUND(L14*0.02,2)-0.01</f>
        <v>32574.400000000001</v>
      </c>
      <c r="U14" s="9">
        <f t="shared" ref="U14" si="111">ROUND(M14*0,2)</f>
        <v>0</v>
      </c>
      <c r="V14" s="17">
        <f t="shared" ref="V14" si="112">E14/W14</f>
        <v>1642.3848886737674</v>
      </c>
      <c r="W14" s="10">
        <v>1033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 t="shared" si="25"/>
        <v>44807</v>
      </c>
      <c r="B15" s="9">
        <v>17402757</v>
      </c>
      <c r="C15" s="9">
        <v>15600660.029999999</v>
      </c>
      <c r="D15" s="9">
        <v>295836</v>
      </c>
      <c r="E15" s="9">
        <f t="shared" ref="E15" si="113">B15-C15-D15</f>
        <v>1506260.9700000007</v>
      </c>
      <c r="F15" s="9">
        <f>ROUND(E15*0.04,2)</f>
        <v>60250.44</v>
      </c>
      <c r="G15" s="9">
        <f t="shared" ref="G15" si="114">ROUND(E15*0,2)</f>
        <v>0</v>
      </c>
      <c r="H15" s="22">
        <f t="shared" ref="H15" si="115">E15-F15-G15</f>
        <v>1446010.5300000007</v>
      </c>
      <c r="I15" s="9">
        <f t="shared" ref="I15" si="116">ROUND(H15*0,2)</f>
        <v>0</v>
      </c>
      <c r="J15" s="9">
        <f t="shared" ref="J15" si="117">ROUND((I15*0.58)+((I15*0.42)*0.1),2)</f>
        <v>0</v>
      </c>
      <c r="K15" s="9">
        <f t="shared" ref="K15" si="118">ROUND((I15*0.42)*0.9,2)</f>
        <v>0</v>
      </c>
      <c r="L15" s="22">
        <f t="shared" ref="L15" si="119">IF(J15+K15=I15,H15-I15,"ERROR")</f>
        <v>1446010.5300000007</v>
      </c>
      <c r="M15" s="9">
        <f t="shared" ref="M15" si="120">ROUND(L15*0.465,2)</f>
        <v>672394.9</v>
      </c>
      <c r="N15" s="9">
        <f>ROUND(L15*0.3,2)+0.02</f>
        <v>433803.18</v>
      </c>
      <c r="O15" s="9">
        <f>ROUND(L15*0.1285,2)</f>
        <v>185812.35</v>
      </c>
      <c r="P15" s="9">
        <f t="shared" ref="P15" si="121">ROUND((L15*0.07)*0.9,2)</f>
        <v>91098.66</v>
      </c>
      <c r="Q15" s="9">
        <f>ROUND(L15*0.01,2)-0.01</f>
        <v>14460.1</v>
      </c>
      <c r="R15" s="9">
        <f t="shared" ref="R15" si="122">ROUND((L15*0.0075)*0.9,2)</f>
        <v>9760.57</v>
      </c>
      <c r="S15" s="9">
        <f t="shared" ref="S15" si="123">ROUND((L15*0.0075)*0.9,2)</f>
        <v>9760.57</v>
      </c>
      <c r="T15" s="9">
        <f>ROUND(L15*0.02,2)-0.01</f>
        <v>28920.2</v>
      </c>
      <c r="U15" s="9">
        <f t="shared" ref="U15" si="124">ROUND(M15*0,2)</f>
        <v>0</v>
      </c>
      <c r="V15" s="17">
        <f t="shared" ref="V15" si="125">E15/W15</f>
        <v>1441.3980574162686</v>
      </c>
      <c r="W15" s="10">
        <v>1045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 t="shared" si="25"/>
        <v>44814</v>
      </c>
      <c r="B16" s="9">
        <v>20755151.640000001</v>
      </c>
      <c r="C16" s="9">
        <v>18597695.110000003</v>
      </c>
      <c r="D16" s="9">
        <v>354711</v>
      </c>
      <c r="E16" s="9">
        <f t="shared" ref="E16" si="126">B16-C16-D16</f>
        <v>1802745.5299999975</v>
      </c>
      <c r="F16" s="9">
        <f>ROUND(E16*0.04,2)</f>
        <v>72109.820000000007</v>
      </c>
      <c r="G16" s="9">
        <f t="shared" ref="G16" si="127">ROUND(E16*0,2)</f>
        <v>0</v>
      </c>
      <c r="H16" s="22">
        <f t="shared" ref="H16" si="128">E16-F16-G16</f>
        <v>1730635.7099999974</v>
      </c>
      <c r="I16" s="9">
        <f t="shared" ref="I16" si="129">ROUND(H16*0,2)</f>
        <v>0</v>
      </c>
      <c r="J16" s="9">
        <f t="shared" ref="J16" si="130">ROUND((I16*0.58)+((I16*0.42)*0.1),2)</f>
        <v>0</v>
      </c>
      <c r="K16" s="9">
        <f t="shared" ref="K16" si="131">ROUND((I16*0.42)*0.9,2)</f>
        <v>0</v>
      </c>
      <c r="L16" s="22">
        <f t="shared" ref="L16" si="132">IF(J16+K16=I16,H16-I16,"ERROR")</f>
        <v>1730635.7099999974</v>
      </c>
      <c r="M16" s="9">
        <f t="shared" ref="M16" si="133">ROUND(L16*0.465,2)</f>
        <v>804745.61</v>
      </c>
      <c r="N16" s="9">
        <f>ROUND(L16*0.3,2)-0.02</f>
        <v>519190.69</v>
      </c>
      <c r="O16" s="9">
        <f>ROUND(L16*0.1285,2)+0.01</f>
        <v>222386.7</v>
      </c>
      <c r="P16" s="9">
        <f t="shared" ref="P16" si="134">ROUND((L16*0.07)*0.9,2)</f>
        <v>109030.05</v>
      </c>
      <c r="Q16" s="9">
        <f>ROUND(L16*0.01,2)</f>
        <v>17306.36</v>
      </c>
      <c r="R16" s="9">
        <f t="shared" ref="R16" si="135">ROUND((L16*0.0075)*0.9,2)</f>
        <v>11681.79</v>
      </c>
      <c r="S16" s="9">
        <f t="shared" ref="S16" si="136">ROUND((L16*0.0075)*0.9,2)</f>
        <v>11681.79</v>
      </c>
      <c r="T16" s="9">
        <f>ROUND(L16*0.02,2)+0.01</f>
        <v>34612.720000000001</v>
      </c>
      <c r="U16" s="9">
        <f t="shared" ref="U16" si="137">ROUND(M16*0,2)</f>
        <v>0</v>
      </c>
      <c r="V16" s="17">
        <f t="shared" ref="V16" si="138">E16/W16</f>
        <v>1723.4660898661543</v>
      </c>
      <c r="W16" s="10">
        <v>1046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 t="shared" si="25"/>
        <v>44821</v>
      </c>
      <c r="B17" s="9">
        <v>17682253.149999999</v>
      </c>
      <c r="C17" s="9">
        <v>15826437.359999999</v>
      </c>
      <c r="D17" s="9">
        <v>313185</v>
      </c>
      <c r="E17" s="9">
        <f t="shared" ref="E17" si="139">B17-C17-D17</f>
        <v>1542630.7899999991</v>
      </c>
      <c r="F17" s="9">
        <f>ROUND(E17*0.04,2)</f>
        <v>61705.23</v>
      </c>
      <c r="G17" s="9">
        <f t="shared" ref="G17" si="140">ROUND(E17*0,2)</f>
        <v>0</v>
      </c>
      <c r="H17" s="22">
        <f t="shared" ref="H17" si="141">E17-F17-G17</f>
        <v>1480925.5599999991</v>
      </c>
      <c r="I17" s="9">
        <f t="shared" ref="I17" si="142">ROUND(H17*0,2)</f>
        <v>0</v>
      </c>
      <c r="J17" s="9">
        <f t="shared" ref="J17" si="143">ROUND((I17*0.58)+((I17*0.42)*0.1),2)</f>
        <v>0</v>
      </c>
      <c r="K17" s="9">
        <f t="shared" ref="K17" si="144">ROUND((I17*0.42)*0.9,2)</f>
        <v>0</v>
      </c>
      <c r="L17" s="22">
        <f t="shared" ref="L17" si="145">IF(J17+K17=I17,H17-I17,"ERROR")</f>
        <v>1480925.5599999991</v>
      </c>
      <c r="M17" s="9">
        <f t="shared" ref="M17" si="146">ROUND(L17*0.465,2)</f>
        <v>688630.39</v>
      </c>
      <c r="N17" s="9">
        <f>ROUND(L17*0.3,2)-0.03</f>
        <v>444277.63999999996</v>
      </c>
      <c r="O17" s="9">
        <f>ROUND(L17*0.1285,2)+0.01</f>
        <v>190298.94</v>
      </c>
      <c r="P17" s="9">
        <f t="shared" ref="P17" si="147">ROUND((L17*0.07)*0.9,2)</f>
        <v>93298.31</v>
      </c>
      <c r="Q17" s="9">
        <f>ROUND(L17*0.01,2)</f>
        <v>14809.26</v>
      </c>
      <c r="R17" s="9">
        <f t="shared" ref="R17" si="148">ROUND((L17*0.0075)*0.9,2)</f>
        <v>9996.25</v>
      </c>
      <c r="S17" s="9">
        <f t="shared" ref="S17" si="149">ROUND((L17*0.0075)*0.9,2)</f>
        <v>9996.25</v>
      </c>
      <c r="T17" s="9">
        <f>ROUND(L17*0.02,2)+0.01</f>
        <v>29618.519999999997</v>
      </c>
      <c r="U17" s="9">
        <f t="shared" ref="U17" si="150">ROUND(M17*0,2)</f>
        <v>0</v>
      </c>
      <c r="V17" s="17">
        <f t="shared" ref="V17" si="151">E17/W17</f>
        <v>1459.4425638599803</v>
      </c>
      <c r="W17" s="10">
        <v>1057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 t="shared" si="25"/>
        <v>44828</v>
      </c>
      <c r="B18" s="9">
        <v>17312241.59</v>
      </c>
      <c r="C18" s="9">
        <v>15529567.77</v>
      </c>
      <c r="D18" s="9">
        <v>308295</v>
      </c>
      <c r="E18" s="9">
        <f t="shared" ref="E18" si="152">B18-C18-D18</f>
        <v>1474378.8200000003</v>
      </c>
      <c r="F18" s="9">
        <f>ROUND(E18*0.04,2)-0.01</f>
        <v>58975.14</v>
      </c>
      <c r="G18" s="9">
        <f t="shared" ref="G18" si="153">ROUND(E18*0,2)</f>
        <v>0</v>
      </c>
      <c r="H18" s="22">
        <f t="shared" ref="H18" si="154">E18-F18-G18</f>
        <v>1415403.6800000004</v>
      </c>
      <c r="I18" s="9">
        <f t="shared" ref="I18" si="155">ROUND(H18*0,2)</f>
        <v>0</v>
      </c>
      <c r="J18" s="9">
        <f t="shared" ref="J18" si="156">ROUND((I18*0.58)+((I18*0.42)*0.1),2)</f>
        <v>0</v>
      </c>
      <c r="K18" s="9">
        <f t="shared" ref="K18" si="157">ROUND((I18*0.42)*0.9,2)</f>
        <v>0</v>
      </c>
      <c r="L18" s="22">
        <f t="shared" ref="L18" si="158">IF(J18+K18=I18,H18-I18,"ERROR")</f>
        <v>1415403.6800000004</v>
      </c>
      <c r="M18" s="9">
        <f t="shared" ref="M18" si="159">ROUND(L18*0.465,2)</f>
        <v>658162.71</v>
      </c>
      <c r="N18" s="9">
        <f>ROUND(L18*0.3,2)-0.02</f>
        <v>424621.07999999996</v>
      </c>
      <c r="O18" s="9">
        <f>ROUND(L18*0.1285,2)+0.03</f>
        <v>181879.4</v>
      </c>
      <c r="P18" s="9">
        <f t="shared" ref="P18" si="160">ROUND((L18*0.07)*0.9,2)</f>
        <v>89170.43</v>
      </c>
      <c r="Q18" s="9">
        <f>ROUND(L18*0.01,2)</f>
        <v>14154.04</v>
      </c>
      <c r="R18" s="9">
        <f t="shared" ref="R18" si="161">ROUND((L18*0.0075)*0.9,2)</f>
        <v>9553.9699999999993</v>
      </c>
      <c r="S18" s="9">
        <f t="shared" ref="S18" si="162">ROUND((L18*0.0075)*0.9,2)</f>
        <v>9553.9699999999993</v>
      </c>
      <c r="T18" s="9">
        <f>ROUND(L18*0.02,2)+0.01</f>
        <v>28308.079999999998</v>
      </c>
      <c r="U18" s="9">
        <f t="shared" ref="U18" si="163">ROUND(M18*0,2)</f>
        <v>0</v>
      </c>
      <c r="V18" s="17">
        <f t="shared" ref="V18" si="164">E18/W18</f>
        <v>1393.552759924386</v>
      </c>
      <c r="W18" s="10">
        <v>1058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 t="shared" si="25"/>
        <v>44835</v>
      </c>
      <c r="B19" s="9">
        <v>19369800.630000003</v>
      </c>
      <c r="C19" s="9">
        <v>17405212.279999997</v>
      </c>
      <c r="D19" s="9">
        <v>334808</v>
      </c>
      <c r="E19" s="9">
        <f t="shared" ref="E19" si="165">B19-C19-D19</f>
        <v>1629780.3500000052</v>
      </c>
      <c r="F19" s="9">
        <f>ROUND(E19*0.04,2)</f>
        <v>65191.21</v>
      </c>
      <c r="G19" s="9">
        <f t="shared" ref="G19" si="166">ROUND(E19*0,2)</f>
        <v>0</v>
      </c>
      <c r="H19" s="22">
        <f t="shared" ref="H19" si="167">E19-F19-G19</f>
        <v>1564589.1400000053</v>
      </c>
      <c r="I19" s="9">
        <f t="shared" ref="I19" si="168">ROUND(H19*0,2)</f>
        <v>0</v>
      </c>
      <c r="J19" s="9">
        <f t="shared" ref="J19" si="169">ROUND((I19*0.58)+((I19*0.42)*0.1),2)</f>
        <v>0</v>
      </c>
      <c r="K19" s="9">
        <f t="shared" ref="K19" si="170">ROUND((I19*0.42)*0.9,2)</f>
        <v>0</v>
      </c>
      <c r="L19" s="22">
        <f t="shared" ref="L19" si="171">IF(J19+K19=I19,H19-I19,"ERROR")</f>
        <v>1564589.1400000053</v>
      </c>
      <c r="M19" s="9">
        <f t="shared" ref="M19" si="172">ROUND(L19*0.465,2)</f>
        <v>727533.95</v>
      </c>
      <c r="N19" s="9">
        <f>ROUND(L19*0.3,2)-0.05</f>
        <v>469376.69</v>
      </c>
      <c r="O19" s="9">
        <f>ROUND(L19*0.1285,2)+0.02</f>
        <v>201049.72</v>
      </c>
      <c r="P19" s="9">
        <f t="shared" ref="P19" si="173">ROUND((L19*0.07)*0.9,2)</f>
        <v>98569.12</v>
      </c>
      <c r="Q19" s="9">
        <f>ROUND(L19*0.01,2)+0.01</f>
        <v>15645.9</v>
      </c>
      <c r="R19" s="9">
        <f t="shared" ref="R19" si="174">ROUND((L19*0.0075)*0.9,2)</f>
        <v>10560.98</v>
      </c>
      <c r="S19" s="9">
        <f t="shared" ref="S19" si="175">ROUND((L19*0.0075)*0.9,2)</f>
        <v>10560.98</v>
      </c>
      <c r="T19" s="9">
        <f>ROUND(L19*0.02,2)+0.02</f>
        <v>31291.8</v>
      </c>
      <c r="U19" s="9">
        <f t="shared" ref="U19" si="176">ROUND(M19*0,2)</f>
        <v>0</v>
      </c>
      <c r="V19" s="17">
        <f t="shared" ref="V19" si="177">E19/W19</f>
        <v>1537.5286320754767</v>
      </c>
      <c r="W19" s="10">
        <v>1060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 t="shared" si="25"/>
        <v>44842</v>
      </c>
      <c r="B20" s="9">
        <v>18575259.739999998</v>
      </c>
      <c r="C20" s="9">
        <v>16651204.900000002</v>
      </c>
      <c r="D20" s="9">
        <v>334517</v>
      </c>
      <c r="E20" s="9">
        <f t="shared" ref="E20" si="178">B20-C20-D20</f>
        <v>1589537.8399999961</v>
      </c>
      <c r="F20" s="9">
        <f>ROUND(E20*0.04,2)+0.01</f>
        <v>63581.520000000004</v>
      </c>
      <c r="G20" s="9">
        <f t="shared" ref="G20" si="179">ROUND(E20*0,2)</f>
        <v>0</v>
      </c>
      <c r="H20" s="22">
        <f t="shared" ref="H20" si="180">E20-F20-G20</f>
        <v>1525956.3199999961</v>
      </c>
      <c r="I20" s="9">
        <f t="shared" ref="I20" si="181">ROUND(H20*0,2)</f>
        <v>0</v>
      </c>
      <c r="J20" s="9">
        <f t="shared" ref="J20" si="182">ROUND((I20*0.58)+((I20*0.42)*0.1),2)</f>
        <v>0</v>
      </c>
      <c r="K20" s="9">
        <f t="shared" ref="K20" si="183">ROUND((I20*0.42)*0.9,2)</f>
        <v>0</v>
      </c>
      <c r="L20" s="22">
        <f t="shared" ref="L20" si="184">IF(J20+K20=I20,H20-I20,"ERROR")</f>
        <v>1525956.3199999961</v>
      </c>
      <c r="M20" s="9">
        <f t="shared" ref="M20" si="185">ROUND(L20*0.465,2)</f>
        <v>709569.69</v>
      </c>
      <c r="N20" s="9">
        <f>ROUND(L20*0.3,2)+0.02</f>
        <v>457786.92000000004</v>
      </c>
      <c r="O20" s="9">
        <f>ROUND(L20*0.1285,2)-0.03</f>
        <v>196085.36000000002</v>
      </c>
      <c r="P20" s="9">
        <f t="shared" ref="P20" si="186">ROUND((L20*0.07)*0.9,2)</f>
        <v>96135.25</v>
      </c>
      <c r="Q20" s="9">
        <f>ROUND(L20*0.01,2)</f>
        <v>15259.56</v>
      </c>
      <c r="R20" s="9">
        <f t="shared" ref="R20" si="187">ROUND((L20*0.0075)*0.9,2)</f>
        <v>10300.209999999999</v>
      </c>
      <c r="S20" s="9">
        <f t="shared" ref="S20" si="188">ROUND((L20*0.0075)*0.9,2)</f>
        <v>10300.209999999999</v>
      </c>
      <c r="T20" s="9">
        <f>ROUND(L20*0.02,2)-0.01</f>
        <v>30519.120000000003</v>
      </c>
      <c r="U20" s="9">
        <f t="shared" ref="U20" si="189">ROUND(M20*0,2)</f>
        <v>0</v>
      </c>
      <c r="V20" s="17">
        <f t="shared" ref="V20" si="190">E20/W20</f>
        <v>1498.1506503298738</v>
      </c>
      <c r="W20" s="10">
        <v>1061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 t="shared" si="25"/>
        <v>44849</v>
      </c>
      <c r="B21" s="9">
        <v>18213854.880000003</v>
      </c>
      <c r="C21" s="9">
        <v>16245454.050000001</v>
      </c>
      <c r="D21" s="9">
        <v>334152</v>
      </c>
      <c r="E21" s="9">
        <f t="shared" ref="E21" si="191">B21-C21-D21</f>
        <v>1634248.8300000019</v>
      </c>
      <c r="F21" s="9">
        <f>ROUND(E21*0.04,2)+0.01</f>
        <v>65369.96</v>
      </c>
      <c r="G21" s="9">
        <f t="shared" ref="G21" si="192">ROUND(E21*0,2)</f>
        <v>0</v>
      </c>
      <c r="H21" s="22">
        <f t="shared" ref="H21" si="193">E21-F21-G21</f>
        <v>1568878.870000002</v>
      </c>
      <c r="I21" s="9">
        <f t="shared" ref="I21" si="194">ROUND(H21*0,2)</f>
        <v>0</v>
      </c>
      <c r="J21" s="9">
        <f t="shared" ref="J21" si="195">ROUND((I21*0.58)+((I21*0.42)*0.1),2)</f>
        <v>0</v>
      </c>
      <c r="K21" s="9">
        <f t="shared" ref="K21" si="196">ROUND((I21*0.42)*0.9,2)</f>
        <v>0</v>
      </c>
      <c r="L21" s="22">
        <f t="shared" ref="L21" si="197">IF(J21+K21=I21,H21-I21,"ERROR")</f>
        <v>1568878.870000002</v>
      </c>
      <c r="M21" s="9">
        <f t="shared" ref="M21" si="198">ROUND(L21*0.465,2)</f>
        <v>729528.67</v>
      </c>
      <c r="N21" s="9">
        <f>ROUND(L21*0.3,2)+0.06</f>
        <v>470663.72</v>
      </c>
      <c r="O21" s="9">
        <f>ROUND(L21*0.1285,2)-0.02</f>
        <v>201600.91</v>
      </c>
      <c r="P21" s="9">
        <f t="shared" ref="P21" si="199">ROUND((L21*0.07)*0.9,2)</f>
        <v>98839.37</v>
      </c>
      <c r="Q21" s="9">
        <f>ROUND(L21*0.01,2)-0.01</f>
        <v>15688.78</v>
      </c>
      <c r="R21" s="9">
        <f t="shared" ref="R21" si="200">ROUND((L21*0.0075)*0.9,2)</f>
        <v>10589.93</v>
      </c>
      <c r="S21" s="9">
        <f t="shared" ref="S21" si="201">ROUND((L21*0.0075)*0.9,2)</f>
        <v>10589.93</v>
      </c>
      <c r="T21" s="9">
        <f>ROUND(L21*0.02,2)-0.02</f>
        <v>31377.56</v>
      </c>
      <c r="U21" s="9">
        <f t="shared" ref="U21" si="202">ROUND(M21*0,2)</f>
        <v>0</v>
      </c>
      <c r="V21" s="17">
        <f t="shared" ref="V21" si="203">E21/W21</f>
        <v>1527.3353551401888</v>
      </c>
      <c r="W21" s="10">
        <v>1070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 t="shared" si="25"/>
        <v>44856</v>
      </c>
      <c r="B22" s="9">
        <v>18455922.080000002</v>
      </c>
      <c r="C22" s="9">
        <v>16650275.129999999</v>
      </c>
      <c r="D22" s="9">
        <v>334905</v>
      </c>
      <c r="E22" s="9">
        <f t="shared" ref="E22" si="204">B22-C22-D22</f>
        <v>1470741.950000003</v>
      </c>
      <c r="F22" s="9">
        <f t="shared" ref="F22:F27" si="205">ROUND(E22*0.04,2)</f>
        <v>58829.68</v>
      </c>
      <c r="G22" s="9">
        <f t="shared" ref="G22" si="206">ROUND(E22*0,2)</f>
        <v>0</v>
      </c>
      <c r="H22" s="22">
        <f t="shared" ref="H22" si="207">E22-F22-G22</f>
        <v>1411912.270000003</v>
      </c>
      <c r="I22" s="9">
        <f t="shared" ref="I22" si="208">ROUND(H22*0,2)</f>
        <v>0</v>
      </c>
      <c r="J22" s="9">
        <f t="shared" ref="J22" si="209">ROUND((I22*0.58)+((I22*0.42)*0.1),2)</f>
        <v>0</v>
      </c>
      <c r="K22" s="9">
        <f t="shared" ref="K22" si="210">ROUND((I22*0.42)*0.9,2)</f>
        <v>0</v>
      </c>
      <c r="L22" s="22">
        <f t="shared" ref="L22" si="211">IF(J22+K22=I22,H22-I22,"ERROR")</f>
        <v>1411912.270000003</v>
      </c>
      <c r="M22" s="9">
        <f t="shared" ref="M22" si="212">ROUND(L22*0.465,2)</f>
        <v>656539.21</v>
      </c>
      <c r="N22" s="9">
        <f>ROUND(L22*0.3,2)+0.01</f>
        <v>423573.69</v>
      </c>
      <c r="O22" s="9">
        <f>ROUND(L22*0.1285,2)-0.01</f>
        <v>181430.72</v>
      </c>
      <c r="P22" s="9">
        <f t="shared" ref="P22" si="213">ROUND((L22*0.07)*0.9,2)</f>
        <v>88950.47</v>
      </c>
      <c r="Q22" s="9">
        <f>ROUND(L22*0.01,2)</f>
        <v>14119.12</v>
      </c>
      <c r="R22" s="9">
        <f t="shared" ref="R22" si="214">ROUND((L22*0.0075)*0.9,2)</f>
        <v>9530.41</v>
      </c>
      <c r="S22" s="9">
        <f t="shared" ref="S22" si="215">ROUND((L22*0.0075)*0.9,2)</f>
        <v>9530.41</v>
      </c>
      <c r="T22" s="9">
        <f>ROUND(L22*0.02,2)-0.01</f>
        <v>28238.240000000002</v>
      </c>
      <c r="U22" s="9">
        <f t="shared" ref="U22" si="216">ROUND(M22*0,2)</f>
        <v>0</v>
      </c>
      <c r="V22" s="17">
        <f t="shared" ref="V22" si="217">E22/W22</f>
        <v>1379.6828799249558</v>
      </c>
      <c r="W22" s="10">
        <v>1066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 t="shared" si="25"/>
        <v>44863</v>
      </c>
      <c r="B23" s="9">
        <v>19150450.120000001</v>
      </c>
      <c r="C23" s="9">
        <v>17240304.57</v>
      </c>
      <c r="D23" s="9">
        <v>380402</v>
      </c>
      <c r="E23" s="9">
        <f t="shared" ref="E23" si="218">B23-C23-D23</f>
        <v>1529743.5500000007</v>
      </c>
      <c r="F23" s="9">
        <f t="shared" si="205"/>
        <v>61189.74</v>
      </c>
      <c r="G23" s="9">
        <f t="shared" ref="G23" si="219">ROUND(E23*0,2)</f>
        <v>0</v>
      </c>
      <c r="H23" s="22">
        <f t="shared" ref="H23" si="220">E23-F23-G23</f>
        <v>1468553.8100000008</v>
      </c>
      <c r="I23" s="9">
        <f t="shared" ref="I23" si="221">ROUND(H23*0,2)</f>
        <v>0</v>
      </c>
      <c r="J23" s="9">
        <f t="shared" ref="J23" si="222">ROUND((I23*0.58)+((I23*0.42)*0.1),2)</f>
        <v>0</v>
      </c>
      <c r="K23" s="9">
        <f t="shared" ref="K23" si="223">ROUND((I23*0.42)*0.9,2)</f>
        <v>0</v>
      </c>
      <c r="L23" s="22">
        <f t="shared" ref="L23" si="224">IF(J23+K23=I23,H23-I23,"ERROR")</f>
        <v>1468553.8100000008</v>
      </c>
      <c r="M23" s="9">
        <f t="shared" ref="M23" si="225">ROUND(L23*0.465,2)</f>
        <v>682877.52</v>
      </c>
      <c r="N23" s="9">
        <f>ROUND(L23*0.3,2)-0.01</f>
        <v>440566.13</v>
      </c>
      <c r="O23" s="9">
        <f>ROUND(L23*0.1285,2)+0.03</f>
        <v>188709.19</v>
      </c>
      <c r="P23" s="9">
        <f t="shared" ref="P23" si="226">ROUND((L23*0.07)*0.9,2)</f>
        <v>92518.89</v>
      </c>
      <c r="Q23" s="9">
        <f>ROUND(L23*0.01,2)</f>
        <v>14685.54</v>
      </c>
      <c r="R23" s="9">
        <f>ROUND((L23*0.0075)*0.9,2)-0.01</f>
        <v>9912.73</v>
      </c>
      <c r="S23" s="9">
        <f>ROUND((L23*0.0075)*0.9,2)-0.01</f>
        <v>9912.73</v>
      </c>
      <c r="T23" s="9">
        <f>ROUND(L23*0.02,2)</f>
        <v>29371.08</v>
      </c>
      <c r="U23" s="9">
        <f t="shared" ref="U23" si="227">ROUND(M23*0,2)</f>
        <v>0</v>
      </c>
      <c r="V23" s="17">
        <f t="shared" ref="V23" si="228">E23/W23</f>
        <v>1447.2502838221387</v>
      </c>
      <c r="W23" s="10">
        <v>1057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 t="shared" si="25"/>
        <v>44870</v>
      </c>
      <c r="B24" s="9">
        <v>19927565.640000001</v>
      </c>
      <c r="C24" s="9">
        <v>17998252.879999999</v>
      </c>
      <c r="D24" s="9">
        <v>391973</v>
      </c>
      <c r="E24" s="9">
        <f t="shared" ref="E24" si="229">B24-C24-D24</f>
        <v>1537339.7600000016</v>
      </c>
      <c r="F24" s="9">
        <f t="shared" si="205"/>
        <v>61493.59</v>
      </c>
      <c r="G24" s="9">
        <f t="shared" ref="G24" si="230">ROUND(E24*0,2)</f>
        <v>0</v>
      </c>
      <c r="H24" s="22">
        <f t="shared" ref="H24" si="231">E24-F24-G24</f>
        <v>1475846.1700000016</v>
      </c>
      <c r="I24" s="9">
        <f t="shared" ref="I24" si="232">ROUND(H24*0,2)</f>
        <v>0</v>
      </c>
      <c r="J24" s="9">
        <f t="shared" ref="J24" si="233">ROUND((I24*0.58)+((I24*0.42)*0.1),2)</f>
        <v>0</v>
      </c>
      <c r="K24" s="9">
        <f t="shared" ref="K24" si="234">ROUND((I24*0.42)*0.9,2)</f>
        <v>0</v>
      </c>
      <c r="L24" s="22">
        <f t="shared" ref="L24" si="235">IF(J24+K24=I24,H24-I24,"ERROR")</f>
        <v>1475846.1700000016</v>
      </c>
      <c r="M24" s="9">
        <f t="shared" ref="M24" si="236">ROUND(L24*0.465,2)</f>
        <v>686268.47</v>
      </c>
      <c r="N24" s="9">
        <f>ROUND(L24*0.3,2)+0.02</f>
        <v>442753.87</v>
      </c>
      <c r="O24" s="9">
        <f>ROUND(L24*0.1285,2)-0.03</f>
        <v>189646.2</v>
      </c>
      <c r="P24" s="9">
        <f t="shared" ref="P24" si="237">ROUND((L24*0.07)*0.9,2)</f>
        <v>92978.31</v>
      </c>
      <c r="Q24" s="9">
        <f>ROUND(L24*0.01,2)</f>
        <v>14758.46</v>
      </c>
      <c r="R24" s="9">
        <f>ROUND((L24*0.0075)*0.9,2)+0.01</f>
        <v>9961.9699999999993</v>
      </c>
      <c r="S24" s="9">
        <f>ROUND((L24*0.0075)*0.9,2)+0.01</f>
        <v>9961.9699999999993</v>
      </c>
      <c r="T24" s="9">
        <f>ROUND(L24*0.02,2)</f>
        <v>29516.92</v>
      </c>
      <c r="U24" s="9">
        <f t="shared" ref="U24" si="238">ROUND(M24*0,2)</f>
        <v>0</v>
      </c>
      <c r="V24" s="17">
        <f t="shared" ref="V24" si="239">E24/W24</f>
        <v>1443.5115117370908</v>
      </c>
      <c r="W24" s="10">
        <v>1065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 t="shared" si="25"/>
        <v>44877</v>
      </c>
      <c r="B25" s="9">
        <v>19935566.989999998</v>
      </c>
      <c r="C25" s="9">
        <v>17911359.939999998</v>
      </c>
      <c r="D25" s="9">
        <v>392679</v>
      </c>
      <c r="E25" s="9">
        <f t="shared" ref="E25" si="240">B25-C25-D25</f>
        <v>1631528.0500000007</v>
      </c>
      <c r="F25" s="9">
        <f t="shared" si="205"/>
        <v>65261.120000000003</v>
      </c>
      <c r="G25" s="9">
        <f t="shared" ref="G25" si="241">ROUND(E25*0,2)</f>
        <v>0</v>
      </c>
      <c r="H25" s="22">
        <f t="shared" ref="H25" si="242">E25-F25-G25</f>
        <v>1566266.9300000006</v>
      </c>
      <c r="I25" s="9">
        <f t="shared" ref="I25" si="243">ROUND(H25*0,2)</f>
        <v>0</v>
      </c>
      <c r="J25" s="9">
        <f t="shared" ref="J25" si="244">ROUND((I25*0.58)+((I25*0.42)*0.1),2)</f>
        <v>0</v>
      </c>
      <c r="K25" s="9">
        <f t="shared" ref="K25" si="245">ROUND((I25*0.42)*0.9,2)</f>
        <v>0</v>
      </c>
      <c r="L25" s="22">
        <f t="shared" ref="L25" si="246">IF(J25+K25=I25,H25-I25,"ERROR")</f>
        <v>1566266.9300000006</v>
      </c>
      <c r="M25" s="9">
        <f t="shared" ref="M25" si="247">ROUND(L25*0.465,2)</f>
        <v>728314.12</v>
      </c>
      <c r="N25" s="9">
        <f>ROUND(L25*0.3,2)+0.04</f>
        <v>469880.12</v>
      </c>
      <c r="O25" s="9">
        <f>ROUND(L25*0.1285,2)-0.01</f>
        <v>201265.28999999998</v>
      </c>
      <c r="P25" s="9">
        <f t="shared" ref="P25" si="248">ROUND((L25*0.07)*0.9,2)</f>
        <v>98674.82</v>
      </c>
      <c r="Q25" s="9">
        <f>ROUND(L25*0.01,2)-0.01</f>
        <v>15662.66</v>
      </c>
      <c r="R25" s="9">
        <f t="shared" ref="R25:R30" si="249">ROUND((L25*0.0075)*0.9,2)</f>
        <v>10572.3</v>
      </c>
      <c r="S25" s="9">
        <f t="shared" ref="S25:S30" si="250">ROUND((L25*0.0075)*0.9,2)</f>
        <v>10572.3</v>
      </c>
      <c r="T25" s="9">
        <f>ROUND(L25*0.02,2)-0.02</f>
        <v>31325.32</v>
      </c>
      <c r="U25" s="9">
        <f t="shared" ref="U25" si="251">ROUND(M25*0,2)</f>
        <v>0</v>
      </c>
      <c r="V25" s="17">
        <f t="shared" ref="V25" si="252">E25/W25</f>
        <v>1534.8335371589847</v>
      </c>
      <c r="W25" s="10">
        <v>1063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 t="shared" si="25"/>
        <v>44884</v>
      </c>
      <c r="B26" s="9">
        <v>16720933.950000001</v>
      </c>
      <c r="C26" s="9">
        <v>15067864.629999999</v>
      </c>
      <c r="D26" s="9">
        <v>323722</v>
      </c>
      <c r="E26" s="9">
        <f t="shared" ref="E26" si="253">B26-C26-D26</f>
        <v>1329347.3200000022</v>
      </c>
      <c r="F26" s="9">
        <f t="shared" si="205"/>
        <v>53173.89</v>
      </c>
      <c r="G26" s="9">
        <f t="shared" ref="G26" si="254">ROUND(E26*0,2)</f>
        <v>0</v>
      </c>
      <c r="H26" s="22">
        <f t="shared" ref="H26" si="255">E26-F26-G26</f>
        <v>1276173.4300000023</v>
      </c>
      <c r="I26" s="9">
        <f t="shared" ref="I26" si="256">ROUND(H26*0,2)</f>
        <v>0</v>
      </c>
      <c r="J26" s="9">
        <f t="shared" ref="J26" si="257">ROUND((I26*0.58)+((I26*0.42)*0.1),2)</f>
        <v>0</v>
      </c>
      <c r="K26" s="9">
        <f t="shared" ref="K26" si="258">ROUND((I26*0.42)*0.9,2)</f>
        <v>0</v>
      </c>
      <c r="L26" s="22">
        <f t="shared" ref="L26" si="259">IF(J26+K26=I26,H26-I26,"ERROR")</f>
        <v>1276173.4300000023</v>
      </c>
      <c r="M26" s="9">
        <f t="shared" ref="M26" si="260">ROUND(L26*0.465,2)</f>
        <v>593420.64</v>
      </c>
      <c r="N26" s="9">
        <f>ROUND(L26*0.3,2)-0.02</f>
        <v>382852.01</v>
      </c>
      <c r="O26" s="9">
        <f>ROUND(L26*0.1285,2)</f>
        <v>163988.29</v>
      </c>
      <c r="P26" s="9">
        <f t="shared" ref="P26" si="261">ROUND((L26*0.07)*0.9,2)</f>
        <v>80398.929999999993</v>
      </c>
      <c r="Q26" s="9">
        <f>ROUND(L26*0.01,2)+0.01</f>
        <v>12761.74</v>
      </c>
      <c r="R26" s="9">
        <f t="shared" si="249"/>
        <v>8614.17</v>
      </c>
      <c r="S26" s="9">
        <f t="shared" si="250"/>
        <v>8614.17</v>
      </c>
      <c r="T26" s="9">
        <f>ROUND(L26*0.02,2)+0.01</f>
        <v>25523.48</v>
      </c>
      <c r="U26" s="9">
        <f t="shared" ref="U26" si="262">ROUND(M26*0,2)</f>
        <v>0</v>
      </c>
      <c r="V26" s="17">
        <f t="shared" ref="V26" si="263">E26/W26</f>
        <v>1270.8865391969427</v>
      </c>
      <c r="W26" s="10">
        <v>1046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 t="shared" si="25"/>
        <v>44891</v>
      </c>
      <c r="B27" s="9">
        <v>19461469.050000001</v>
      </c>
      <c r="C27" s="9">
        <v>17374113.619999997</v>
      </c>
      <c r="D27" s="9">
        <v>362006</v>
      </c>
      <c r="E27" s="9">
        <f t="shared" ref="E27" si="264">B27-C27-D27</f>
        <v>1725349.4300000034</v>
      </c>
      <c r="F27" s="9">
        <f t="shared" si="205"/>
        <v>69013.98</v>
      </c>
      <c r="G27" s="9">
        <f t="shared" ref="G27" si="265">ROUND(E27*0,2)</f>
        <v>0</v>
      </c>
      <c r="H27" s="22">
        <f t="shared" ref="H27" si="266">E27-F27-G27</f>
        <v>1656335.4500000034</v>
      </c>
      <c r="I27" s="9">
        <f t="shared" ref="I27" si="267">ROUND(H27*0,2)</f>
        <v>0</v>
      </c>
      <c r="J27" s="9">
        <f t="shared" ref="J27" si="268">ROUND((I27*0.58)+((I27*0.42)*0.1),2)</f>
        <v>0</v>
      </c>
      <c r="K27" s="9">
        <f t="shared" ref="K27" si="269">ROUND((I27*0.42)*0.9,2)</f>
        <v>0</v>
      </c>
      <c r="L27" s="22">
        <f t="shared" ref="L27" si="270">IF(J27+K27=I27,H27-I27,"ERROR")</f>
        <v>1656335.4500000034</v>
      </c>
      <c r="M27" s="9">
        <f t="shared" ref="M27" si="271">ROUND(L27*0.465,2)</f>
        <v>770195.98</v>
      </c>
      <c r="N27" s="9">
        <f>ROUND(L27*0.3,2)-0.04</f>
        <v>496900.60000000003</v>
      </c>
      <c r="O27" s="9">
        <f>ROUND(L27*0.1285,2)+0.03</f>
        <v>212839.13999999998</v>
      </c>
      <c r="P27" s="9">
        <f t="shared" ref="P27" si="272">ROUND((L27*0.07)*0.9,2)</f>
        <v>104349.13</v>
      </c>
      <c r="Q27" s="9">
        <f>ROUND(L27*0.01,2)+0.01</f>
        <v>16563.359999999997</v>
      </c>
      <c r="R27" s="9">
        <f t="shared" si="249"/>
        <v>11180.26</v>
      </c>
      <c r="S27" s="9">
        <f t="shared" si="250"/>
        <v>11180.26</v>
      </c>
      <c r="T27" s="9">
        <f>ROUND(L27*0.02,2)+0.01</f>
        <v>33126.720000000001</v>
      </c>
      <c r="U27" s="9">
        <f t="shared" ref="U27" si="273">ROUND(M27*0,2)</f>
        <v>0</v>
      </c>
      <c r="V27" s="17">
        <f t="shared" ref="V27" si="274">E27/W27</f>
        <v>1632.3078807947052</v>
      </c>
      <c r="W27" s="10">
        <v>1057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 t="shared" si="25"/>
        <v>44898</v>
      </c>
      <c r="B28" s="9">
        <v>19077017.760000002</v>
      </c>
      <c r="C28" s="9">
        <v>17278731.920000002</v>
      </c>
      <c r="D28" s="9">
        <v>353790</v>
      </c>
      <c r="E28" s="9">
        <f t="shared" ref="E28" si="275">B28-C28-D28</f>
        <v>1444495.8399999999</v>
      </c>
      <c r="F28" s="9">
        <f>ROUND(E28*0.04,2)+0.02</f>
        <v>57779.85</v>
      </c>
      <c r="G28" s="9">
        <f t="shared" ref="G28" si="276">ROUND(E28*0,2)</f>
        <v>0</v>
      </c>
      <c r="H28" s="22">
        <f t="shared" ref="H28" si="277">E28-F28-G28</f>
        <v>1386715.9899999998</v>
      </c>
      <c r="I28" s="9">
        <f t="shared" ref="I28" si="278">ROUND(H28*0,2)</f>
        <v>0</v>
      </c>
      <c r="J28" s="9">
        <f t="shared" ref="J28" si="279">ROUND((I28*0.58)+((I28*0.42)*0.1),2)</f>
        <v>0</v>
      </c>
      <c r="K28" s="9">
        <f t="shared" ref="K28" si="280">ROUND((I28*0.42)*0.9,2)</f>
        <v>0</v>
      </c>
      <c r="L28" s="22">
        <f t="shared" ref="L28" si="281">IF(J28+K28=I28,H28-I28,"ERROR")</f>
        <v>1386715.9899999998</v>
      </c>
      <c r="M28" s="9">
        <f t="shared" ref="M28" si="282">ROUND(L28*0.465,2)</f>
        <v>644822.93999999994</v>
      </c>
      <c r="N28" s="9">
        <f>ROUND(L28*0.3,2)</f>
        <v>416014.8</v>
      </c>
      <c r="O28" s="9">
        <f>ROUND(L28*0.1285,2)</f>
        <v>178193</v>
      </c>
      <c r="P28" s="9">
        <f t="shared" ref="P28" si="283">ROUND((L28*0.07)*0.9,2)</f>
        <v>87363.11</v>
      </c>
      <c r="Q28" s="9">
        <f>ROUND(L28*0.01,2)</f>
        <v>13867.16</v>
      </c>
      <c r="R28" s="9">
        <f t="shared" si="249"/>
        <v>9360.33</v>
      </c>
      <c r="S28" s="9">
        <f t="shared" si="250"/>
        <v>9360.33</v>
      </c>
      <c r="T28" s="9">
        <f>ROUND(L28*0.02,2)</f>
        <v>27734.32</v>
      </c>
      <c r="U28" s="9">
        <f t="shared" ref="U28" si="284">ROUND(M28*0,2)</f>
        <v>0</v>
      </c>
      <c r="V28" s="17">
        <f t="shared" ref="V28" si="285">E28/W28</f>
        <v>1423.1486108374384</v>
      </c>
      <c r="W28" s="10">
        <v>1015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 t="shared" si="25"/>
        <v>44905</v>
      </c>
      <c r="B29" s="9">
        <v>18237938.449999999</v>
      </c>
      <c r="C29" s="9">
        <v>16426461.359999999</v>
      </c>
      <c r="D29" s="9">
        <v>345433</v>
      </c>
      <c r="E29" s="9">
        <f t="shared" ref="E29" si="286">B29-C29-D29</f>
        <v>1466044.0899999999</v>
      </c>
      <c r="F29" s="9">
        <f>ROUND(E29*0.04,2)</f>
        <v>58641.760000000002</v>
      </c>
      <c r="G29" s="9">
        <f t="shared" ref="G29" si="287">ROUND(E29*0,2)</f>
        <v>0</v>
      </c>
      <c r="H29" s="22">
        <f t="shared" ref="H29" si="288">E29-F29-G29</f>
        <v>1407402.3299999998</v>
      </c>
      <c r="I29" s="9">
        <f t="shared" ref="I29" si="289">ROUND(H29*0,2)</f>
        <v>0</v>
      </c>
      <c r="J29" s="9">
        <f t="shared" ref="J29" si="290">ROUND((I29*0.58)+((I29*0.42)*0.1),2)</f>
        <v>0</v>
      </c>
      <c r="K29" s="9">
        <f t="shared" ref="K29" si="291">ROUND((I29*0.42)*0.9,2)</f>
        <v>0</v>
      </c>
      <c r="L29" s="22">
        <f t="shared" ref="L29" si="292">IF(J29+K29=I29,H29-I29,"ERROR")</f>
        <v>1407402.3299999998</v>
      </c>
      <c r="M29" s="9">
        <f t="shared" ref="M29" si="293">ROUND(L29*0.465,2)</f>
        <v>654442.07999999996</v>
      </c>
      <c r="N29" s="9">
        <f>ROUND(L29*0.3,2)+0.02</f>
        <v>422220.72000000003</v>
      </c>
      <c r="O29" s="9">
        <f>ROUND(L29*0.1285,2)-0.02</f>
        <v>180851.18000000002</v>
      </c>
      <c r="P29" s="9">
        <f t="shared" ref="P29" si="294">ROUND((L29*0.07)*0.9,2)</f>
        <v>88666.35</v>
      </c>
      <c r="Q29" s="9">
        <f>ROUND(L29*0.01,2)</f>
        <v>14074.02</v>
      </c>
      <c r="R29" s="9">
        <f t="shared" si="249"/>
        <v>9499.9699999999993</v>
      </c>
      <c r="S29" s="9">
        <f t="shared" si="250"/>
        <v>9499.9699999999993</v>
      </c>
      <c r="T29" s="9">
        <f>ROUND(L29*0.02,2)-0.01</f>
        <v>28148.04</v>
      </c>
      <c r="U29" s="9">
        <f t="shared" ref="U29" si="295">ROUND(M29*0,2)</f>
        <v>0</v>
      </c>
      <c r="V29" s="17">
        <f t="shared" ref="V29" si="296">E29/W29</f>
        <v>1393.5780323193915</v>
      </c>
      <c r="W29" s="10">
        <v>1052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 t="shared" si="25"/>
        <v>44912</v>
      </c>
      <c r="B30" s="9">
        <v>16638765.340000002</v>
      </c>
      <c r="C30" s="9">
        <v>14867858.609999999</v>
      </c>
      <c r="D30" s="9">
        <v>305866</v>
      </c>
      <c r="E30" s="9">
        <f t="shared" ref="E30" si="297">B30-C30-D30</f>
        <v>1465040.7300000023</v>
      </c>
      <c r="F30" s="9">
        <f>ROUND(E30*0.04,2)+0.01</f>
        <v>58601.64</v>
      </c>
      <c r="G30" s="9">
        <f t="shared" ref="G30" si="298">ROUND(E30*0,2)</f>
        <v>0</v>
      </c>
      <c r="H30" s="22">
        <f t="shared" ref="H30" si="299">E30-F30-G30</f>
        <v>1406439.0900000024</v>
      </c>
      <c r="I30" s="9">
        <f t="shared" ref="I30" si="300">ROUND(H30*0,2)</f>
        <v>0</v>
      </c>
      <c r="J30" s="9">
        <f t="shared" ref="J30" si="301">ROUND((I30*0.58)+((I30*0.42)*0.1),2)</f>
        <v>0</v>
      </c>
      <c r="K30" s="9">
        <f t="shared" ref="K30" si="302">ROUND((I30*0.42)*0.9,2)</f>
        <v>0</v>
      </c>
      <c r="L30" s="22">
        <f t="shared" ref="L30" si="303">IF(J30+K30=I30,H30-I30,"ERROR")</f>
        <v>1406439.0900000024</v>
      </c>
      <c r="M30" s="9">
        <f t="shared" ref="M30" si="304">ROUND(L30*0.465,2)</f>
        <v>653994.18000000005</v>
      </c>
      <c r="N30" s="9">
        <f>ROUND(L30*0.3,2)-0.06</f>
        <v>421931.67</v>
      </c>
      <c r="O30" s="9">
        <f>ROUND(L30*0.1285,2)+0.04</f>
        <v>180727.46000000002</v>
      </c>
      <c r="P30" s="9">
        <f t="shared" ref="P30" si="305">ROUND((L30*0.07)*0.9,2)</f>
        <v>88605.66</v>
      </c>
      <c r="Q30" s="9">
        <f>ROUND(L30*0.01,2)+0.01</f>
        <v>14064.4</v>
      </c>
      <c r="R30" s="9">
        <f t="shared" si="249"/>
        <v>9493.4599999999991</v>
      </c>
      <c r="S30" s="9">
        <f t="shared" si="250"/>
        <v>9493.4599999999991</v>
      </c>
      <c r="T30" s="9">
        <f>ROUND(L30*0.02,2)+0.02</f>
        <v>28128.799999999999</v>
      </c>
      <c r="U30" s="9">
        <f t="shared" ref="U30" si="306">ROUND(M30*0,2)</f>
        <v>0</v>
      </c>
      <c r="V30" s="17">
        <f t="shared" ref="V30" si="307">E30/W30</f>
        <v>1392.6242680608386</v>
      </c>
      <c r="W30" s="10">
        <v>1052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 t="shared" si="25"/>
        <v>44919</v>
      </c>
      <c r="B31" s="9">
        <v>11642196.75</v>
      </c>
      <c r="C31" s="9">
        <v>10439425.899999999</v>
      </c>
      <c r="D31" s="9">
        <v>227900</v>
      </c>
      <c r="E31" s="9">
        <f t="shared" ref="E31" si="308">B31-C31-D31</f>
        <v>974870.85000000149</v>
      </c>
      <c r="F31" s="9">
        <f>ROUND(E31*0.04,2)</f>
        <v>38994.83</v>
      </c>
      <c r="G31" s="9">
        <f t="shared" ref="G31" si="309">ROUND(E31*0,2)</f>
        <v>0</v>
      </c>
      <c r="H31" s="22">
        <f t="shared" ref="H31" si="310">E31-F31-G31</f>
        <v>935876.02000000153</v>
      </c>
      <c r="I31" s="9">
        <f t="shared" ref="I31" si="311">ROUND(H31*0,2)</f>
        <v>0</v>
      </c>
      <c r="J31" s="9">
        <f t="shared" ref="J31" si="312">ROUND((I31*0.58)+((I31*0.42)*0.1),2)</f>
        <v>0</v>
      </c>
      <c r="K31" s="9">
        <f t="shared" ref="K31" si="313">ROUND((I31*0.42)*0.9,2)</f>
        <v>0</v>
      </c>
      <c r="L31" s="22">
        <f t="shared" ref="L31" si="314">IF(J31+K31=I31,H31-I31,"ERROR")</f>
        <v>935876.02000000153</v>
      </c>
      <c r="M31" s="9">
        <f t="shared" ref="M31" si="315">ROUND(L31*0.465,2)</f>
        <v>435182.35</v>
      </c>
      <c r="N31" s="9">
        <f>ROUND(L31*0.3,2)-0.01</f>
        <v>280762.8</v>
      </c>
      <c r="O31" s="9">
        <f>ROUND(L31*0.1285,2)+0.01</f>
        <v>120260.08</v>
      </c>
      <c r="P31" s="9">
        <f t="shared" ref="P31" si="316">ROUND((L31*0.07)*0.9,2)</f>
        <v>58960.19</v>
      </c>
      <c r="Q31" s="9">
        <f>ROUND(L31*0.01,2)</f>
        <v>9358.76</v>
      </c>
      <c r="R31" s="9">
        <f t="shared" ref="R31" si="317">ROUND((L31*0.0075)*0.9,2)</f>
        <v>6317.16</v>
      </c>
      <c r="S31" s="9">
        <f t="shared" ref="S31" si="318">ROUND((L31*0.0075)*0.9,2)</f>
        <v>6317.16</v>
      </c>
      <c r="T31" s="9">
        <f>ROUND(L31*0.02,2)</f>
        <v>18717.52</v>
      </c>
      <c r="U31" s="9">
        <f t="shared" ref="U31" si="319">ROUND(M31*0,2)</f>
        <v>0</v>
      </c>
      <c r="V31" s="17">
        <f t="shared" ref="V31" si="320">E31/W31</f>
        <v>936.47536023054897</v>
      </c>
      <c r="W31" s="10">
        <v>1041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 t="shared" si="25"/>
        <v>44926</v>
      </c>
      <c r="B32" s="9">
        <v>26381832.450000003</v>
      </c>
      <c r="C32" s="9">
        <v>23677502.410000004</v>
      </c>
      <c r="D32" s="9">
        <v>392652</v>
      </c>
      <c r="E32" s="9">
        <f t="shared" ref="E32" si="321">B32-C32-D32</f>
        <v>2311678.0399999991</v>
      </c>
      <c r="F32" s="9">
        <f>ROUND(E32*0.04,2)+0.01</f>
        <v>92467.12999999999</v>
      </c>
      <c r="G32" s="9">
        <f t="shared" ref="G32" si="322">ROUND(E32*0,2)</f>
        <v>0</v>
      </c>
      <c r="H32" s="22">
        <f t="shared" ref="H32" si="323">E32-F32-G32</f>
        <v>2219210.9099999992</v>
      </c>
      <c r="I32" s="9">
        <f t="shared" ref="I32" si="324">ROUND(H32*0,2)</f>
        <v>0</v>
      </c>
      <c r="J32" s="9">
        <f t="shared" ref="J32" si="325">ROUND((I32*0.58)+((I32*0.42)*0.1),2)</f>
        <v>0</v>
      </c>
      <c r="K32" s="9">
        <f t="shared" ref="K32" si="326">ROUND((I32*0.42)*0.9,2)</f>
        <v>0</v>
      </c>
      <c r="L32" s="22">
        <f t="shared" ref="L32" si="327">IF(J32+K32=I32,H32-I32,"ERROR")</f>
        <v>2219210.9099999992</v>
      </c>
      <c r="M32" s="9">
        <f t="shared" ref="M32" si="328">ROUND(L32*0.465,2)</f>
        <v>1031933.07</v>
      </c>
      <c r="N32" s="9">
        <f>ROUND(L32*0.3,2)+0.06</f>
        <v>665763.33000000007</v>
      </c>
      <c r="O32" s="9">
        <f>ROUND(L32*0.1285,2)-0.02</f>
        <v>285168.57999999996</v>
      </c>
      <c r="P32" s="9">
        <f t="shared" ref="P32" si="329">ROUND((L32*0.07)*0.9,2)</f>
        <v>139810.29</v>
      </c>
      <c r="Q32" s="9">
        <f>ROUND(L32*0.01,2)-0.01</f>
        <v>22192.100000000002</v>
      </c>
      <c r="R32" s="9">
        <f t="shared" ref="R32" si="330">ROUND((L32*0.0075)*0.9,2)</f>
        <v>14979.67</v>
      </c>
      <c r="S32" s="9">
        <f t="shared" ref="S32" si="331">ROUND((L32*0.0075)*0.9,2)</f>
        <v>14979.67</v>
      </c>
      <c r="T32" s="9">
        <v>28007.119999999999</v>
      </c>
      <c r="U32" s="9">
        <v>16377.08</v>
      </c>
      <c r="V32" s="17">
        <f t="shared" ref="V32" si="332">E32/W32</f>
        <v>2152.4004096834256</v>
      </c>
      <c r="W32" s="10">
        <v>1074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 t="shared" si="25"/>
        <v>44933</v>
      </c>
      <c r="B33" s="9">
        <v>20067765.759999998</v>
      </c>
      <c r="C33" s="9">
        <v>17963820.460000001</v>
      </c>
      <c r="D33" s="9">
        <v>330878</v>
      </c>
      <c r="E33" s="9">
        <f t="shared" ref="E33" si="333">B33-C33-D33</f>
        <v>1773067.299999997</v>
      </c>
      <c r="F33" s="9">
        <f>ROUND(E33*0.04,2)</f>
        <v>70922.69</v>
      </c>
      <c r="G33" s="9">
        <f t="shared" ref="G33" si="334">ROUND(E33*0,2)</f>
        <v>0</v>
      </c>
      <c r="H33" s="22">
        <f t="shared" ref="H33" si="335">E33-F33-G33</f>
        <v>1702144.6099999971</v>
      </c>
      <c r="I33" s="9">
        <f t="shared" ref="I33" si="336">ROUND(H33*0,2)</f>
        <v>0</v>
      </c>
      <c r="J33" s="9">
        <f t="shared" ref="J33" si="337">ROUND((I33*0.58)+((I33*0.42)*0.1),2)</f>
        <v>0</v>
      </c>
      <c r="K33" s="9">
        <f t="shared" ref="K33" si="338">ROUND((I33*0.42)*0.9,2)</f>
        <v>0</v>
      </c>
      <c r="L33" s="22">
        <f t="shared" ref="L33" si="339">IF(J33+K33=I33,H33-I33,"ERROR")</f>
        <v>1702144.6099999971</v>
      </c>
      <c r="M33" s="9">
        <f t="shared" ref="M33" si="340">ROUND(L33*0.465,2)</f>
        <v>791497.24</v>
      </c>
      <c r="N33" s="9">
        <f>ROUND(L33*0.3,2)+0.06</f>
        <v>510643.44</v>
      </c>
      <c r="O33" s="9">
        <f>ROUND(L33*0.1285,2)-0.04</f>
        <v>218725.53999999998</v>
      </c>
      <c r="P33" s="9">
        <f t="shared" ref="P33" si="341">ROUND((L33*0.07)*0.9,2)</f>
        <v>107235.11</v>
      </c>
      <c r="Q33" s="9">
        <f>ROUND(L33*0.01,2)-0.01</f>
        <v>17021.440000000002</v>
      </c>
      <c r="R33" s="9">
        <f t="shared" ref="R33" si="342">ROUND((L33*0.0075)*0.9,2)</f>
        <v>11489.48</v>
      </c>
      <c r="S33" s="9">
        <f t="shared" ref="S33" si="343">ROUND((L33*0.0075)*0.9,2)</f>
        <v>11489.48</v>
      </c>
      <c r="T33" s="9">
        <f>ROUND(L33*0.02,2)/2-0.005</f>
        <v>17021.439999999999</v>
      </c>
      <c r="U33" s="9">
        <f>ROUND(L33*0.02,2)/2-0.005</f>
        <v>17021.439999999999</v>
      </c>
      <c r="V33" s="17">
        <f t="shared" ref="V33" si="344">E33/W33</f>
        <v>1660.1753745318324</v>
      </c>
      <c r="W33" s="10">
        <v>1068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 t="shared" si="25"/>
        <v>44940</v>
      </c>
      <c r="B34" s="9">
        <v>19056736.859999999</v>
      </c>
      <c r="C34" s="9">
        <v>17090736.16</v>
      </c>
      <c r="D34" s="9">
        <v>333527</v>
      </c>
      <c r="E34" s="9">
        <f t="shared" ref="E34" si="345">B34-C34-D34</f>
        <v>1632473.6999999993</v>
      </c>
      <c r="F34" s="9">
        <f>ROUND(E34*0.04,2)</f>
        <v>65298.95</v>
      </c>
      <c r="G34" s="9">
        <f t="shared" ref="G34" si="346">ROUND(E34*0,2)</f>
        <v>0</v>
      </c>
      <c r="H34" s="22">
        <f t="shared" ref="H34" si="347">E34-F34-G34</f>
        <v>1567174.7499999993</v>
      </c>
      <c r="I34" s="9">
        <f t="shared" ref="I34" si="348">ROUND(H34*0,2)</f>
        <v>0</v>
      </c>
      <c r="J34" s="9">
        <f t="shared" ref="J34" si="349">ROUND((I34*0.58)+((I34*0.42)*0.1),2)</f>
        <v>0</v>
      </c>
      <c r="K34" s="9">
        <f t="shared" ref="K34" si="350">ROUND((I34*0.42)*0.9,2)</f>
        <v>0</v>
      </c>
      <c r="L34" s="22">
        <f t="shared" ref="L34" si="351">IF(J34+K34=I34,H34-I34,"ERROR")</f>
        <v>1567174.7499999993</v>
      </c>
      <c r="M34" s="9">
        <f t="shared" ref="M34" si="352">ROUND(L34*0.465,2)</f>
        <v>728736.26</v>
      </c>
      <c r="N34" s="9">
        <f>ROUND(L34*0.3,2)+0.04</f>
        <v>470152.47</v>
      </c>
      <c r="O34" s="9">
        <f>ROUND(L34*0.1285,2)-0.03</f>
        <v>201381.93</v>
      </c>
      <c r="P34" s="9">
        <f t="shared" ref="P34" si="353">ROUND((L34*0.07)*0.9,2)</f>
        <v>98732.01</v>
      </c>
      <c r="Q34" s="9">
        <f>ROUND(L34*0.01,2)-0.01</f>
        <v>15671.74</v>
      </c>
      <c r="R34" s="9">
        <f t="shared" ref="R34" si="354">ROUND((L34*0.0075)*0.9,2)</f>
        <v>10578.43</v>
      </c>
      <c r="S34" s="9">
        <f t="shared" ref="S34" si="355">ROUND((L34*0.0075)*0.9,2)</f>
        <v>10578.43</v>
      </c>
      <c r="T34" s="9">
        <f>ROUND(L34*0.02,2)/2-0.01</f>
        <v>15671.74</v>
      </c>
      <c r="U34" s="9">
        <f>ROUND(L34*0.02,2)/2-0.01</f>
        <v>15671.74</v>
      </c>
      <c r="V34" s="17">
        <f t="shared" ref="V34" si="356">E34/W34</f>
        <v>1575.746814671814</v>
      </c>
      <c r="W34" s="10">
        <v>1036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 t="shared" si="25"/>
        <v>44947</v>
      </c>
      <c r="B35" s="9">
        <v>20892269.280000001</v>
      </c>
      <c r="C35" s="9">
        <v>18873297.969999999</v>
      </c>
      <c r="D35" s="9">
        <v>367540</v>
      </c>
      <c r="E35" s="9">
        <f t="shared" ref="E35" si="357">B35-C35-D35</f>
        <v>1651431.3100000024</v>
      </c>
      <c r="F35" s="9">
        <f>ROUND(E35*0.04,2)-0.01</f>
        <v>66057.240000000005</v>
      </c>
      <c r="G35" s="9">
        <f t="shared" ref="G35" si="358">ROUND(E35*0,2)</f>
        <v>0</v>
      </c>
      <c r="H35" s="22">
        <f t="shared" ref="H35" si="359">E35-F35-G35</f>
        <v>1585374.0700000024</v>
      </c>
      <c r="I35" s="9">
        <f t="shared" ref="I35" si="360">ROUND(H35*0,2)</f>
        <v>0</v>
      </c>
      <c r="J35" s="9">
        <f t="shared" ref="J35" si="361">ROUND((I35*0.58)+((I35*0.42)*0.1),2)</f>
        <v>0</v>
      </c>
      <c r="K35" s="9">
        <f t="shared" ref="K35" si="362">ROUND((I35*0.42)*0.9,2)</f>
        <v>0</v>
      </c>
      <c r="L35" s="22">
        <f t="shared" ref="L35" si="363">IF(J35+K35=I35,H35-I35,"ERROR")</f>
        <v>1585374.0700000024</v>
      </c>
      <c r="M35" s="9">
        <f t="shared" ref="M35" si="364">ROUND(L35*0.465,2)</f>
        <v>737198.94</v>
      </c>
      <c r="N35" s="9">
        <f>ROUND(L35*0.3,2)+0.01</f>
        <v>475612.23</v>
      </c>
      <c r="O35" s="9">
        <f>ROUND(L35*0.1285,2)</f>
        <v>203720.57</v>
      </c>
      <c r="P35" s="9">
        <f t="shared" ref="P35" si="365">ROUND((L35*0.07)*0.9,2)</f>
        <v>99878.57</v>
      </c>
      <c r="Q35" s="9">
        <f>ROUND(L35*0.01,2)</f>
        <v>15853.74</v>
      </c>
      <c r="R35" s="9">
        <f t="shared" ref="R35" si="366">ROUND((L35*0.0075)*0.9,2)</f>
        <v>10701.27</v>
      </c>
      <c r="S35" s="9">
        <f t="shared" ref="S35" si="367">ROUND((L35*0.0075)*0.9,2)</f>
        <v>10701.27</v>
      </c>
      <c r="T35" s="9">
        <f>ROUND(L35*0.02,2)/2</f>
        <v>15853.74</v>
      </c>
      <c r="U35" s="9">
        <f>ROUND(L35*0.02,2)/2</f>
        <v>15853.74</v>
      </c>
      <c r="V35" s="17">
        <f t="shared" ref="V35" si="368">E35/W35</f>
        <v>1550.6397276995328</v>
      </c>
      <c r="W35" s="10">
        <v>1065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 t="shared" si="25"/>
        <v>44954</v>
      </c>
      <c r="B36" s="9">
        <v>17149284.110000003</v>
      </c>
      <c r="C36" s="9">
        <v>15229185.710000001</v>
      </c>
      <c r="D36" s="9">
        <v>328741</v>
      </c>
      <c r="E36" s="9">
        <f t="shared" ref="E36" si="369">B36-C36-D36</f>
        <v>1591357.4000000022</v>
      </c>
      <c r="F36" s="9">
        <f>ROUND(E36*0.04,2)</f>
        <v>63654.3</v>
      </c>
      <c r="G36" s="9">
        <f t="shared" ref="G36" si="370">ROUND(E36*0,2)</f>
        <v>0</v>
      </c>
      <c r="H36" s="22">
        <f t="shared" ref="H36" si="371">E36-F36-G36</f>
        <v>1527703.1000000022</v>
      </c>
      <c r="I36" s="9">
        <f t="shared" ref="I36" si="372">ROUND(H36*0,2)</f>
        <v>0</v>
      </c>
      <c r="J36" s="9">
        <f t="shared" ref="J36" si="373">ROUND((I36*0.58)+((I36*0.42)*0.1),2)</f>
        <v>0</v>
      </c>
      <c r="K36" s="9">
        <f t="shared" ref="K36" si="374">ROUND((I36*0.42)*0.9,2)</f>
        <v>0</v>
      </c>
      <c r="L36" s="22">
        <f t="shared" ref="L36" si="375">IF(J36+K36=I36,H36-I36,"ERROR")</f>
        <v>1527703.1000000022</v>
      </c>
      <c r="M36" s="9">
        <f t="shared" ref="M36" si="376">ROUND(L36*0.465,2)</f>
        <v>710381.94</v>
      </c>
      <c r="N36" s="9">
        <f>ROUND(L36*0.3,2)-0.05</f>
        <v>458310.88</v>
      </c>
      <c r="O36" s="9">
        <f>ROUND(L36*0.1285,2)+0.01</f>
        <v>196309.86000000002</v>
      </c>
      <c r="P36" s="9">
        <f t="shared" ref="P36" si="377">ROUND((L36*0.07)*0.9,2)</f>
        <v>96245.3</v>
      </c>
      <c r="Q36" s="9">
        <f>ROUND(L36*0.01,2)+0.01</f>
        <v>15277.04</v>
      </c>
      <c r="R36" s="9">
        <f t="shared" ref="R36" si="378">ROUND((L36*0.0075)*0.9,2)</f>
        <v>10312</v>
      </c>
      <c r="S36" s="9">
        <f t="shared" ref="S36" si="379">ROUND((L36*0.0075)*0.9,2)</f>
        <v>10312</v>
      </c>
      <c r="T36" s="9">
        <f>ROUND(L36*0.02,2)/2+0.01</f>
        <v>15277.04</v>
      </c>
      <c r="U36" s="9">
        <f>ROUND(L36*0.02,2)/2+0.01</f>
        <v>15277.04</v>
      </c>
      <c r="V36" s="17">
        <f t="shared" ref="V36" si="380">E36/W36</f>
        <v>1610.6856275303667</v>
      </c>
      <c r="W36" s="10">
        <v>988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 t="shared" si="25"/>
        <v>44961</v>
      </c>
      <c r="B37" s="9">
        <v>16980415.140000001</v>
      </c>
      <c r="C37" s="9">
        <v>15113722.76</v>
      </c>
      <c r="D37" s="9">
        <v>326405</v>
      </c>
      <c r="E37" s="9">
        <f t="shared" ref="E37" si="381">B37-C37-D37</f>
        <v>1540287.3800000008</v>
      </c>
      <c r="F37" s="9">
        <f>ROUND(E37*0.04,2)</f>
        <v>61611.5</v>
      </c>
      <c r="G37" s="9">
        <f t="shared" ref="G37" si="382">ROUND(E37*0,2)</f>
        <v>0</v>
      </c>
      <c r="H37" s="22">
        <f t="shared" ref="H37" si="383">E37-F37-G37</f>
        <v>1478675.8800000008</v>
      </c>
      <c r="I37" s="9">
        <f t="shared" ref="I37" si="384">ROUND(H37*0,2)</f>
        <v>0</v>
      </c>
      <c r="J37" s="9">
        <f t="shared" ref="J37" si="385">ROUND((I37*0.58)+((I37*0.42)*0.1),2)</f>
        <v>0</v>
      </c>
      <c r="K37" s="9">
        <f t="shared" ref="K37" si="386">ROUND((I37*0.42)*0.9,2)</f>
        <v>0</v>
      </c>
      <c r="L37" s="22">
        <f t="shared" ref="L37" si="387">IF(J37+K37=I37,H37-I37,"ERROR")</f>
        <v>1478675.8800000008</v>
      </c>
      <c r="M37" s="9">
        <f t="shared" ref="M37" si="388">ROUND(L37*0.465,2)</f>
        <v>687584.28</v>
      </c>
      <c r="N37" s="9">
        <f>ROUND(L37*0.3,2)+0.01</f>
        <v>443602.77</v>
      </c>
      <c r="O37" s="9">
        <f>ROUND(L37*0.1285,2)</f>
        <v>190009.85</v>
      </c>
      <c r="P37" s="9">
        <f t="shared" ref="P37" si="389">ROUND((L37*0.07)*0.9,2)</f>
        <v>93156.58</v>
      </c>
      <c r="Q37" s="9">
        <f>ROUND(L37*0.01,2)</f>
        <v>14786.76</v>
      </c>
      <c r="R37" s="9">
        <f t="shared" ref="R37" si="390">ROUND((L37*0.0075)*0.9,2)</f>
        <v>9981.06</v>
      </c>
      <c r="S37" s="9">
        <f t="shared" ref="S37" si="391">ROUND((L37*0.0075)*0.9,2)</f>
        <v>9981.06</v>
      </c>
      <c r="T37" s="9">
        <f>ROUND(L37*0.02,2)/2</f>
        <v>14786.76</v>
      </c>
      <c r="U37" s="9">
        <f>ROUND(L37*0.02,2)/2</f>
        <v>14786.76</v>
      </c>
      <c r="V37" s="17">
        <f t="shared" ref="V37" si="392">E37/W37</f>
        <v>1568.5207535641557</v>
      </c>
      <c r="W37" s="10">
        <v>982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 t="shared" si="25"/>
        <v>44968</v>
      </c>
      <c r="B38" s="9">
        <v>21310769.759999998</v>
      </c>
      <c r="C38" s="9">
        <v>19292491.02</v>
      </c>
      <c r="D38" s="9">
        <v>380388</v>
      </c>
      <c r="E38" s="9">
        <f t="shared" ref="E38" si="393">B38-C38-D38</f>
        <v>1637890.7399999984</v>
      </c>
      <c r="F38" s="9">
        <f>ROUND(E38*0.04,2)+0.01</f>
        <v>65515.64</v>
      </c>
      <c r="G38" s="9">
        <f t="shared" ref="G38" si="394">ROUND(E38*0,2)</f>
        <v>0</v>
      </c>
      <c r="H38" s="22">
        <f t="shared" ref="H38" si="395">E38-F38-G38</f>
        <v>1572375.0999999985</v>
      </c>
      <c r="I38" s="9">
        <f t="shared" ref="I38" si="396">ROUND(H38*0,2)</f>
        <v>0</v>
      </c>
      <c r="J38" s="9">
        <f t="shared" ref="J38" si="397">ROUND((I38*0.58)+((I38*0.42)*0.1),2)</f>
        <v>0</v>
      </c>
      <c r="K38" s="9">
        <f t="shared" ref="K38" si="398">ROUND((I38*0.42)*0.9,2)</f>
        <v>0</v>
      </c>
      <c r="L38" s="22">
        <f t="shared" ref="L38" si="399">IF(J38+K38=I38,H38-I38,"ERROR")</f>
        <v>1572375.0999999985</v>
      </c>
      <c r="M38" s="9">
        <f t="shared" ref="M38" si="400">ROUND(L38*0.465,2)</f>
        <v>731154.42</v>
      </c>
      <c r="N38" s="9">
        <f>ROUND(L38*0.3,2)-0.05</f>
        <v>471712.48000000004</v>
      </c>
      <c r="O38" s="9">
        <f>ROUND(L38*0.1285,2)+0.03</f>
        <v>202050.23</v>
      </c>
      <c r="P38" s="9">
        <f t="shared" ref="P38" si="401">ROUND((L38*0.07)*0.9,2)</f>
        <v>99059.63</v>
      </c>
      <c r="Q38" s="9">
        <f>ROUND(L38*0.01,2)+0.01</f>
        <v>15723.76</v>
      </c>
      <c r="R38" s="9">
        <f t="shared" ref="R38" si="402">ROUND((L38*0.0075)*0.9,2)</f>
        <v>10613.53</v>
      </c>
      <c r="S38" s="9">
        <f t="shared" ref="S38" si="403">ROUND((L38*0.0075)*0.9,2)</f>
        <v>10613.53</v>
      </c>
      <c r="T38" s="9">
        <f>ROUND(L38*0.02,2)/2+0.01</f>
        <v>15723.76</v>
      </c>
      <c r="U38" s="9">
        <f>ROUND(L38*0.02,2)/2+0.01</f>
        <v>15723.76</v>
      </c>
      <c r="V38" s="17">
        <f t="shared" ref="V38" si="404">E38/W38</f>
        <v>1596.3847368421036</v>
      </c>
      <c r="W38" s="10">
        <v>1026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 t="shared" si="25"/>
        <v>44975</v>
      </c>
      <c r="B39" s="9">
        <v>22758873.100000001</v>
      </c>
      <c r="C39" s="9">
        <v>20445872.18</v>
      </c>
      <c r="D39" s="9">
        <v>374169</v>
      </c>
      <c r="E39" s="9">
        <f t="shared" ref="E39" si="405">B39-C39-D39</f>
        <v>1938831.9200000018</v>
      </c>
      <c r="F39" s="9">
        <f>ROUND(E39*0.04,2)</f>
        <v>77553.279999999999</v>
      </c>
      <c r="G39" s="9">
        <f t="shared" ref="G39" si="406">ROUND(E39*0,2)</f>
        <v>0</v>
      </c>
      <c r="H39" s="22">
        <f t="shared" ref="H39" si="407">E39-F39-G39</f>
        <v>1861278.6400000018</v>
      </c>
      <c r="I39" s="9">
        <f t="shared" ref="I39" si="408">ROUND(H39*0,2)</f>
        <v>0</v>
      </c>
      <c r="J39" s="9">
        <f t="shared" ref="J39" si="409">ROUND((I39*0.58)+((I39*0.42)*0.1),2)</f>
        <v>0</v>
      </c>
      <c r="K39" s="9">
        <f t="shared" ref="K39" si="410">ROUND((I39*0.42)*0.9,2)</f>
        <v>0</v>
      </c>
      <c r="L39" s="22">
        <f t="shared" ref="L39" si="411">IF(J39+K39=I39,H39-I39,"ERROR")</f>
        <v>1861278.6400000018</v>
      </c>
      <c r="M39" s="9">
        <f t="shared" ref="M39" si="412">ROUND(L39*0.465,2)</f>
        <v>865494.57</v>
      </c>
      <c r="N39" s="9">
        <f>ROUND(L39*0.3,2)+0.05</f>
        <v>558383.64</v>
      </c>
      <c r="O39" s="9">
        <f>ROUND(L39*0.1285,2)-0.03</f>
        <v>239174.28</v>
      </c>
      <c r="P39" s="9">
        <f t="shared" ref="P39" si="413">ROUND((L39*0.07)*0.9,2)</f>
        <v>117260.55</v>
      </c>
      <c r="Q39" s="9">
        <f>ROUND(L39*0.01,2)-0.01</f>
        <v>18612.780000000002</v>
      </c>
      <c r="R39" s="9">
        <f t="shared" ref="R39" si="414">ROUND((L39*0.0075)*0.9,2)</f>
        <v>12563.63</v>
      </c>
      <c r="S39" s="9">
        <f t="shared" ref="S39" si="415">ROUND((L39*0.0075)*0.9,2)</f>
        <v>12563.63</v>
      </c>
      <c r="T39" s="9">
        <f>ROUND(L39*0.02,2)/2-0.005</f>
        <v>18612.78</v>
      </c>
      <c r="U39" s="9">
        <f>ROUND(L39*0.02,2)/2-0.005</f>
        <v>18612.78</v>
      </c>
      <c r="V39" s="17">
        <f t="shared" ref="V39" si="416">E39/W39</f>
        <v>1875.079226305611</v>
      </c>
      <c r="W39" s="10">
        <v>1034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 t="shared" si="25"/>
        <v>44982</v>
      </c>
      <c r="B40" s="9">
        <v>24193353.510000002</v>
      </c>
      <c r="C40" s="9">
        <v>21595758.080000002</v>
      </c>
      <c r="D40" s="9">
        <v>434438</v>
      </c>
      <c r="E40" s="9">
        <f t="shared" ref="E40" si="417">B40-C40-D40</f>
        <v>2163157.4299999997</v>
      </c>
      <c r="F40" s="9">
        <f>ROUND(E40*0.04,2)+0.01</f>
        <v>86526.31</v>
      </c>
      <c r="G40" s="9">
        <f t="shared" ref="G40" si="418">ROUND(E40*0,2)</f>
        <v>0</v>
      </c>
      <c r="H40" s="22">
        <f t="shared" ref="H40" si="419">E40-F40-G40</f>
        <v>2076631.1199999996</v>
      </c>
      <c r="I40" s="9">
        <f t="shared" ref="I40" si="420">ROUND(H40*0,2)</f>
        <v>0</v>
      </c>
      <c r="J40" s="9">
        <f t="shared" ref="J40" si="421">ROUND((I40*0.58)+((I40*0.42)*0.1),2)</f>
        <v>0</v>
      </c>
      <c r="K40" s="9">
        <f t="shared" ref="K40" si="422">ROUND((I40*0.42)*0.9,2)</f>
        <v>0</v>
      </c>
      <c r="L40" s="22">
        <f t="shared" ref="L40" si="423">IF(J40+K40=I40,H40-I40,"ERROR")</f>
        <v>2076631.1199999996</v>
      </c>
      <c r="M40" s="9">
        <f t="shared" ref="M40" si="424">ROUND(L40*0.465,2)</f>
        <v>965633.47</v>
      </c>
      <c r="N40" s="9">
        <f>ROUND(L40*0.3,2)-0.05</f>
        <v>622989.28999999992</v>
      </c>
      <c r="O40" s="9">
        <f>ROUND(L40*0.1285,2)+0.02</f>
        <v>266847.12</v>
      </c>
      <c r="P40" s="9">
        <f t="shared" ref="P40" si="425">ROUND((L40*0.07)*0.9,2)</f>
        <v>130827.76</v>
      </c>
      <c r="Q40" s="9">
        <f>ROUND(L40*0.01,2)+0.01</f>
        <v>20766.32</v>
      </c>
      <c r="R40" s="9">
        <f t="shared" ref="R40" si="426">ROUND((L40*0.0075)*0.9,2)</f>
        <v>14017.26</v>
      </c>
      <c r="S40" s="9">
        <f t="shared" ref="S40" si="427">ROUND((L40*0.0075)*0.9,2)</f>
        <v>14017.26</v>
      </c>
      <c r="T40" s="9">
        <f>ROUND(L40*0.02,2)/2+0.01</f>
        <v>20766.32</v>
      </c>
      <c r="U40" s="9">
        <f>ROUND(L40*0.02,2)/2+0.01</f>
        <v>20766.32</v>
      </c>
      <c r="V40" s="17">
        <f t="shared" ref="V40" si="428">E40/W40</f>
        <v>2085.9763066538089</v>
      </c>
      <c r="W40" s="10">
        <v>1037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 t="shared" si="25"/>
        <v>44989</v>
      </c>
      <c r="B41" s="9">
        <v>22006665.020000003</v>
      </c>
      <c r="C41" s="9">
        <v>19873578.18</v>
      </c>
      <c r="D41" s="9">
        <v>372632</v>
      </c>
      <c r="E41" s="9">
        <f t="shared" ref="E41" si="429">B41-C41-D41</f>
        <v>1760454.8400000036</v>
      </c>
      <c r="F41" s="9">
        <f>ROUND(E41*0.04,2)</f>
        <v>70418.19</v>
      </c>
      <c r="G41" s="9">
        <f t="shared" ref="G41" si="430">ROUND(E41*0,2)</f>
        <v>0</v>
      </c>
      <c r="H41" s="22">
        <f t="shared" ref="H41" si="431">E41-F41-G41</f>
        <v>1690036.6500000036</v>
      </c>
      <c r="I41" s="9">
        <f t="shared" ref="I41" si="432">ROUND(H41*0,2)</f>
        <v>0</v>
      </c>
      <c r="J41" s="9">
        <f t="shared" ref="J41" si="433">ROUND((I41*0.58)+((I41*0.42)*0.1),2)</f>
        <v>0</v>
      </c>
      <c r="K41" s="9">
        <f t="shared" ref="K41" si="434">ROUND((I41*0.42)*0.9,2)</f>
        <v>0</v>
      </c>
      <c r="L41" s="22">
        <f t="shared" ref="L41" si="435">IF(J41+K41=I41,H41-I41,"ERROR")</f>
        <v>1690036.6500000036</v>
      </c>
      <c r="M41" s="9">
        <f t="shared" ref="M41" si="436">ROUND(L41*0.465,2)</f>
        <v>785867.04</v>
      </c>
      <c r="N41" s="9">
        <f>ROUND(L41*0.3,2)+0.04</f>
        <v>507011.04</v>
      </c>
      <c r="O41" s="9">
        <f>ROUND(L41*0.1285,2)-0.03</f>
        <v>217169.68</v>
      </c>
      <c r="P41" s="9">
        <f t="shared" ref="P41" si="437">ROUND((L41*0.07)*0.9,2)</f>
        <v>106472.31</v>
      </c>
      <c r="Q41" s="9">
        <f>ROUND(L41*0.01,2)-0.01</f>
        <v>16900.36</v>
      </c>
      <c r="R41" s="9">
        <f t="shared" ref="R41" si="438">ROUND((L41*0.0075)*0.9,2)</f>
        <v>11407.75</v>
      </c>
      <c r="S41" s="9">
        <f t="shared" ref="S41" si="439">ROUND((L41*0.0075)*0.9,2)</f>
        <v>11407.75</v>
      </c>
      <c r="T41" s="9">
        <f>ROUND(L41*0.02,2)/2-0.005</f>
        <v>16900.36</v>
      </c>
      <c r="U41" s="9">
        <f>ROUND(L41*0.02,2)/2-0.005</f>
        <v>16900.36</v>
      </c>
      <c r="V41" s="17">
        <f t="shared" ref="V41" si="440">E41/W41</f>
        <v>1702.5675435203129</v>
      </c>
      <c r="W41" s="10">
        <v>1034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 t="shared" si="25"/>
        <v>44996</v>
      </c>
      <c r="B42" s="9">
        <v>21027617.98</v>
      </c>
      <c r="C42" s="9">
        <v>18746761.48</v>
      </c>
      <c r="D42" s="24">
        <v>368462</v>
      </c>
      <c r="E42" s="9">
        <f t="shared" ref="E42" si="441">B42-C42-D42</f>
        <v>1912394.5</v>
      </c>
      <c r="F42" s="9">
        <f>ROUND(E42*0.04,2)</f>
        <v>76495.78</v>
      </c>
      <c r="G42" s="9">
        <f t="shared" ref="G42" si="442">ROUND(E42*0,2)</f>
        <v>0</v>
      </c>
      <c r="H42" s="22">
        <f t="shared" ref="H42" si="443">E42-F42-G42</f>
        <v>1835898.72</v>
      </c>
      <c r="I42" s="9">
        <f t="shared" ref="I42" si="444">ROUND(H42*0,2)</f>
        <v>0</v>
      </c>
      <c r="J42" s="9">
        <f t="shared" ref="J42" si="445">ROUND((I42*0.58)+((I42*0.42)*0.1),2)</f>
        <v>0</v>
      </c>
      <c r="K42" s="9">
        <f t="shared" ref="K42" si="446">ROUND((I42*0.42)*0.9,2)</f>
        <v>0</v>
      </c>
      <c r="L42" s="22">
        <f t="shared" ref="L42" si="447">IF(J42+K42=I42,H42-I42,"ERROR")</f>
        <v>1835898.72</v>
      </c>
      <c r="M42" s="9">
        <f t="shared" ref="M42" si="448">ROUND(L42*0.465,2)</f>
        <v>853692.9</v>
      </c>
      <c r="N42" s="9">
        <f>ROUND(L42*0.3,2)+0.04</f>
        <v>550769.66</v>
      </c>
      <c r="O42" s="9">
        <f>ROUND(L42*0.1285,2)-0.03</f>
        <v>235912.95999999999</v>
      </c>
      <c r="P42" s="9">
        <f t="shared" ref="P42" si="449">ROUND((L42*0.07)*0.9,2)</f>
        <v>115661.62</v>
      </c>
      <c r="Q42" s="9">
        <f>ROUND(L42*0.01,2)-0.01</f>
        <v>18358.980000000003</v>
      </c>
      <c r="R42" s="9">
        <f t="shared" ref="R42" si="450">ROUND((L42*0.0075)*0.9,2)</f>
        <v>12392.32</v>
      </c>
      <c r="S42" s="9">
        <f t="shared" ref="S42" si="451">ROUND((L42*0.0075)*0.9,2)</f>
        <v>12392.32</v>
      </c>
      <c r="T42" s="9">
        <f>ROUND(L42*0.02,2)/2-0.005</f>
        <v>18358.98</v>
      </c>
      <c r="U42" s="9">
        <f>ROUND(L42*0.02,2)/2-0.005</f>
        <v>18358.98</v>
      </c>
      <c r="V42" s="17">
        <f t="shared" ref="V42" si="452">E42/W42</f>
        <v>1845.940637065637</v>
      </c>
      <c r="W42" s="10">
        <v>1036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 t="shared" si="25"/>
        <v>45003</v>
      </c>
      <c r="B43" s="9">
        <v>21622479.490000002</v>
      </c>
      <c r="C43" s="9">
        <v>19322812.630000003</v>
      </c>
      <c r="D43" s="24">
        <v>378664</v>
      </c>
      <c r="E43" s="9">
        <f t="shared" ref="E43" si="453">B43-C43-D43</f>
        <v>1921002.8599999994</v>
      </c>
      <c r="F43" s="9">
        <f>ROUND(E43*0.04,2)+0.01</f>
        <v>76840.12</v>
      </c>
      <c r="G43" s="9">
        <f t="shared" ref="G43" si="454">ROUND(E43*0,2)</f>
        <v>0</v>
      </c>
      <c r="H43" s="22">
        <f t="shared" ref="H43" si="455">E43-F43-G43</f>
        <v>1844162.7399999993</v>
      </c>
      <c r="I43" s="9">
        <f t="shared" ref="I43" si="456">ROUND(H43*0,2)</f>
        <v>0</v>
      </c>
      <c r="J43" s="9">
        <f t="shared" ref="J43" si="457">ROUND((I43*0.58)+((I43*0.42)*0.1),2)</f>
        <v>0</v>
      </c>
      <c r="K43" s="9">
        <f t="shared" ref="K43" si="458">ROUND((I43*0.42)*0.9,2)</f>
        <v>0</v>
      </c>
      <c r="L43" s="22">
        <f t="shared" ref="L43" si="459">IF(J43+K43=I43,H43-I43,"ERROR")</f>
        <v>1844162.7399999993</v>
      </c>
      <c r="M43" s="9">
        <f t="shared" ref="M43" si="460">ROUND(L43*0.465,2)</f>
        <v>857535.67</v>
      </c>
      <c r="N43" s="9">
        <f>ROUND(L43*0.3,2)+0.05</f>
        <v>553248.87</v>
      </c>
      <c r="O43" s="9">
        <f>ROUND(L43*0.1285,2)-0.02</f>
        <v>236974.89</v>
      </c>
      <c r="P43" s="9">
        <f t="shared" ref="P43" si="461">ROUND((L43*0.07)*0.9,2)</f>
        <v>116182.25</v>
      </c>
      <c r="Q43" s="9">
        <f>ROUND(L43*0.01,2)-0.01</f>
        <v>18441.620000000003</v>
      </c>
      <c r="R43" s="9">
        <f t="shared" ref="R43" si="462">ROUND((L43*0.0075)*0.9,2)</f>
        <v>12448.1</v>
      </c>
      <c r="S43" s="9">
        <f t="shared" ref="S43" si="463">ROUND((L43*0.0075)*0.9,2)</f>
        <v>12448.1</v>
      </c>
      <c r="T43" s="9">
        <f>ROUND(L43*0.02,2)/2-0.005</f>
        <v>18441.62</v>
      </c>
      <c r="U43" s="9">
        <f>ROUND(L43*0.02,2)/2-0.005</f>
        <v>18441.62</v>
      </c>
      <c r="V43" s="17">
        <f t="shared" ref="V43" si="464">E43/W43</f>
        <v>1892.6136551724132</v>
      </c>
      <c r="W43" s="10">
        <v>1015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 t="shared" si="25"/>
        <v>45010</v>
      </c>
      <c r="B44" s="9">
        <v>21785578.909999996</v>
      </c>
      <c r="C44" s="9">
        <v>19643474.299999997</v>
      </c>
      <c r="D44" s="24">
        <v>379975</v>
      </c>
      <c r="E44" s="9">
        <f t="shared" ref="E44" si="465">B44-C44-D44</f>
        <v>1762129.6099999994</v>
      </c>
      <c r="F44" s="9">
        <f>ROUND(E44*0.04,2)+0.01</f>
        <v>70485.189999999988</v>
      </c>
      <c r="G44" s="9">
        <f t="shared" ref="G44" si="466">ROUND(E44*0,2)</f>
        <v>0</v>
      </c>
      <c r="H44" s="22">
        <f t="shared" ref="H44" si="467">E44-F44-G44</f>
        <v>1691644.4199999995</v>
      </c>
      <c r="I44" s="9">
        <f t="shared" ref="I44" si="468">ROUND(H44*0,2)</f>
        <v>0</v>
      </c>
      <c r="J44" s="9">
        <f t="shared" ref="J44" si="469">ROUND((I44*0.58)+((I44*0.42)*0.1),2)</f>
        <v>0</v>
      </c>
      <c r="K44" s="9">
        <f t="shared" ref="K44" si="470">ROUND((I44*0.42)*0.9,2)</f>
        <v>0</v>
      </c>
      <c r="L44" s="22">
        <f t="shared" ref="L44" si="471">IF(J44+K44=I44,H44-I44,"ERROR")</f>
        <v>1691644.4199999995</v>
      </c>
      <c r="M44" s="9">
        <f t="shared" ref="M44" si="472">ROUND(L44*0.465,2)</f>
        <v>786614.66</v>
      </c>
      <c r="N44" s="9">
        <f>ROUND(L44*0.3,2)</f>
        <v>507493.33</v>
      </c>
      <c r="O44" s="9">
        <f t="shared" ref="O44:O49" si="473">ROUND(L44*0.1285,2)</f>
        <v>217376.31</v>
      </c>
      <c r="P44" s="9">
        <f t="shared" ref="P44" si="474">ROUND((L44*0.07)*0.9,2)</f>
        <v>106573.6</v>
      </c>
      <c r="Q44" s="9">
        <f t="shared" ref="Q44:Q49" si="475">ROUND(L44*0.01,2)</f>
        <v>16916.439999999999</v>
      </c>
      <c r="R44" s="9">
        <f t="shared" ref="R44" si="476">ROUND((L44*0.0075)*0.9,2)</f>
        <v>11418.6</v>
      </c>
      <c r="S44" s="9">
        <f t="shared" ref="S44" si="477">ROUND((L44*0.0075)*0.9,2)</f>
        <v>11418.6</v>
      </c>
      <c r="T44" s="9">
        <f>ROUND(L44*0.02,2)/2-0.005</f>
        <v>16916.439999999999</v>
      </c>
      <c r="U44" s="9">
        <f>ROUND(L44*0.02,2)/2-0.005</f>
        <v>16916.439999999999</v>
      </c>
      <c r="V44" s="17">
        <f t="shared" ref="V44" si="478">E44/W44</f>
        <v>1699.257097396335</v>
      </c>
      <c r="W44" s="10">
        <v>1037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 t="shared" si="25"/>
        <v>45017</v>
      </c>
      <c r="B45" s="9">
        <v>20602674.579999998</v>
      </c>
      <c r="C45" s="9">
        <v>18507128.02</v>
      </c>
      <c r="D45" s="24">
        <v>386086</v>
      </c>
      <c r="E45" s="9">
        <f t="shared" ref="E45" si="479">B45-C45-D45</f>
        <v>1709460.5599999987</v>
      </c>
      <c r="F45" s="9">
        <f>ROUND(E45*0.04,2)+0.01</f>
        <v>68378.429999999993</v>
      </c>
      <c r="G45" s="9">
        <f t="shared" ref="G45" si="480">ROUND(E45*0,2)</f>
        <v>0</v>
      </c>
      <c r="H45" s="22">
        <f t="shared" ref="H45" si="481">E45-F45-G45</f>
        <v>1641082.1299999987</v>
      </c>
      <c r="I45" s="9">
        <f t="shared" ref="I45" si="482">ROUND(H45*0,2)</f>
        <v>0</v>
      </c>
      <c r="J45" s="9">
        <f t="shared" ref="J45" si="483">ROUND((I45*0.58)+((I45*0.42)*0.1),2)</f>
        <v>0</v>
      </c>
      <c r="K45" s="9">
        <f t="shared" ref="K45" si="484">ROUND((I45*0.42)*0.9,2)</f>
        <v>0</v>
      </c>
      <c r="L45" s="22">
        <f t="shared" ref="L45" si="485">IF(J45+K45=I45,H45-I45,"ERROR")</f>
        <v>1641082.1299999987</v>
      </c>
      <c r="M45" s="9">
        <f t="shared" ref="M45" si="486">ROUND(L45*0.465,2)</f>
        <v>763103.19</v>
      </c>
      <c r="N45" s="9">
        <f>ROUND(L45*0.3,2)+0.02</f>
        <v>492324.66000000003</v>
      </c>
      <c r="O45" s="9">
        <f t="shared" si="473"/>
        <v>210879.05</v>
      </c>
      <c r="P45" s="9">
        <f t="shared" ref="P45" si="487">ROUND((L45*0.07)*0.9,2)</f>
        <v>103388.17</v>
      </c>
      <c r="Q45" s="9">
        <f t="shared" si="475"/>
        <v>16410.82</v>
      </c>
      <c r="R45" s="9">
        <f t="shared" ref="R45" si="488">ROUND((L45*0.0075)*0.9,2)</f>
        <v>11077.3</v>
      </c>
      <c r="S45" s="9">
        <f t="shared" ref="S45" si="489">ROUND((L45*0.0075)*0.9,2)</f>
        <v>11077.3</v>
      </c>
      <c r="T45" s="9">
        <f>ROUND(L45*0.02,2)/2</f>
        <v>16410.82</v>
      </c>
      <c r="U45" s="9">
        <f>ROUND(L45*0.02,2)/2</f>
        <v>16410.82</v>
      </c>
      <c r="V45" s="17">
        <f t="shared" ref="V45" si="490">E45/W45</f>
        <v>1682.5399212598411</v>
      </c>
      <c r="W45" s="10">
        <v>1016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 t="shared" si="25"/>
        <v>45024</v>
      </c>
      <c r="B46" s="9">
        <v>19962833.579999998</v>
      </c>
      <c r="C46" s="9">
        <v>17846154.030000001</v>
      </c>
      <c r="D46" s="24">
        <v>350892</v>
      </c>
      <c r="E46" s="9">
        <f t="shared" ref="E46" si="491">B46-C46-D46</f>
        <v>1765787.549999997</v>
      </c>
      <c r="F46" s="9">
        <f>ROUND(E46*0.04,2)</f>
        <v>70631.5</v>
      </c>
      <c r="G46" s="9">
        <f t="shared" ref="G46" si="492">ROUND(E46*0,2)</f>
        <v>0</v>
      </c>
      <c r="H46" s="22">
        <f t="shared" ref="H46" si="493">E46-F46-G46</f>
        <v>1695156.049999997</v>
      </c>
      <c r="I46" s="9">
        <f t="shared" ref="I46" si="494">ROUND(H46*0,2)</f>
        <v>0</v>
      </c>
      <c r="J46" s="9">
        <f t="shared" ref="J46" si="495">ROUND((I46*0.58)+((I46*0.42)*0.1),2)</f>
        <v>0</v>
      </c>
      <c r="K46" s="9">
        <f t="shared" ref="K46" si="496">ROUND((I46*0.42)*0.9,2)</f>
        <v>0</v>
      </c>
      <c r="L46" s="22">
        <f t="shared" ref="L46:L51" si="497">IF(J46+K46=I46,H46-I46,"ERROR")</f>
        <v>1695156.049999997</v>
      </c>
      <c r="M46" s="9">
        <f t="shared" ref="M46" si="498">ROUND(L46*0.465,2)</f>
        <v>788247.56</v>
      </c>
      <c r="N46" s="9">
        <f>ROUND(L46*0.3,2)+0.02</f>
        <v>508546.83</v>
      </c>
      <c r="O46" s="9">
        <f t="shared" si="473"/>
        <v>217827.55</v>
      </c>
      <c r="P46" s="9">
        <f t="shared" ref="P46" si="499">ROUND((L46*0.07)*0.9,2)</f>
        <v>106794.83</v>
      </c>
      <c r="Q46" s="9">
        <f t="shared" si="475"/>
        <v>16951.560000000001</v>
      </c>
      <c r="R46" s="9">
        <f t="shared" ref="R46" si="500">ROUND((L46*0.0075)*0.9,2)</f>
        <v>11442.3</v>
      </c>
      <c r="S46" s="9">
        <f t="shared" ref="S46" si="501">ROUND((L46*0.0075)*0.9,2)</f>
        <v>11442.3</v>
      </c>
      <c r="T46" s="9">
        <f>ROUND(L46*0.02,2)/2</f>
        <v>16951.560000000001</v>
      </c>
      <c r="U46" s="9">
        <f>ROUND(L46*0.02,2)/2</f>
        <v>16951.560000000001</v>
      </c>
      <c r="V46" s="17">
        <f t="shared" ref="V46" si="502">E46/W46</f>
        <v>2072.5205985915459</v>
      </c>
      <c r="W46" s="10">
        <v>852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 t="shared" si="25"/>
        <v>45031</v>
      </c>
      <c r="B47" s="9">
        <v>18667726.789999999</v>
      </c>
      <c r="C47" s="9">
        <v>16740525.100000001</v>
      </c>
      <c r="D47" s="24">
        <v>342577</v>
      </c>
      <c r="E47" s="9">
        <f t="shared" ref="E47" si="503">B47-C47-D47</f>
        <v>1584624.6899999976</v>
      </c>
      <c r="F47" s="9">
        <f>ROUND(E47*0.04,2)+0.01</f>
        <v>63385</v>
      </c>
      <c r="G47" s="9">
        <f t="shared" ref="G47" si="504">ROUND(E47*0,2)</f>
        <v>0</v>
      </c>
      <c r="H47" s="22">
        <f t="shared" ref="H47" si="505">E47-F47-G47</f>
        <v>1521239.6899999976</v>
      </c>
      <c r="I47" s="9">
        <f t="shared" ref="I47" si="506">ROUND(H47*0,2)</f>
        <v>0</v>
      </c>
      <c r="J47" s="9">
        <f t="shared" ref="J47" si="507">ROUND((I47*0.58)+((I47*0.42)*0.1),2)</f>
        <v>0</v>
      </c>
      <c r="K47" s="9">
        <f t="shared" ref="K47" si="508">ROUND((I47*0.42)*0.9,2)</f>
        <v>0</v>
      </c>
      <c r="L47" s="22">
        <f t="shared" si="497"/>
        <v>1521239.6899999976</v>
      </c>
      <c r="M47" s="9">
        <f t="shared" ref="M47" si="509">ROUND(L47*0.465,2)</f>
        <v>707376.46</v>
      </c>
      <c r="N47" s="9">
        <f>ROUND(L47*0.3,2)-0.02</f>
        <v>456371.88999999996</v>
      </c>
      <c r="O47" s="9">
        <f t="shared" si="473"/>
        <v>195479.3</v>
      </c>
      <c r="P47" s="9">
        <f t="shared" ref="P47" si="510">ROUND((L47*0.07)*0.9,2)</f>
        <v>95838.1</v>
      </c>
      <c r="Q47" s="9">
        <f t="shared" si="475"/>
        <v>15212.4</v>
      </c>
      <c r="R47" s="9">
        <f t="shared" ref="R47" si="511">ROUND((L47*0.0075)*0.9,2)</f>
        <v>10268.370000000001</v>
      </c>
      <c r="S47" s="9">
        <f t="shared" ref="S47" si="512">ROUND((L47*0.0075)*0.9,2)</f>
        <v>10268.370000000001</v>
      </c>
      <c r="T47" s="9">
        <f>ROUND(L47*0.02,2)/2+0.005</f>
        <v>15212.4</v>
      </c>
      <c r="U47" s="9">
        <f>ROUND(L47*0.02,2)/2+0.005</f>
        <v>15212.4</v>
      </c>
      <c r="V47" s="17">
        <f t="shared" ref="V47" si="513">E47/W47</f>
        <v>1870.8674025973999</v>
      </c>
      <c r="W47" s="10">
        <v>847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 t="shared" si="25"/>
        <v>45038</v>
      </c>
      <c r="B48" s="9">
        <v>19054875.730000004</v>
      </c>
      <c r="C48" s="9">
        <v>17115760.039999999</v>
      </c>
      <c r="D48" s="24">
        <v>341147</v>
      </c>
      <c r="E48" s="9">
        <f t="shared" ref="E48" si="514">B48-C48-D48</f>
        <v>1597968.6900000051</v>
      </c>
      <c r="F48" s="9">
        <f>ROUND(E48*0.04,2)+0.01</f>
        <v>63918.76</v>
      </c>
      <c r="G48" s="9">
        <f t="shared" ref="G48" si="515">ROUND(E48*0,2)</f>
        <v>0</v>
      </c>
      <c r="H48" s="22">
        <f t="shared" ref="H48" si="516">E48-F48-G48</f>
        <v>1534049.9300000051</v>
      </c>
      <c r="I48" s="9">
        <f t="shared" ref="I48" si="517">ROUND(H48*0,2)</f>
        <v>0</v>
      </c>
      <c r="J48" s="9">
        <f t="shared" ref="J48" si="518">ROUND((I48*0.58)+((I48*0.42)*0.1),2)</f>
        <v>0</v>
      </c>
      <c r="K48" s="9">
        <f t="shared" ref="K48" si="519">ROUND((I48*0.42)*0.9,2)</f>
        <v>0</v>
      </c>
      <c r="L48" s="22">
        <f t="shared" si="497"/>
        <v>1534049.9300000051</v>
      </c>
      <c r="M48" s="9">
        <f t="shared" ref="M48" si="520">ROUND(L48*0.465,2)</f>
        <v>713333.22</v>
      </c>
      <c r="N48" s="9">
        <f>ROUND(L48*0.3,2)-0.02</f>
        <v>460214.95999999996</v>
      </c>
      <c r="O48" s="9">
        <f t="shared" si="473"/>
        <v>197125.42</v>
      </c>
      <c r="P48" s="9">
        <f t="shared" ref="P48" si="521">ROUND((L48*0.07)*0.9,2)</f>
        <v>96645.15</v>
      </c>
      <c r="Q48" s="9">
        <f t="shared" si="475"/>
        <v>15340.5</v>
      </c>
      <c r="R48" s="9">
        <f t="shared" ref="R48" si="522">ROUND((L48*0.0075)*0.9,2)</f>
        <v>10354.84</v>
      </c>
      <c r="S48" s="9">
        <f t="shared" ref="S48" si="523">ROUND((L48*0.0075)*0.9,2)</f>
        <v>10354.84</v>
      </c>
      <c r="T48" s="9">
        <f>ROUND(L48*0.02,2)/2</f>
        <v>15340.5</v>
      </c>
      <c r="U48" s="9">
        <f>ROUND(L48*0.02,2)/2</f>
        <v>15340.5</v>
      </c>
      <c r="V48" s="17">
        <f t="shared" ref="V48" si="524">E48/W48</f>
        <v>1877.7540423031787</v>
      </c>
      <c r="W48" s="10">
        <v>851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 t="shared" si="25"/>
        <v>45045</v>
      </c>
      <c r="B49" s="9">
        <v>21969763.400000002</v>
      </c>
      <c r="C49" s="9">
        <v>19762463.68</v>
      </c>
      <c r="D49" s="24">
        <v>389633</v>
      </c>
      <c r="E49" s="9">
        <f t="shared" ref="E49" si="525">B49-C49-D49</f>
        <v>1817666.7200000025</v>
      </c>
      <c r="F49" s="9">
        <f>ROUND(E49*0.04,2)</f>
        <v>72706.67</v>
      </c>
      <c r="G49" s="9">
        <f t="shared" ref="G49" si="526">ROUND(E49*0,2)</f>
        <v>0</v>
      </c>
      <c r="H49" s="22">
        <f t="shared" ref="H49" si="527">E49-F49-G49</f>
        <v>1744960.0500000026</v>
      </c>
      <c r="I49" s="9">
        <f t="shared" ref="I49" si="528">ROUND(H49*0,2)</f>
        <v>0</v>
      </c>
      <c r="J49" s="9">
        <f t="shared" ref="J49" si="529">ROUND((I49*0.58)+((I49*0.42)*0.1),2)</f>
        <v>0</v>
      </c>
      <c r="K49" s="9">
        <f t="shared" ref="K49" si="530">ROUND((I49*0.42)*0.9,2)</f>
        <v>0</v>
      </c>
      <c r="L49" s="22">
        <f t="shared" si="497"/>
        <v>1744960.0500000026</v>
      </c>
      <c r="M49" s="9">
        <f t="shared" ref="M49" si="531">ROUND(L49*0.465,2)</f>
        <v>811406.42</v>
      </c>
      <c r="N49" s="9">
        <f>ROUND(L49*0.3,2)</f>
        <v>523488.02</v>
      </c>
      <c r="O49" s="9">
        <f t="shared" si="473"/>
        <v>224227.37</v>
      </c>
      <c r="P49" s="9">
        <f t="shared" ref="P49" si="532">ROUND((L49*0.07)*0.9,2)</f>
        <v>109932.48</v>
      </c>
      <c r="Q49" s="9">
        <f t="shared" si="475"/>
        <v>17449.599999999999</v>
      </c>
      <c r="R49" s="9">
        <f t="shared" ref="R49" si="533">ROUND((L49*0.0075)*0.9,2)</f>
        <v>11778.48</v>
      </c>
      <c r="S49" s="9">
        <f t="shared" ref="S49" si="534">ROUND((L49*0.0075)*0.9,2)</f>
        <v>11778.48</v>
      </c>
      <c r="T49" s="9">
        <f>ROUND(L49*0.02,2)/2</f>
        <v>17449.599999999999</v>
      </c>
      <c r="U49" s="9">
        <f>ROUND(L49*0.02,2)/2</f>
        <v>17449.599999999999</v>
      </c>
      <c r="V49" s="17">
        <f t="shared" ref="V49" si="535">E49/W49</f>
        <v>2171.6448267622491</v>
      </c>
      <c r="W49" s="10">
        <v>837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 t="shared" si="25"/>
        <v>45052</v>
      </c>
      <c r="B50" s="9">
        <v>19619534.07</v>
      </c>
      <c r="C50" s="9">
        <v>17643426.289999999</v>
      </c>
      <c r="D50" s="24">
        <v>339757</v>
      </c>
      <c r="E50" s="9">
        <f t="shared" ref="E50" si="536">B50-C50-D50</f>
        <v>1636350.7800000012</v>
      </c>
      <c r="F50" s="9">
        <f>ROUND(E50*0.04,2)+0.01</f>
        <v>65454.04</v>
      </c>
      <c r="G50" s="9">
        <f t="shared" ref="G50" si="537">ROUND(E50*0,2)</f>
        <v>0</v>
      </c>
      <c r="H50" s="22">
        <f t="shared" ref="H50" si="538">E50-F50-G50</f>
        <v>1570896.7400000012</v>
      </c>
      <c r="I50" s="9">
        <f t="shared" ref="I50" si="539">ROUND(H50*0,2)</f>
        <v>0</v>
      </c>
      <c r="J50" s="9">
        <f t="shared" ref="J50" si="540">ROUND((I50*0.58)+((I50*0.42)*0.1),2)</f>
        <v>0</v>
      </c>
      <c r="K50" s="9">
        <f t="shared" ref="K50" si="541">ROUND((I50*0.42)*0.9,2)</f>
        <v>0</v>
      </c>
      <c r="L50" s="22">
        <f t="shared" si="497"/>
        <v>1570896.7400000012</v>
      </c>
      <c r="M50" s="9">
        <f t="shared" ref="M50" si="542">ROUND(L50*0.465,2)</f>
        <v>730466.98</v>
      </c>
      <c r="N50" s="9">
        <f>ROUND(L50*0.3,2)+0.01</f>
        <v>471269.03</v>
      </c>
      <c r="O50" s="9">
        <f t="shared" ref="O50" si="543">ROUND(L50*0.1285,2)</f>
        <v>201860.23</v>
      </c>
      <c r="P50" s="9">
        <f t="shared" ref="P50" si="544">ROUND((L50*0.07)*0.9,2)</f>
        <v>98966.49</v>
      </c>
      <c r="Q50" s="9">
        <f t="shared" ref="Q50" si="545">ROUND(L50*0.01,2)</f>
        <v>15708.97</v>
      </c>
      <c r="R50" s="9">
        <f t="shared" ref="R50" si="546">ROUND((L50*0.0075)*0.9,2)</f>
        <v>10603.55</v>
      </c>
      <c r="S50" s="9">
        <f t="shared" ref="S50" si="547">ROUND((L50*0.0075)*0.9,2)</f>
        <v>10603.55</v>
      </c>
      <c r="T50" s="9">
        <f>ROUND(L50*0.02,2)/2+0.005</f>
        <v>15708.97</v>
      </c>
      <c r="U50" s="9">
        <f>ROUND(L50*0.02,2)/2+0.005</f>
        <v>15708.97</v>
      </c>
      <c r="V50" s="17">
        <f t="shared" ref="V50" si="548">E50/W50</f>
        <v>1936.5097988165694</v>
      </c>
      <c r="W50" s="10">
        <v>845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 t="shared" si="25"/>
        <v>45059</v>
      </c>
      <c r="B51" s="9">
        <v>18777449.850000001</v>
      </c>
      <c r="C51" s="9">
        <v>16841422.68</v>
      </c>
      <c r="D51" s="24">
        <v>319197</v>
      </c>
      <c r="E51" s="9">
        <f t="shared" ref="E51" si="549">B51-C51-D51</f>
        <v>1616830.1700000018</v>
      </c>
      <c r="F51" s="9">
        <f>ROUND(E51*0.04,2)</f>
        <v>64673.21</v>
      </c>
      <c r="G51" s="9">
        <f t="shared" ref="G51" si="550">ROUND(E51*0,2)</f>
        <v>0</v>
      </c>
      <c r="H51" s="22">
        <f t="shared" ref="H51" si="551">E51-F51-G51</f>
        <v>1552156.9600000018</v>
      </c>
      <c r="I51" s="9">
        <f t="shared" ref="I51" si="552">ROUND(H51*0,2)</f>
        <v>0</v>
      </c>
      <c r="J51" s="9">
        <f t="shared" ref="J51" si="553">ROUND((I51*0.58)+((I51*0.42)*0.1),2)</f>
        <v>0</v>
      </c>
      <c r="K51" s="9">
        <f t="shared" ref="K51" si="554">ROUND((I51*0.42)*0.9,2)</f>
        <v>0</v>
      </c>
      <c r="L51" s="22">
        <f t="shared" si="497"/>
        <v>1552156.9600000018</v>
      </c>
      <c r="M51" s="9">
        <f t="shared" ref="M51" si="555">ROUND(L51*0.465,2)</f>
        <v>721752.99</v>
      </c>
      <c r="N51" s="9">
        <f>ROUND(L51*0.3,2)-0.01</f>
        <v>465647.08</v>
      </c>
      <c r="O51" s="9">
        <f t="shared" ref="O51" si="556">ROUND(L51*0.1285,2)</f>
        <v>199452.17</v>
      </c>
      <c r="P51" s="9">
        <f t="shared" ref="P51" si="557">ROUND((L51*0.07)*0.9,2)</f>
        <v>97785.89</v>
      </c>
      <c r="Q51" s="9">
        <f t="shared" ref="Q51" si="558">ROUND(L51*0.01,2)</f>
        <v>15521.57</v>
      </c>
      <c r="R51" s="9">
        <f t="shared" ref="R51" si="559">ROUND((L51*0.0075)*0.9,2)</f>
        <v>10477.06</v>
      </c>
      <c r="S51" s="9">
        <f t="shared" ref="S51" si="560">ROUND((L51*0.0075)*0.9,2)</f>
        <v>10477.06</v>
      </c>
      <c r="T51" s="9">
        <f>ROUND(L51*0.02,2)/2</f>
        <v>15521.57</v>
      </c>
      <c r="U51" s="9">
        <f>ROUND(L51*0.02,2)/2</f>
        <v>15521.57</v>
      </c>
      <c r="V51" s="17">
        <f t="shared" ref="V51" si="561">E51/W51</f>
        <v>1888.8202920560768</v>
      </c>
      <c r="W51" s="10">
        <v>856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 t="shared" si="25"/>
        <v>45066</v>
      </c>
      <c r="B52" s="23">
        <v>18596985.93</v>
      </c>
      <c r="C52" s="27">
        <v>16549440.17</v>
      </c>
      <c r="D52" s="24">
        <v>328108</v>
      </c>
      <c r="E52" s="9">
        <f t="shared" ref="E52" si="562">B52-C52-D52</f>
        <v>1719437.7599999998</v>
      </c>
      <c r="F52" s="9">
        <f>ROUND(E52*0.04,2)+0.01</f>
        <v>68777.51999999999</v>
      </c>
      <c r="G52" s="9">
        <f t="shared" ref="G52" si="563">ROUND(E52*0,2)</f>
        <v>0</v>
      </c>
      <c r="H52" s="22">
        <f t="shared" ref="H52" si="564">E52-F52-G52</f>
        <v>1650660.2399999998</v>
      </c>
      <c r="I52" s="9">
        <f t="shared" ref="I52" si="565">ROUND(H52*0,2)</f>
        <v>0</v>
      </c>
      <c r="J52" s="9">
        <f t="shared" ref="J52" si="566">ROUND((I52*0.58)+((I52*0.42)*0.1),2)</f>
        <v>0</v>
      </c>
      <c r="K52" s="9">
        <f t="shared" ref="K52" si="567">ROUND((I52*0.42)*0.9,2)</f>
        <v>0</v>
      </c>
      <c r="L52" s="22">
        <f t="shared" ref="L52" si="568">IF(J52+K52=I52,H52-I52,"ERROR")</f>
        <v>1650660.2399999998</v>
      </c>
      <c r="M52" s="9">
        <f t="shared" ref="M52" si="569">ROUND(L52*0.465,2)</f>
        <v>767557.01</v>
      </c>
      <c r="N52" s="9">
        <f>ROUND(L52*0.3,2)</f>
        <v>495198.07</v>
      </c>
      <c r="O52" s="9">
        <f t="shared" ref="O52" si="570">ROUND(L52*0.1285,2)</f>
        <v>212109.84</v>
      </c>
      <c r="P52" s="9">
        <f t="shared" ref="P52" si="571">ROUND((L52*0.07)*0.9,2)</f>
        <v>103991.6</v>
      </c>
      <c r="Q52" s="9">
        <f t="shared" ref="Q52" si="572">ROUND(L52*0.01,2)</f>
        <v>16506.599999999999</v>
      </c>
      <c r="R52" s="9">
        <f t="shared" ref="R52" si="573">ROUND((L52*0.0075)*0.9,2)</f>
        <v>11141.96</v>
      </c>
      <c r="S52" s="9">
        <f t="shared" ref="S52" si="574">ROUND((L52*0.0075)*0.9,2)</f>
        <v>11141.96</v>
      </c>
      <c r="T52" s="9">
        <f>ROUND(L52*0.02,2)/2</f>
        <v>16506.599999999999</v>
      </c>
      <c r="U52" s="9">
        <f>ROUND(L52*0.02,2)/2</f>
        <v>16506.599999999999</v>
      </c>
      <c r="V52" s="17">
        <f t="shared" ref="V52:V57" si="575">E52/W52</f>
        <v>1962.8284931506846</v>
      </c>
      <c r="W52" s="10">
        <v>876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 t="shared" si="25"/>
        <v>45073</v>
      </c>
      <c r="B53" s="23">
        <v>18190258.539999999</v>
      </c>
      <c r="C53" s="27">
        <v>16252623.82</v>
      </c>
      <c r="D53" s="24">
        <v>326697</v>
      </c>
      <c r="E53" s="9">
        <f t="shared" ref="E53" si="576">B53-C53-D53</f>
        <v>1610937.7199999988</v>
      </c>
      <c r="F53" s="9">
        <f>ROUND(E53*0.04,2)+0.01</f>
        <v>64437.520000000004</v>
      </c>
      <c r="G53" s="9">
        <f t="shared" ref="G53" si="577">ROUND(E53*0,2)</f>
        <v>0</v>
      </c>
      <c r="H53" s="22">
        <f t="shared" ref="H53" si="578">E53-F53-G53</f>
        <v>1546500.1999999988</v>
      </c>
      <c r="I53" s="9">
        <f t="shared" ref="I53" si="579">ROUND(H53*0,2)</f>
        <v>0</v>
      </c>
      <c r="J53" s="9">
        <f t="shared" ref="J53" si="580">ROUND((I53*0.58)+((I53*0.42)*0.1),2)</f>
        <v>0</v>
      </c>
      <c r="K53" s="9">
        <f t="shared" ref="K53" si="581">ROUND((I53*0.42)*0.9,2)</f>
        <v>0</v>
      </c>
      <c r="L53" s="22">
        <f t="shared" ref="L53" si="582">IF(J53+K53=I53,H53-I53,"ERROR")</f>
        <v>1546500.1999999988</v>
      </c>
      <c r="M53" s="9">
        <f t="shared" ref="M53" si="583">ROUND(L53*0.465,2)</f>
        <v>719122.59</v>
      </c>
      <c r="N53" s="9">
        <f>ROUND(L53*0.3,2)</f>
        <v>463950.06</v>
      </c>
      <c r="O53" s="9">
        <f t="shared" ref="O53" si="584">ROUND(L53*0.1285,2)</f>
        <v>198725.28</v>
      </c>
      <c r="P53" s="9">
        <f t="shared" ref="P53" si="585">ROUND((L53*0.07)*0.9,2)</f>
        <v>97429.51</v>
      </c>
      <c r="Q53" s="9">
        <f t="shared" ref="Q53" si="586">ROUND(L53*0.01,2)</f>
        <v>15465</v>
      </c>
      <c r="R53" s="9">
        <f t="shared" ref="R53" si="587">ROUND((L53*0.0075)*0.9,2)</f>
        <v>10438.879999999999</v>
      </c>
      <c r="S53" s="9">
        <f t="shared" ref="S53" si="588">ROUND((L53*0.0075)*0.9,2)</f>
        <v>10438.879999999999</v>
      </c>
      <c r="T53" s="9">
        <f>ROUND(L53*0.02,2)/2</f>
        <v>15465</v>
      </c>
      <c r="U53" s="9">
        <f>ROUND(L53*0.02,2)/2</f>
        <v>15465</v>
      </c>
      <c r="V53" s="17">
        <f t="shared" si="575"/>
        <v>1805.9839910313888</v>
      </c>
      <c r="W53" s="10">
        <v>892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 t="shared" si="25"/>
        <v>45080</v>
      </c>
      <c r="B54" s="23">
        <v>20003687.75</v>
      </c>
      <c r="C54" s="27">
        <v>17922824.719999999</v>
      </c>
      <c r="D54" s="24">
        <v>359644</v>
      </c>
      <c r="E54" s="9">
        <f t="shared" ref="E54" si="589">B54-C54-D54</f>
        <v>1721219.0300000012</v>
      </c>
      <c r="F54" s="9">
        <f>ROUND(E54*0.04,2)</f>
        <v>68848.759999999995</v>
      </c>
      <c r="G54" s="9">
        <f t="shared" ref="G54" si="590">ROUND(E54*0,2)</f>
        <v>0</v>
      </c>
      <c r="H54" s="22">
        <f t="shared" ref="H54" si="591">E54-F54-G54</f>
        <v>1652370.2700000012</v>
      </c>
      <c r="I54" s="9">
        <f t="shared" ref="I54" si="592">ROUND(H54*0,2)</f>
        <v>0</v>
      </c>
      <c r="J54" s="9">
        <f t="shared" ref="J54" si="593">ROUND((I54*0.58)+((I54*0.42)*0.1),2)</f>
        <v>0</v>
      </c>
      <c r="K54" s="9">
        <f t="shared" ref="K54" si="594">ROUND((I54*0.42)*0.9,2)</f>
        <v>0</v>
      </c>
      <c r="L54" s="22">
        <f t="shared" ref="L54" si="595">IF(J54+K54=I54,H54-I54,"ERROR")</f>
        <v>1652370.2700000012</v>
      </c>
      <c r="M54" s="9">
        <f t="shared" ref="M54" si="596">ROUND(L54*0.465,2)</f>
        <v>768352.18</v>
      </c>
      <c r="N54" s="9">
        <f>ROUND(L54*0.3,2)</f>
        <v>495711.08</v>
      </c>
      <c r="O54" s="9">
        <f t="shared" ref="O54" si="597">ROUND(L54*0.1285,2)</f>
        <v>212329.58</v>
      </c>
      <c r="P54" s="9">
        <f t="shared" ref="P54" si="598">ROUND((L54*0.07)*0.9,2)</f>
        <v>104099.33</v>
      </c>
      <c r="Q54" s="9">
        <f t="shared" ref="Q54" si="599">ROUND(L54*0.01,2)</f>
        <v>16523.7</v>
      </c>
      <c r="R54" s="9">
        <f t="shared" ref="R54" si="600">ROUND((L54*0.0075)*0.9,2)</f>
        <v>11153.5</v>
      </c>
      <c r="S54" s="9">
        <f t="shared" ref="S54" si="601">ROUND((L54*0.0075)*0.9,2)</f>
        <v>11153.5</v>
      </c>
      <c r="T54" s="9">
        <f>ROUND(L54*0.02,2)/2-0.005</f>
        <v>16523.7</v>
      </c>
      <c r="U54" s="9">
        <f>ROUND(L54*0.02,2)/2-0.005</f>
        <v>16523.7</v>
      </c>
      <c r="V54" s="17">
        <f t="shared" si="575"/>
        <v>1904.0033517699128</v>
      </c>
      <c r="W54" s="10">
        <v>904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 t="shared" si="25"/>
        <v>45087</v>
      </c>
      <c r="B55" s="23">
        <v>18455156.579999998</v>
      </c>
      <c r="C55" s="27">
        <v>16512136.49</v>
      </c>
      <c r="D55" s="24">
        <v>330950</v>
      </c>
      <c r="E55" s="9">
        <f t="shared" ref="E55" si="602">B55-C55-D55</f>
        <v>1612070.089999998</v>
      </c>
      <c r="F55" s="9">
        <f>ROUND(E55*0.04,2)+0.02</f>
        <v>64482.82</v>
      </c>
      <c r="G55" s="9">
        <f t="shared" ref="G55" si="603">ROUND(E55*0,2)</f>
        <v>0</v>
      </c>
      <c r="H55" s="22">
        <f t="shared" ref="H55" si="604">E55-F55-G55</f>
        <v>1547587.2699999979</v>
      </c>
      <c r="I55" s="9">
        <f t="shared" ref="I55" si="605">ROUND(H55*0,2)</f>
        <v>0</v>
      </c>
      <c r="J55" s="9">
        <f t="shared" ref="J55" si="606">ROUND((I55*0.58)+((I55*0.42)*0.1),2)</f>
        <v>0</v>
      </c>
      <c r="K55" s="9">
        <f t="shared" ref="K55" si="607">ROUND((I55*0.42)*0.9,2)</f>
        <v>0</v>
      </c>
      <c r="L55" s="22">
        <f t="shared" ref="L55" si="608">IF(J55+K55=I55,H55-I55,"ERROR")</f>
        <v>1547587.2699999979</v>
      </c>
      <c r="M55" s="9">
        <f t="shared" ref="M55" si="609">ROUND(L55*0.465,2)</f>
        <v>719628.08</v>
      </c>
      <c r="N55" s="9">
        <f>ROUND(L55*0.3,2)+0.02</f>
        <v>464276.2</v>
      </c>
      <c r="O55" s="9">
        <f t="shared" ref="O55" si="610">ROUND(L55*0.1285,2)</f>
        <v>198864.96</v>
      </c>
      <c r="P55" s="9">
        <f t="shared" ref="P55" si="611">ROUND((L55*0.07)*0.9,2)</f>
        <v>97498</v>
      </c>
      <c r="Q55" s="9">
        <f t="shared" ref="Q55" si="612">ROUND(L55*0.01,2)</f>
        <v>15475.87</v>
      </c>
      <c r="R55" s="9">
        <f t="shared" ref="R55" si="613">ROUND((L55*0.0075)*0.9,2)</f>
        <v>10446.209999999999</v>
      </c>
      <c r="S55" s="9">
        <f t="shared" ref="S55" si="614">ROUND((L55*0.0075)*0.9,2)</f>
        <v>10446.209999999999</v>
      </c>
      <c r="T55" s="9">
        <f>ROUND(L55*0.02,2)/2-0.005</f>
        <v>15475.87</v>
      </c>
      <c r="U55" s="9">
        <f>ROUND(L55*0.02,2)/2-0.005</f>
        <v>15475.87</v>
      </c>
      <c r="V55" s="17">
        <f t="shared" si="575"/>
        <v>1765.6846549835684</v>
      </c>
      <c r="W55" s="10">
        <v>913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 t="shared" si="25"/>
        <v>45094</v>
      </c>
      <c r="B56" s="23">
        <v>18716855.969999999</v>
      </c>
      <c r="C56" s="27">
        <v>16893630.239999998</v>
      </c>
      <c r="D56" s="24">
        <v>335859</v>
      </c>
      <c r="E56" s="9">
        <f t="shared" ref="E56" si="615">B56-C56-D56</f>
        <v>1487366.7300000004</v>
      </c>
      <c r="F56" s="9">
        <f>ROUND(E56*0.04,2)</f>
        <v>59494.67</v>
      </c>
      <c r="G56" s="9">
        <f t="shared" ref="G56" si="616">ROUND(E56*0,2)</f>
        <v>0</v>
      </c>
      <c r="H56" s="22">
        <f t="shared" ref="H56" si="617">E56-F56-G56</f>
        <v>1427872.0600000005</v>
      </c>
      <c r="I56" s="9">
        <f t="shared" ref="I56" si="618">ROUND(H56*0,2)</f>
        <v>0</v>
      </c>
      <c r="J56" s="9">
        <f t="shared" ref="J56" si="619">ROUND((I56*0.58)+((I56*0.42)*0.1),2)</f>
        <v>0</v>
      </c>
      <c r="K56" s="9">
        <f t="shared" ref="K56" si="620">ROUND((I56*0.42)*0.9,2)</f>
        <v>0</v>
      </c>
      <c r="L56" s="22">
        <f t="shared" ref="L56" si="621">IF(J56+K56=I56,H56-I56,"ERROR")</f>
        <v>1427872.0600000005</v>
      </c>
      <c r="M56" s="9">
        <f t="shared" ref="M56" si="622">ROUND(L56*0.465,2)</f>
        <v>663960.51</v>
      </c>
      <c r="N56" s="9">
        <f>ROUND(L56*0.3,2)-0.01</f>
        <v>428361.61</v>
      </c>
      <c r="O56" s="9">
        <f t="shared" ref="O56" si="623">ROUND(L56*0.1285,2)</f>
        <v>183481.56</v>
      </c>
      <c r="P56" s="9">
        <f t="shared" ref="P56" si="624">ROUND((L56*0.07)*0.9,2)</f>
        <v>89955.94</v>
      </c>
      <c r="Q56" s="9">
        <f t="shared" ref="Q56" si="625">ROUND(L56*0.01,2)</f>
        <v>14278.72</v>
      </c>
      <c r="R56" s="9">
        <f t="shared" ref="R56" si="626">ROUND((L56*0.0075)*0.9,2)</f>
        <v>9638.14</v>
      </c>
      <c r="S56" s="9">
        <f t="shared" ref="S56" si="627">ROUND((L56*0.0075)*0.9,2)</f>
        <v>9638.14</v>
      </c>
      <c r="T56" s="9">
        <f>ROUND(L56*0.02,2)/2</f>
        <v>14278.72</v>
      </c>
      <c r="U56" s="9">
        <f>ROUND(L56*0.02,2)/2</f>
        <v>14278.72</v>
      </c>
      <c r="V56" s="17">
        <f t="shared" si="575"/>
        <v>1639.875115766263</v>
      </c>
      <c r="W56" s="10">
        <v>907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 t="shared" si="25"/>
        <v>45101</v>
      </c>
      <c r="B57" s="23">
        <v>18951540.43</v>
      </c>
      <c r="C57" s="27">
        <v>16941150.670000002</v>
      </c>
      <c r="D57" s="24">
        <v>331644</v>
      </c>
      <c r="E57" s="9">
        <f t="shared" ref="E57" si="628">B57-C57-D57</f>
        <v>1678745.7599999979</v>
      </c>
      <c r="F57" s="9">
        <f>ROUND(E57*0.04,2)</f>
        <v>67149.83</v>
      </c>
      <c r="G57" s="9">
        <f t="shared" ref="G57" si="629">ROUND(E57*0,2)</f>
        <v>0</v>
      </c>
      <c r="H57" s="22">
        <f t="shared" ref="H57" si="630">E57-F57-G57</f>
        <v>1611595.9299999978</v>
      </c>
      <c r="I57" s="9">
        <f t="shared" ref="I57" si="631">ROUND(H57*0,2)</f>
        <v>0</v>
      </c>
      <c r="J57" s="9">
        <f t="shared" ref="J57" si="632">ROUND((I57*0.58)+((I57*0.42)*0.1),2)</f>
        <v>0</v>
      </c>
      <c r="K57" s="9">
        <f t="shared" ref="K57" si="633">ROUND((I57*0.42)*0.9,2)</f>
        <v>0</v>
      </c>
      <c r="L57" s="22">
        <f t="shared" ref="L57" si="634">IF(J57+K57=I57,H57-I57,"ERROR")</f>
        <v>1611595.9299999978</v>
      </c>
      <c r="M57" s="9">
        <f t="shared" ref="M57" si="635">ROUND(L57*0.465,2)</f>
        <v>749392.11</v>
      </c>
      <c r="N57" s="9">
        <f>ROUND(L57*0.3,2)</f>
        <v>483478.78</v>
      </c>
      <c r="O57" s="9">
        <f t="shared" ref="O57" si="636">ROUND(L57*0.1285,2)</f>
        <v>207090.08</v>
      </c>
      <c r="P57" s="9">
        <f t="shared" ref="P57" si="637">ROUND((L57*0.07)*0.9,2)</f>
        <v>101530.54</v>
      </c>
      <c r="Q57" s="9">
        <f t="shared" ref="Q57" si="638">ROUND(L57*0.01,2)</f>
        <v>16115.96</v>
      </c>
      <c r="R57" s="9">
        <f t="shared" ref="R57" si="639">ROUND((L57*0.0075)*0.9,2)</f>
        <v>10878.27</v>
      </c>
      <c r="S57" s="9">
        <f t="shared" ref="S57" si="640">ROUND((L57*0.0075)*0.9,2)</f>
        <v>10878.27</v>
      </c>
      <c r="T57" s="9">
        <f>ROUND(L57*0.02,2)/2</f>
        <v>16115.96</v>
      </c>
      <c r="U57" s="9">
        <f>ROUND(L57*0.02,2)/2</f>
        <v>16115.96</v>
      </c>
      <c r="V57" s="17">
        <f t="shared" si="575"/>
        <v>1974.9950117647033</v>
      </c>
      <c r="W57" s="10">
        <v>850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6/30/2023 ***</v>
      </c>
      <c r="B58" s="23">
        <v>15496412.059999999</v>
      </c>
      <c r="C58" s="27">
        <v>14010455.199999999</v>
      </c>
      <c r="D58" s="24">
        <v>306231</v>
      </c>
      <c r="E58" s="9">
        <f t="shared" ref="E58" si="641">B58-C58-D58</f>
        <v>1179725.8599999994</v>
      </c>
      <c r="F58" s="9">
        <f>ROUND(E58*0.04,2)-0.01</f>
        <v>47189.02</v>
      </c>
      <c r="G58" s="9">
        <f t="shared" ref="G58" si="642">ROUND(E58*0,2)</f>
        <v>0</v>
      </c>
      <c r="H58" s="22">
        <f t="shared" ref="H58" si="643">E58-F58-G58</f>
        <v>1132536.8399999994</v>
      </c>
      <c r="I58" s="9">
        <f t="shared" ref="I58" si="644">ROUND(H58*0,2)</f>
        <v>0</v>
      </c>
      <c r="J58" s="9">
        <f t="shared" ref="J58" si="645">ROUND((I58*0.58)+((I58*0.42)*0.1),2)</f>
        <v>0</v>
      </c>
      <c r="K58" s="9">
        <f t="shared" ref="K58" si="646">ROUND((I58*0.42)*0.9,2)</f>
        <v>0</v>
      </c>
      <c r="L58" s="22">
        <f t="shared" ref="L58" si="647">IF(J58+K58=I58,H58-I58,"ERROR")</f>
        <v>1132536.8399999994</v>
      </c>
      <c r="M58" s="9">
        <f t="shared" ref="M58" si="648">ROUND(L58*0.465,2)</f>
        <v>526629.63</v>
      </c>
      <c r="N58" s="9">
        <f>ROUND(L58*0.3,2)+0.01</f>
        <v>339761.06</v>
      </c>
      <c r="O58" s="9">
        <f t="shared" ref="O58" si="649">ROUND(L58*0.1285,2)</f>
        <v>145530.98000000001</v>
      </c>
      <c r="P58" s="9">
        <f t="shared" ref="P58" si="650">ROUND((L58*0.07)*0.9,2)</f>
        <v>71349.820000000007</v>
      </c>
      <c r="Q58" s="9">
        <f t="shared" ref="Q58" si="651">ROUND(L58*0.01,2)</f>
        <v>11325.37</v>
      </c>
      <c r="R58" s="9">
        <f t="shared" ref="R58" si="652">ROUND((L58*0.0075)*0.9,2)</f>
        <v>7644.62</v>
      </c>
      <c r="S58" s="9">
        <f t="shared" ref="S58" si="653">ROUND((L58*0.0075)*0.9,2)</f>
        <v>7644.62</v>
      </c>
      <c r="T58" s="9">
        <f>ROUND(L58*0.02,2)/2</f>
        <v>11325.37</v>
      </c>
      <c r="U58" s="9">
        <f>ROUND(L58*0.02,2)/2</f>
        <v>11325.37</v>
      </c>
      <c r="V58" s="17">
        <f t="shared" ref="V58" si="654">E58/W58</f>
        <v>1293.5590570175432</v>
      </c>
      <c r="W58" s="10">
        <v>912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/>
      <c r="B59" s="9"/>
      <c r="C59" s="9"/>
      <c r="D59" s="24"/>
      <c r="E59" s="9"/>
      <c r="F59" s="9"/>
      <c r="G59" s="9"/>
      <c r="H59" s="22"/>
      <c r="I59" s="9"/>
      <c r="J59" s="9"/>
      <c r="K59" s="9"/>
      <c r="L59" s="22"/>
      <c r="M59" s="9"/>
      <c r="N59" s="9"/>
      <c r="O59" s="9"/>
      <c r="P59" s="9"/>
      <c r="Q59" s="9"/>
      <c r="R59" s="9"/>
      <c r="S59" s="9"/>
      <c r="T59" s="9"/>
      <c r="U59" s="9"/>
      <c r="V59" s="17"/>
      <c r="W59" s="10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thickBot="1" x14ac:dyDescent="0.3">
      <c r="B60" s="11">
        <f>SUM(B6:B59)</f>
        <v>1008894462.54</v>
      </c>
      <c r="C60" s="11">
        <f t="shared" ref="C60:U60" si="655">SUM(C6:C59)</f>
        <v>905648567.95999992</v>
      </c>
      <c r="D60" s="11">
        <f t="shared" si="655"/>
        <v>17448847</v>
      </c>
      <c r="E60" s="11">
        <f t="shared" si="655"/>
        <v>85797047.580000058</v>
      </c>
      <c r="F60" s="11">
        <f t="shared" si="655"/>
        <v>3431882.0399999991</v>
      </c>
      <c r="G60" s="11">
        <f t="shared" si="655"/>
        <v>0</v>
      </c>
      <c r="H60" s="11">
        <f t="shared" si="655"/>
        <v>82365165.540000021</v>
      </c>
      <c r="I60" s="11">
        <f t="shared" si="655"/>
        <v>0</v>
      </c>
      <c r="J60" s="11">
        <f t="shared" si="655"/>
        <v>0</v>
      </c>
      <c r="K60" s="11">
        <f t="shared" si="655"/>
        <v>0</v>
      </c>
      <c r="L60" s="11">
        <f t="shared" si="655"/>
        <v>82365165.540000021</v>
      </c>
      <c r="M60" s="11">
        <f t="shared" si="655"/>
        <v>38299801.960000008</v>
      </c>
      <c r="N60" s="11">
        <f t="shared" si="655"/>
        <v>24709549.809999995</v>
      </c>
      <c r="O60" s="11">
        <f t="shared" si="655"/>
        <v>10583923.700000001</v>
      </c>
      <c r="P60" s="11">
        <f t="shared" si="655"/>
        <v>5189005.43</v>
      </c>
      <c r="Q60" s="11">
        <f t="shared" si="655"/>
        <v>823651.63999999966</v>
      </c>
      <c r="R60" s="11">
        <f t="shared" si="655"/>
        <v>555964.86</v>
      </c>
      <c r="S60" s="11">
        <f t="shared" si="655"/>
        <v>555964.86</v>
      </c>
      <c r="T60" s="11">
        <f t="shared" si="655"/>
        <v>1208308.5800000003</v>
      </c>
      <c r="U60" s="11">
        <f t="shared" si="655"/>
        <v>438994.6999999999</v>
      </c>
      <c r="V60" s="12">
        <f>AVERAGE(V6:V59)</f>
        <v>1654.6829534463134</v>
      </c>
      <c r="W60" s="13">
        <f>AVERAGE(W6:W59)</f>
        <v>983.52830188679241</v>
      </c>
    </row>
    <row r="61" spans="1:96" ht="15" customHeight="1" thickTop="1" x14ac:dyDescent="0.25"/>
    <row r="62" spans="1:96" ht="15" customHeight="1" x14ac:dyDescent="0.25">
      <c r="A62" s="1" t="s">
        <v>32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40</v>
      </c>
    </row>
    <row r="67" spans="3:3" ht="15" customHeight="1" x14ac:dyDescent="0.25">
      <c r="C67" s="2" t="s">
        <v>36</v>
      </c>
    </row>
  </sheetData>
  <mergeCells count="1">
    <mergeCell ref="A4:W4"/>
  </mergeCells>
  <pageMargins left="0.25" right="0.25" top="0.5" bottom="0.25" header="0" footer="0"/>
  <pageSetup paperSize="5" scale="33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2" width="16.42578125" style="2" customWidth="1"/>
    <col min="3" max="3" width="16.28515625" style="2" customWidth="1"/>
    <col min="4" max="4" width="14.7109375" style="2" customWidth="1"/>
    <col min="5" max="5" width="15.5703125" style="2" customWidth="1"/>
    <col min="6" max="6" width="14.7109375" style="2" customWidth="1"/>
    <col min="7" max="7" width="12.7109375" style="2" customWidth="1"/>
    <col min="8" max="8" width="15.42578125" style="2" customWidth="1"/>
    <col min="9" max="9" width="12.7109375" style="2" hidden="1" customWidth="1"/>
    <col min="10" max="11" width="12.7109375" style="2" customWidth="1"/>
    <col min="12" max="12" width="15.140625" style="2" customWidth="1"/>
    <col min="13" max="13" width="15.85546875" style="2" customWidth="1"/>
    <col min="14" max="14" width="16.85546875" style="2" customWidth="1"/>
    <col min="15" max="15" width="15.28515625" style="2" customWidth="1"/>
    <col min="16" max="16" width="15.140625" style="2" customWidth="1"/>
    <col min="17" max="23" width="13.7109375" style="2" customWidth="1"/>
    <col min="24" max="16384" width="9.140625" style="2"/>
  </cols>
  <sheetData>
    <row r="1" spans="1:96" s="3" customFormat="1" ht="45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24</v>
      </c>
      <c r="U1" s="3" t="s">
        <v>25</v>
      </c>
      <c r="V1" s="3" t="s">
        <v>20</v>
      </c>
      <c r="W1" s="3" t="s">
        <v>21</v>
      </c>
    </row>
    <row r="2" spans="1:96" s="19" customFormat="1" ht="15" customHeight="1" x14ac:dyDescent="0.25">
      <c r="A2" s="19" t="s">
        <v>30</v>
      </c>
      <c r="B2" s="5">
        <v>586779294.84999979</v>
      </c>
      <c r="C2" s="5">
        <v>530820965.00100005</v>
      </c>
      <c r="D2" s="5">
        <v>5405046</v>
      </c>
      <c r="E2" s="5">
        <v>50553283.849000007</v>
      </c>
      <c r="F2" s="5">
        <v>1791316.35</v>
      </c>
      <c r="G2" s="5">
        <v>230814.95</v>
      </c>
      <c r="H2" s="5">
        <v>48531152.548999995</v>
      </c>
      <c r="I2" s="5">
        <v>419505.07</v>
      </c>
      <c r="J2" s="5">
        <v>260932.15999999997</v>
      </c>
      <c r="K2" s="5">
        <v>158572.91</v>
      </c>
      <c r="L2" s="5">
        <v>48111647.479000002</v>
      </c>
      <c r="M2" s="5">
        <v>22202016.529999997</v>
      </c>
      <c r="N2" s="5">
        <v>13300830.279999999</v>
      </c>
      <c r="O2" s="5">
        <v>7605727.4999999991</v>
      </c>
      <c r="P2" s="5">
        <v>2929094.0800000005</v>
      </c>
      <c r="Q2" s="5">
        <v>462238.81000000006</v>
      </c>
      <c r="R2" s="5">
        <v>324753.59999999992</v>
      </c>
      <c r="S2" s="5">
        <v>324753.59999999992</v>
      </c>
      <c r="T2" s="5">
        <v>711308.04999999993</v>
      </c>
      <c r="U2" s="6">
        <v>250925.03</v>
      </c>
      <c r="V2" s="17">
        <v>1421.9446714485678</v>
      </c>
      <c r="W2" s="10">
        <v>670.52830188679241</v>
      </c>
    </row>
    <row r="3" spans="1:96" s="19" customFormat="1" ht="15" customHeight="1" x14ac:dyDescent="0.25"/>
    <row r="4" spans="1:96" s="19" customFormat="1" ht="15" customHeight="1" x14ac:dyDescent="0.25">
      <c r="A4" s="30" t="s">
        <v>31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19" customFormat="1" ht="15" customHeight="1" x14ac:dyDescent="0.25"/>
    <row r="6" spans="1:96" ht="15" customHeight="1" x14ac:dyDescent="0.25">
      <c r="A6" s="8" t="str">
        <f>Mountaineer!A6</f>
        <v>7/2/2022 *</v>
      </c>
      <c r="B6" s="9">
        <v>5386896.0899999999</v>
      </c>
      <c r="C6" s="9">
        <v>4888827.3499999996</v>
      </c>
      <c r="D6" s="9">
        <v>39372</v>
      </c>
      <c r="E6" s="9">
        <f t="shared" ref="E6" si="0">B6-C6-D6</f>
        <v>458696.74000000022</v>
      </c>
      <c r="F6" s="9">
        <f>ROUND(E6*0.04,2)</f>
        <v>18347.87</v>
      </c>
      <c r="G6" s="9">
        <f t="shared" ref="G6" si="1">ROUND(E6*0,2)</f>
        <v>0</v>
      </c>
      <c r="H6" s="9">
        <f t="shared" ref="H6" si="2">E6-F6-G6</f>
        <v>440348.87000000023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2">
        <f t="shared" ref="L6" si="6">IF(J6+K6=I6,H6-I6,"ERROR")</f>
        <v>440348.87000000023</v>
      </c>
      <c r="M6" s="9">
        <f t="shared" ref="M6" si="7">ROUND(L6*0.465,2)</f>
        <v>204762.22</v>
      </c>
      <c r="N6" s="9">
        <f>ROUND(L6*0.3,2)+0.04</f>
        <v>132104.70000000001</v>
      </c>
      <c r="O6" s="9">
        <f>ROUND(L6*0.1285,2)</f>
        <v>56584.83</v>
      </c>
      <c r="P6" s="9">
        <f t="shared" ref="P6" si="8">ROUND((L6*0.07)*0.9,2)</f>
        <v>27741.98</v>
      </c>
      <c r="Q6" s="9">
        <f>ROUND(L6*0.01,2)-0.01</f>
        <v>4403.4799999999996</v>
      </c>
      <c r="R6" s="9">
        <f t="shared" ref="R6" si="9">ROUND((L6*0.0075)*0.9,2)</f>
        <v>2972.35</v>
      </c>
      <c r="S6" s="9">
        <f t="shared" ref="S6" si="10">ROUND((L6*0.0075)*0.9,2)</f>
        <v>2972.35</v>
      </c>
      <c r="T6" s="9">
        <f>ROUND(L6*0.02,2)-0.02</f>
        <v>8806.9599999999991</v>
      </c>
      <c r="U6" s="9">
        <f t="shared" ref="U6:U11" si="11">ROUND(M6*0,2)</f>
        <v>0</v>
      </c>
      <c r="V6" s="17">
        <f t="shared" ref="V6" si="12">E6/W6</f>
        <v>648.79312588401729</v>
      </c>
      <c r="W6" s="10">
        <v>707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44751</v>
      </c>
      <c r="B7" s="9">
        <v>12642968.73</v>
      </c>
      <c r="C7" s="9">
        <v>11431132.130000001</v>
      </c>
      <c r="D7" s="9">
        <v>120865</v>
      </c>
      <c r="E7" s="9">
        <f t="shared" ref="E7" si="13">B7-C7-D7</f>
        <v>1090971.5999999996</v>
      </c>
      <c r="F7" s="9">
        <f>ROUND(E7*0.04,2)</f>
        <v>43638.86</v>
      </c>
      <c r="G7" s="9">
        <f t="shared" ref="G7" si="14">ROUND(E7*0,2)</f>
        <v>0</v>
      </c>
      <c r="H7" s="9">
        <f t="shared" ref="H7" si="15">E7-F7-G7</f>
        <v>1047332.7399999996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22">
        <f t="shared" ref="L7" si="19">IF(J7+K7=I7,H7-I7,"ERROR")</f>
        <v>1047332.7399999996</v>
      </c>
      <c r="M7" s="9">
        <f t="shared" ref="M7" si="20">ROUND(L7*0.465,2)</f>
        <v>487009.72</v>
      </c>
      <c r="N7" s="9">
        <f>ROUND(L7*0.3,2)+0.04</f>
        <v>314199.86</v>
      </c>
      <c r="O7" s="9">
        <f>ROUND(L7*0.1285,2)-0.02</f>
        <v>134582.24000000002</v>
      </c>
      <c r="P7" s="9">
        <f t="shared" ref="P7" si="21">ROUND((L7*0.07)*0.9,2)</f>
        <v>65981.960000000006</v>
      </c>
      <c r="Q7" s="9">
        <f>ROUND(L7*0.01,2)-0.01</f>
        <v>10473.32</v>
      </c>
      <c r="R7" s="9">
        <f t="shared" ref="R7" si="22">ROUND((L7*0.0075)*0.9,2)</f>
        <v>7069.5</v>
      </c>
      <c r="S7" s="9">
        <f t="shared" ref="S7" si="23">ROUND((L7*0.0075)*0.9,2)</f>
        <v>7069.5</v>
      </c>
      <c r="T7" s="9">
        <f>ROUND(L7*0.02,2)-0.01</f>
        <v>20946.640000000003</v>
      </c>
      <c r="U7" s="9">
        <f t="shared" si="11"/>
        <v>0</v>
      </c>
      <c r="V7" s="17">
        <f t="shared" ref="V7" si="24">E7/W7</f>
        <v>1578.8301013024598</v>
      </c>
      <c r="W7" s="10">
        <v>691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44758</v>
      </c>
      <c r="B8" s="9">
        <v>11056809.689999999</v>
      </c>
      <c r="C8" s="9">
        <v>10002068.18</v>
      </c>
      <c r="D8" s="9">
        <v>107741</v>
      </c>
      <c r="E8" s="9">
        <f t="shared" ref="E8" si="25">B8-C8-D8</f>
        <v>947000.50999999978</v>
      </c>
      <c r="F8" s="9">
        <f>ROUND(E8*0.04,2)+0.01</f>
        <v>37880.03</v>
      </c>
      <c r="G8" s="9">
        <f t="shared" ref="G8" si="26">ROUND(E8*0,2)</f>
        <v>0</v>
      </c>
      <c r="H8" s="22">
        <f t="shared" ref="H8" si="27">E8-F8-G8</f>
        <v>909120.47999999975</v>
      </c>
      <c r="I8" s="9">
        <f t="shared" ref="I8" si="28">ROUND(H8*0,2)</f>
        <v>0</v>
      </c>
      <c r="J8" s="9">
        <f t="shared" ref="J8" si="29">ROUND((I8*0.58)+((I8*0.42)*0.1),2)</f>
        <v>0</v>
      </c>
      <c r="K8" s="9">
        <f t="shared" ref="K8" si="30">ROUND((I8*0.42)*0.9,2)</f>
        <v>0</v>
      </c>
      <c r="L8" s="22">
        <f t="shared" ref="L8" si="31">IF(J8+K8=I8,H8-I8,"ERROR")</f>
        <v>909120.47999999975</v>
      </c>
      <c r="M8" s="9">
        <f t="shared" ref="M8" si="32">ROUND(L8*0.465,2)</f>
        <v>422741.02</v>
      </c>
      <c r="N8" s="9">
        <f>ROUND(L8*0.3,2)+0.05</f>
        <v>272736.19</v>
      </c>
      <c r="O8" s="9">
        <f>ROUND(L8*0.1285,2)-0.02</f>
        <v>116821.95999999999</v>
      </c>
      <c r="P8" s="9">
        <f t="shared" ref="P8" si="33">ROUND((L8*0.07)*0.9,2)</f>
        <v>57274.59</v>
      </c>
      <c r="Q8" s="9">
        <f>ROUND(L8*0.01,2)</f>
        <v>9091.2000000000007</v>
      </c>
      <c r="R8" s="9">
        <f t="shared" ref="R8" si="34">ROUND((L8*0.0075)*0.9,2)</f>
        <v>6136.56</v>
      </c>
      <c r="S8" s="9">
        <f t="shared" ref="S8" si="35">ROUND((L8*0.0075)*0.9,2)</f>
        <v>6136.56</v>
      </c>
      <c r="T8" s="9">
        <f>ROUND(L8*0.02,2)-0.01</f>
        <v>18182.400000000001</v>
      </c>
      <c r="U8" s="9">
        <f t="shared" si="11"/>
        <v>0</v>
      </c>
      <c r="V8" s="17">
        <f t="shared" ref="V8" si="36">E8/W8</f>
        <v>1386.5307613469981</v>
      </c>
      <c r="W8" s="10">
        <v>683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44765</v>
      </c>
      <c r="B9" s="9">
        <v>11700635.779999999</v>
      </c>
      <c r="C9" s="9">
        <v>10636270.279999999</v>
      </c>
      <c r="D9" s="9">
        <v>115882</v>
      </c>
      <c r="E9" s="9">
        <f t="shared" ref="E9" si="37">B9-C9-D9</f>
        <v>948483.5</v>
      </c>
      <c r="F9" s="9">
        <f>ROUND(E9*0.04,2)+0.01</f>
        <v>37939.35</v>
      </c>
      <c r="G9" s="9">
        <f t="shared" ref="G9" si="38">ROUND(E9*0,2)</f>
        <v>0</v>
      </c>
      <c r="H9" s="22">
        <f t="shared" ref="H9" si="39">E9-F9-G9</f>
        <v>910544.15</v>
      </c>
      <c r="I9" s="9">
        <f t="shared" ref="I9" si="40">ROUND(H9*0,2)</f>
        <v>0</v>
      </c>
      <c r="J9" s="9">
        <f t="shared" ref="J9" si="41">ROUND((I9*0.58)+((I9*0.42)*0.1),2)</f>
        <v>0</v>
      </c>
      <c r="K9" s="9">
        <f t="shared" ref="K9" si="42">ROUND((I9*0.42)*0.9,2)</f>
        <v>0</v>
      </c>
      <c r="L9" s="22">
        <f t="shared" ref="L9" si="43">IF(J9+K9=I9,H9-I9,"ERROR")</f>
        <v>910544.15</v>
      </c>
      <c r="M9" s="9">
        <f t="shared" ref="M9" si="44">ROUND(L9*0.465,2)</f>
        <v>423403.03</v>
      </c>
      <c r="N9" s="9">
        <f>ROUND(L9*0.3,2)+0.01</f>
        <v>273163.26</v>
      </c>
      <c r="O9" s="9">
        <f>ROUND(L9*0.1285,2)</f>
        <v>117004.92</v>
      </c>
      <c r="P9" s="9">
        <f t="shared" ref="P9" si="45">ROUND((L9*0.07)*0.9,2)</f>
        <v>57364.28</v>
      </c>
      <c r="Q9" s="9">
        <f>ROUND(L9*0.01,2)</f>
        <v>9105.44</v>
      </c>
      <c r="R9" s="9">
        <f t="shared" ref="R9" si="46">ROUND((L9*0.0075)*0.9,2)</f>
        <v>6146.17</v>
      </c>
      <c r="S9" s="9">
        <f t="shared" ref="S9" si="47">ROUND((L9*0.0075)*0.9,2)</f>
        <v>6146.17</v>
      </c>
      <c r="T9" s="9">
        <f>ROUND(L9*0.02,2)</f>
        <v>18210.88</v>
      </c>
      <c r="U9" s="9">
        <f t="shared" si="11"/>
        <v>0</v>
      </c>
      <c r="V9" s="17">
        <f t="shared" ref="V9" si="48">E9/W9</f>
        <v>1378.609738372093</v>
      </c>
      <c r="W9" s="10">
        <v>688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44772</v>
      </c>
      <c r="B10" s="9">
        <v>12448789.640000001</v>
      </c>
      <c r="C10" s="9">
        <v>11345019.300000001</v>
      </c>
      <c r="D10" s="9">
        <v>125088</v>
      </c>
      <c r="E10" s="9">
        <f t="shared" ref="E10" si="49">B10-C10-D10</f>
        <v>978682.33999999985</v>
      </c>
      <c r="F10" s="9">
        <f>ROUND(E10*0.04,2)</f>
        <v>39147.29</v>
      </c>
      <c r="G10" s="9">
        <f t="shared" ref="G10" si="50">ROUND(E10*0,2)</f>
        <v>0</v>
      </c>
      <c r="H10" s="22">
        <f t="shared" ref="H10" si="51">E10-F10-G10</f>
        <v>939535.04999999981</v>
      </c>
      <c r="I10" s="9">
        <f t="shared" ref="I10" si="52">ROUND(H10*0,2)</f>
        <v>0</v>
      </c>
      <c r="J10" s="9">
        <f t="shared" ref="J10" si="53">ROUND((I10*0.58)+((I10*0.42)*0.1),2)</f>
        <v>0</v>
      </c>
      <c r="K10" s="9">
        <f t="shared" ref="K10" si="54">ROUND((I10*0.42)*0.9,2)</f>
        <v>0</v>
      </c>
      <c r="L10" s="22">
        <f t="shared" ref="L10" si="55">IF(J10+K10=I10,H10-I10,"ERROR")</f>
        <v>939535.04999999981</v>
      </c>
      <c r="M10" s="9">
        <f t="shared" ref="M10" si="56">ROUND(L10*0.465,2)</f>
        <v>436883.8</v>
      </c>
      <c r="N10" s="9">
        <f>ROUND(L10*0.3,2)-0.05</f>
        <v>281860.47000000003</v>
      </c>
      <c r="O10" s="9">
        <f>ROUND(L10*0.1285,2)+0.02</f>
        <v>120730.27</v>
      </c>
      <c r="P10" s="9">
        <f t="shared" ref="P10" si="57">ROUND((L10*0.07)*0.9,2)</f>
        <v>59190.71</v>
      </c>
      <c r="Q10" s="9">
        <f>ROUND(L10*0.01,2)+0.01</f>
        <v>9395.36</v>
      </c>
      <c r="R10" s="9">
        <f t="shared" ref="R10" si="58">ROUND((L10*0.0075)*0.9,2)</f>
        <v>6341.86</v>
      </c>
      <c r="S10" s="9">
        <f t="shared" ref="S10" si="59">ROUND((L10*0.0075)*0.9,2)</f>
        <v>6341.86</v>
      </c>
      <c r="T10" s="9">
        <f>ROUND(L10*0.02,2)+0.02</f>
        <v>18790.72</v>
      </c>
      <c r="U10" s="9">
        <f t="shared" si="11"/>
        <v>0</v>
      </c>
      <c r="V10" s="17">
        <f t="shared" ref="V10" si="60">E10/W10</f>
        <v>1422.5034011627904</v>
      </c>
      <c r="W10" s="10">
        <v>688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44779</v>
      </c>
      <c r="B11" s="9">
        <v>12800938.469999999</v>
      </c>
      <c r="C11" s="9">
        <v>11585053.42</v>
      </c>
      <c r="D11" s="9">
        <v>118877</v>
      </c>
      <c r="E11" s="9">
        <f t="shared" ref="E11" si="61">B11-C11-D11</f>
        <v>1097008.0499999989</v>
      </c>
      <c r="F11" s="9">
        <f>ROUND(E11*0.04,2)</f>
        <v>43880.32</v>
      </c>
      <c r="G11" s="9">
        <f t="shared" ref="G11" si="62">ROUND(E11*0,2)</f>
        <v>0</v>
      </c>
      <c r="H11" s="22">
        <f t="shared" ref="H11" si="63">E11-F11-G11</f>
        <v>1053127.7299999988</v>
      </c>
      <c r="I11" s="9">
        <f t="shared" ref="I11" si="64">ROUND(H11*0,2)</f>
        <v>0</v>
      </c>
      <c r="J11" s="9">
        <f t="shared" ref="J11" si="65">ROUND((I11*0.58)+((I11*0.42)*0.1),2)</f>
        <v>0</v>
      </c>
      <c r="K11" s="9">
        <f t="shared" ref="K11" si="66">ROUND((I11*0.42)*0.9,2)</f>
        <v>0</v>
      </c>
      <c r="L11" s="22">
        <f t="shared" ref="L11" si="67">IF(J11+K11=I11,H11-I11,"ERROR")</f>
        <v>1053127.7299999988</v>
      </c>
      <c r="M11" s="9">
        <f t="shared" ref="M11" si="68">ROUND(L11*0.465,2)</f>
        <v>489704.39</v>
      </c>
      <c r="N11" s="9">
        <f>ROUND(L11*0.3,2)-0.01</f>
        <v>315938.31</v>
      </c>
      <c r="O11" s="9">
        <f>ROUND(L11*0.1285,2)+0.01</f>
        <v>135326.92000000001</v>
      </c>
      <c r="P11" s="9">
        <f t="shared" ref="P11" si="69">ROUND((L11*0.07)*0.9,2)</f>
        <v>66347.05</v>
      </c>
      <c r="Q11" s="9">
        <f>ROUND(L11*0.01,2)</f>
        <v>10531.28</v>
      </c>
      <c r="R11" s="9">
        <f t="shared" ref="R11" si="70">ROUND((L11*0.0075)*0.9,2)</f>
        <v>7108.61</v>
      </c>
      <c r="S11" s="9">
        <f t="shared" ref="S11" si="71">ROUND((L11*0.0075)*0.9,2)</f>
        <v>7108.61</v>
      </c>
      <c r="T11" s="9">
        <f>ROUND(L11*0.02,2)+0.01</f>
        <v>21062.559999999998</v>
      </c>
      <c r="U11" s="9">
        <f t="shared" si="11"/>
        <v>0</v>
      </c>
      <c r="V11" s="17">
        <f t="shared" ref="V11" si="72">E11/W11</f>
        <v>1606.1611273792078</v>
      </c>
      <c r="W11" s="10">
        <v>683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44786</v>
      </c>
      <c r="B12" s="9">
        <v>11948603.170000002</v>
      </c>
      <c r="C12" s="9">
        <v>10768630.18</v>
      </c>
      <c r="D12" s="9">
        <v>125062</v>
      </c>
      <c r="E12" s="9">
        <f t="shared" ref="E12" si="73">B12-C12-D12</f>
        <v>1054910.9900000021</v>
      </c>
      <c r="F12" s="9">
        <f>ROUND(E12*0.04,2)+0.01</f>
        <v>42196.450000000004</v>
      </c>
      <c r="G12" s="9">
        <f t="shared" ref="G12" si="74">ROUND(E12*0,2)</f>
        <v>0</v>
      </c>
      <c r="H12" s="22">
        <f t="shared" ref="H12" si="75">E12-F12-G12</f>
        <v>1012714.5400000021</v>
      </c>
      <c r="I12" s="9">
        <f t="shared" ref="I12" si="76">ROUND(H12*0,2)</f>
        <v>0</v>
      </c>
      <c r="J12" s="9">
        <f t="shared" ref="J12" si="77">ROUND((I12*0.58)+((I12*0.42)*0.1),2)</f>
        <v>0</v>
      </c>
      <c r="K12" s="9">
        <f t="shared" ref="K12" si="78">ROUND((I12*0.42)*0.9,2)</f>
        <v>0</v>
      </c>
      <c r="L12" s="22">
        <f t="shared" ref="L12" si="79">IF(J12+K12=I12,H12-I12,"ERROR")</f>
        <v>1012714.5400000021</v>
      </c>
      <c r="M12" s="9">
        <f t="shared" ref="M12" si="80">ROUND(L12*0.465,2)</f>
        <v>470912.26</v>
      </c>
      <c r="N12" s="9">
        <f>ROUND(L12*0.3,2)+0.03</f>
        <v>303814.39</v>
      </c>
      <c r="O12" s="9">
        <f>ROUND(L12*0.1285,2)-0.01</f>
        <v>130133.81000000001</v>
      </c>
      <c r="P12" s="9">
        <f t="shared" ref="P12" si="81">ROUND((L12*0.07)*0.9,2)</f>
        <v>63801.02</v>
      </c>
      <c r="Q12" s="9">
        <f>ROUND(L12*0.01,2)-0.01</f>
        <v>10127.14</v>
      </c>
      <c r="R12" s="9">
        <f t="shared" ref="R12" si="82">ROUND((L12*0.0075)*0.9,2)</f>
        <v>6835.82</v>
      </c>
      <c r="S12" s="9">
        <f t="shared" ref="S12" si="83">ROUND((L12*0.0075)*0.9,2)</f>
        <v>6835.82</v>
      </c>
      <c r="T12" s="9">
        <f>ROUND(L12*0.02,2)-0.01</f>
        <v>20254.280000000002</v>
      </c>
      <c r="U12" s="9">
        <f t="shared" ref="U12" si="84">ROUND(M12*0,2)</f>
        <v>0</v>
      </c>
      <c r="V12" s="17">
        <f t="shared" ref="V12" si="85">E12/W12</f>
        <v>1562.8310962962994</v>
      </c>
      <c r="W12" s="10">
        <v>675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44793</v>
      </c>
      <c r="B13" s="9">
        <v>11392637.27</v>
      </c>
      <c r="C13" s="9">
        <v>10384465.550000001</v>
      </c>
      <c r="D13" s="9">
        <v>113232</v>
      </c>
      <c r="E13" s="9">
        <f t="shared" ref="E13" si="86">B13-C13-D13</f>
        <v>894939.71999999881</v>
      </c>
      <c r="F13" s="9">
        <f>ROUND(E13*0.04,2)-0.01</f>
        <v>35797.579999999994</v>
      </c>
      <c r="G13" s="9">
        <f t="shared" ref="G13" si="87">ROUND(E13*0,2)</f>
        <v>0</v>
      </c>
      <c r="H13" s="22">
        <f t="shared" ref="H13" si="88">E13-F13-G13</f>
        <v>859142.13999999885</v>
      </c>
      <c r="I13" s="9">
        <f t="shared" ref="I13" si="89">ROUND(H13*0,2)</f>
        <v>0</v>
      </c>
      <c r="J13" s="9">
        <f t="shared" ref="J13" si="90">ROUND((I13*0.58)+((I13*0.42)*0.1),2)</f>
        <v>0</v>
      </c>
      <c r="K13" s="9">
        <f t="shared" ref="K13" si="91">ROUND((I13*0.42)*0.9,2)</f>
        <v>0</v>
      </c>
      <c r="L13" s="22">
        <f t="shared" ref="L13" si="92">IF(J13+K13=I13,H13-I13,"ERROR")</f>
        <v>859142.13999999885</v>
      </c>
      <c r="M13" s="9">
        <f t="shared" ref="M13" si="93">ROUND(L13*0.465,2)</f>
        <v>399501.1</v>
      </c>
      <c r="N13" s="9">
        <f>ROUND(L13*0.3,2)+0.01</f>
        <v>257742.65000000002</v>
      </c>
      <c r="O13" s="9">
        <f>ROUND(L13*0.1285,2)</f>
        <v>110399.76</v>
      </c>
      <c r="P13" s="9">
        <f t="shared" ref="P13" si="94">ROUND((L13*0.07)*0.9,2)</f>
        <v>54125.95</v>
      </c>
      <c r="Q13" s="9">
        <f>ROUND(L13*0.01,2)</f>
        <v>8591.42</v>
      </c>
      <c r="R13" s="9">
        <f t="shared" ref="R13" si="95">ROUND((L13*0.0075)*0.9,2)</f>
        <v>5799.21</v>
      </c>
      <c r="S13" s="9">
        <f t="shared" ref="S13" si="96">ROUND((L13*0.0075)*0.9,2)</f>
        <v>5799.21</v>
      </c>
      <c r="T13" s="9">
        <f>ROUND(L13*0.02,2)</f>
        <v>17182.84</v>
      </c>
      <c r="U13" s="9">
        <f t="shared" ref="U13" si="97">ROUND(M13*0,2)</f>
        <v>0</v>
      </c>
      <c r="V13" s="17">
        <f t="shared" ref="V13" si="98">E13/W13</f>
        <v>1308.3914035087703</v>
      </c>
      <c r="W13" s="10">
        <v>684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44800</v>
      </c>
      <c r="B14" s="9">
        <v>11533252.35</v>
      </c>
      <c r="C14" s="9">
        <v>10389450.34</v>
      </c>
      <c r="D14" s="9">
        <v>115323</v>
      </c>
      <c r="E14" s="9">
        <f t="shared" ref="E14" si="99">B14-C14-D14</f>
        <v>1028479.0099999998</v>
      </c>
      <c r="F14" s="9">
        <f>ROUND(E14*0.04,2)-0.01</f>
        <v>41139.15</v>
      </c>
      <c r="G14" s="9">
        <f t="shared" ref="G14" si="100">ROUND(E14*0,2)</f>
        <v>0</v>
      </c>
      <c r="H14" s="22">
        <f t="shared" ref="H14" si="101">E14-F14-G14</f>
        <v>987339.85999999975</v>
      </c>
      <c r="I14" s="9">
        <f t="shared" ref="I14" si="102">ROUND(H14*0,2)</f>
        <v>0</v>
      </c>
      <c r="J14" s="9">
        <f t="shared" ref="J14" si="103">ROUND((I14*0.58)+((I14*0.42)*0.1),2)</f>
        <v>0</v>
      </c>
      <c r="K14" s="9">
        <f t="shared" ref="K14" si="104">ROUND((I14*0.42)*0.9,2)</f>
        <v>0</v>
      </c>
      <c r="L14" s="22">
        <f t="shared" ref="L14" si="105">IF(J14+K14=I14,H14-I14,"ERROR")</f>
        <v>987339.85999999975</v>
      </c>
      <c r="M14" s="9">
        <f t="shared" ref="M14" si="106">ROUND(L14*0.465,2)</f>
        <v>459113.03</v>
      </c>
      <c r="N14" s="9">
        <f>ROUND(L14*0.3,2)</f>
        <v>296201.96000000002</v>
      </c>
      <c r="O14" s="9">
        <f>ROUND(L14*0.1285,2)+0.01</f>
        <v>126873.18</v>
      </c>
      <c r="P14" s="9">
        <f t="shared" ref="P14" si="107">ROUND((L14*0.07)*0.9,2)</f>
        <v>62202.41</v>
      </c>
      <c r="Q14" s="9">
        <f>ROUND(L14*0.01,2)</f>
        <v>9873.4</v>
      </c>
      <c r="R14" s="9">
        <f t="shared" ref="R14" si="108">ROUND((L14*0.0075)*0.9,2)</f>
        <v>6664.54</v>
      </c>
      <c r="S14" s="9">
        <f t="shared" ref="S14" si="109">ROUND((L14*0.0075)*0.9,2)</f>
        <v>6664.54</v>
      </c>
      <c r="T14" s="9">
        <f>ROUND(L14*0.02,2)</f>
        <v>19746.8</v>
      </c>
      <c r="U14" s="9">
        <f t="shared" ref="U14" si="110">ROUND(M14*0,2)</f>
        <v>0</v>
      </c>
      <c r="V14" s="17">
        <f t="shared" ref="V14" si="111">E14/W14</f>
        <v>1505.8257833089308</v>
      </c>
      <c r="W14" s="10">
        <v>683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44807</v>
      </c>
      <c r="B15" s="9">
        <v>12171326.52</v>
      </c>
      <c r="C15" s="9">
        <v>11081773.209999999</v>
      </c>
      <c r="D15" s="9">
        <v>124376</v>
      </c>
      <c r="E15" s="9">
        <f t="shared" ref="E15" si="112">B15-C15-D15</f>
        <v>965177.31000000052</v>
      </c>
      <c r="F15" s="9">
        <f>ROUND(E15*0.04,2)+0.01</f>
        <v>38607.1</v>
      </c>
      <c r="G15" s="9">
        <f t="shared" ref="G15" si="113">ROUND(E15*0,2)</f>
        <v>0</v>
      </c>
      <c r="H15" s="22">
        <f t="shared" ref="H15" si="114">E15-F15-G15</f>
        <v>926570.21000000054</v>
      </c>
      <c r="I15" s="9">
        <f t="shared" ref="I15" si="115">ROUND(H15*0,2)</f>
        <v>0</v>
      </c>
      <c r="J15" s="9">
        <f t="shared" ref="J15" si="116">ROUND((I15*0.58)+((I15*0.42)*0.1),2)</f>
        <v>0</v>
      </c>
      <c r="K15" s="9">
        <f t="shared" ref="K15" si="117">ROUND((I15*0.42)*0.9,2)</f>
        <v>0</v>
      </c>
      <c r="L15" s="22">
        <f t="shared" ref="L15" si="118">IF(J15+K15=I15,H15-I15,"ERROR")</f>
        <v>926570.21000000054</v>
      </c>
      <c r="M15" s="9">
        <f t="shared" ref="M15" si="119">ROUND(L15*0.465,2)</f>
        <v>430855.15</v>
      </c>
      <c r="N15" s="9">
        <f>ROUND(L15*0.3,2)+0.01</f>
        <v>277971.07</v>
      </c>
      <c r="O15" s="9">
        <f>ROUND(L15*0.1285,2)</f>
        <v>119064.27</v>
      </c>
      <c r="P15" s="9">
        <f t="shared" ref="P15" si="120">ROUND((L15*0.07)*0.9,2)</f>
        <v>58373.919999999998</v>
      </c>
      <c r="Q15" s="9">
        <f>ROUND(L15*0.01,2)</f>
        <v>9265.7000000000007</v>
      </c>
      <c r="R15" s="9">
        <f t="shared" ref="R15" si="121">ROUND((L15*0.0075)*0.9,2)</f>
        <v>6254.35</v>
      </c>
      <c r="S15" s="9">
        <f t="shared" ref="S15" si="122">ROUND((L15*0.0075)*0.9,2)</f>
        <v>6254.35</v>
      </c>
      <c r="T15" s="9">
        <f>ROUND(L15*0.02,2)</f>
        <v>18531.400000000001</v>
      </c>
      <c r="U15" s="9">
        <f t="shared" ref="U15" si="123">ROUND(M15*0,2)</f>
        <v>0</v>
      </c>
      <c r="V15" s="17">
        <f t="shared" ref="V15" si="124">E15/W15</f>
        <v>1421.4687923416798</v>
      </c>
      <c r="W15" s="10">
        <v>679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44814</v>
      </c>
      <c r="B16" s="9">
        <v>13387129.380000001</v>
      </c>
      <c r="C16" s="9">
        <v>12178262.370000001</v>
      </c>
      <c r="D16" s="9">
        <v>158279</v>
      </c>
      <c r="E16" s="9">
        <f t="shared" ref="E16" si="125">B16-C16-D16</f>
        <v>1050588.0099999998</v>
      </c>
      <c r="F16" s="9">
        <f>ROUND(E16*0.04,2)-0.01</f>
        <v>42023.509999999995</v>
      </c>
      <c r="G16" s="9">
        <f t="shared" ref="G16" si="126">ROUND(E16*0,2)</f>
        <v>0</v>
      </c>
      <c r="H16" s="22">
        <f t="shared" ref="H16" si="127">E16-F16-G16</f>
        <v>1008564.4999999998</v>
      </c>
      <c r="I16" s="9">
        <f t="shared" ref="I16" si="128">ROUND(H16*0,2)</f>
        <v>0</v>
      </c>
      <c r="J16" s="9">
        <f t="shared" ref="J16" si="129">ROUND((I16*0.58)+((I16*0.42)*0.1),2)</f>
        <v>0</v>
      </c>
      <c r="K16" s="9">
        <f t="shared" ref="K16" si="130">ROUND((I16*0.42)*0.9,2)</f>
        <v>0</v>
      </c>
      <c r="L16" s="22">
        <f t="shared" ref="L16" si="131">IF(J16+K16=I16,H16-I16,"ERROR")</f>
        <v>1008564.4999999998</v>
      </c>
      <c r="M16" s="9">
        <f t="shared" ref="M16" si="132">ROUND(L16*0.465,2)</f>
        <v>468982.49</v>
      </c>
      <c r="N16" s="9">
        <f>ROUND(L16*0.3,2)+0.03</f>
        <v>302569.38</v>
      </c>
      <c r="O16" s="9">
        <f>ROUND(L16*0.1285,2)-0.01</f>
        <v>129600.53</v>
      </c>
      <c r="P16" s="9">
        <f t="shared" ref="P16" si="133">ROUND((L16*0.07)*0.9,2)</f>
        <v>63539.56</v>
      </c>
      <c r="Q16" s="9">
        <f>ROUND(L16*0.01,2)-0.01</f>
        <v>10085.64</v>
      </c>
      <c r="R16" s="9">
        <f t="shared" ref="R16" si="134">ROUND((L16*0.0075)*0.9,2)</f>
        <v>6807.81</v>
      </c>
      <c r="S16" s="9">
        <f t="shared" ref="S16" si="135">ROUND((L16*0.0075)*0.9,2)</f>
        <v>6807.81</v>
      </c>
      <c r="T16" s="9">
        <f>ROUND(L16*0.02,2)-0.01</f>
        <v>20171.280000000002</v>
      </c>
      <c r="U16" s="9">
        <f t="shared" ref="U16" si="136">ROUND(M16*0,2)</f>
        <v>0</v>
      </c>
      <c r="V16" s="17">
        <f t="shared" ref="V16" si="137">E16/W16</f>
        <v>1535.9473830409354</v>
      </c>
      <c r="W16" s="10">
        <v>684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44821</v>
      </c>
      <c r="B17" s="9">
        <v>11487011.52</v>
      </c>
      <c r="C17" s="9">
        <v>10454005.41</v>
      </c>
      <c r="D17" s="9">
        <v>123341</v>
      </c>
      <c r="E17" s="9">
        <f t="shared" ref="E17" si="138">B17-C17-D17</f>
        <v>909665.1099999994</v>
      </c>
      <c r="F17" s="9">
        <f>ROUND(E17*0.04,2)</f>
        <v>36386.6</v>
      </c>
      <c r="G17" s="9">
        <f t="shared" ref="G17" si="139">ROUND(E17*0,2)</f>
        <v>0</v>
      </c>
      <c r="H17" s="22">
        <f t="shared" ref="H17" si="140">E17-F17-G17</f>
        <v>873278.50999999943</v>
      </c>
      <c r="I17" s="9">
        <f t="shared" ref="I17" si="141">ROUND(H17*0,2)</f>
        <v>0</v>
      </c>
      <c r="J17" s="9">
        <f t="shared" ref="J17" si="142">ROUND((I17*0.58)+((I17*0.42)*0.1),2)</f>
        <v>0</v>
      </c>
      <c r="K17" s="9">
        <f t="shared" ref="K17" si="143">ROUND((I17*0.42)*0.9,2)</f>
        <v>0</v>
      </c>
      <c r="L17" s="22">
        <f t="shared" ref="L17" si="144">IF(J17+K17=I17,H17-I17,"ERROR")</f>
        <v>873278.50999999943</v>
      </c>
      <c r="M17" s="9">
        <f t="shared" ref="M17" si="145">ROUND(L17*0.465,2)</f>
        <v>406074.51</v>
      </c>
      <c r="N17" s="9">
        <f>ROUND(L17*0.3,2)+0.02</f>
        <v>261983.56999999998</v>
      </c>
      <c r="O17" s="9">
        <f>ROUND(L17*0.1285,2)-0.01</f>
        <v>112216.28</v>
      </c>
      <c r="P17" s="9">
        <f t="shared" ref="P17" si="146">ROUND((L17*0.07)*0.9,2)</f>
        <v>55016.55</v>
      </c>
      <c r="Q17" s="9">
        <f>ROUND(L17*0.01,2)-0.01</f>
        <v>8732.7800000000007</v>
      </c>
      <c r="R17" s="9">
        <f t="shared" ref="R17" si="147">ROUND((L17*0.0075)*0.9,2)</f>
        <v>5894.63</v>
      </c>
      <c r="S17" s="9">
        <f t="shared" ref="S17" si="148">ROUND((L17*0.0075)*0.9,2)</f>
        <v>5894.63</v>
      </c>
      <c r="T17" s="9">
        <f>ROUND(L17*0.02,2)-0.01</f>
        <v>17465.560000000001</v>
      </c>
      <c r="U17" s="9">
        <f t="shared" ref="U17" si="149">ROUND(M17*0,2)</f>
        <v>0</v>
      </c>
      <c r="V17" s="17">
        <f t="shared" ref="V17" si="150">E17/W17</f>
        <v>1320.268664731494</v>
      </c>
      <c r="W17" s="10">
        <v>689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44828</v>
      </c>
      <c r="B18" s="9">
        <v>10921849.050000001</v>
      </c>
      <c r="C18" s="9">
        <v>9834948.129999999</v>
      </c>
      <c r="D18" s="9">
        <v>114983</v>
      </c>
      <c r="E18" s="9">
        <f t="shared" ref="E18" si="151">B18-C18-D18</f>
        <v>971917.92000000179</v>
      </c>
      <c r="F18" s="9">
        <f>ROUND(E18*0.04,2)</f>
        <v>38876.720000000001</v>
      </c>
      <c r="G18" s="9">
        <f t="shared" ref="G18" si="152">ROUND(E18*0,2)</f>
        <v>0</v>
      </c>
      <c r="H18" s="22">
        <f t="shared" ref="H18" si="153">E18-F18-G18</f>
        <v>933041.20000000182</v>
      </c>
      <c r="I18" s="9">
        <f t="shared" ref="I18" si="154">ROUND(H18*0,2)</f>
        <v>0</v>
      </c>
      <c r="J18" s="9">
        <f t="shared" ref="J18" si="155">ROUND((I18*0.58)+((I18*0.42)*0.1),2)</f>
        <v>0</v>
      </c>
      <c r="K18" s="9">
        <f t="shared" ref="K18" si="156">ROUND((I18*0.42)*0.9,2)</f>
        <v>0</v>
      </c>
      <c r="L18" s="22">
        <f t="shared" ref="L18" si="157">IF(J18+K18=I18,H18-I18,"ERROR")</f>
        <v>933041.20000000182</v>
      </c>
      <c r="M18" s="9">
        <f t="shared" ref="M18" si="158">ROUND(L18*0.465,2)</f>
        <v>433864.16</v>
      </c>
      <c r="N18" s="9">
        <f>ROUND(L18*0.3,2)-0.04</f>
        <v>279912.32000000001</v>
      </c>
      <c r="O18" s="9">
        <f>ROUND(L18*0.1285,2)+0.01</f>
        <v>119895.79999999999</v>
      </c>
      <c r="P18" s="9">
        <f t="shared" ref="P18" si="159">ROUND((L18*0.07)*0.9,2)</f>
        <v>58781.599999999999</v>
      </c>
      <c r="Q18" s="9">
        <f>ROUND(L18*0.01,2)+0.01</f>
        <v>9330.42</v>
      </c>
      <c r="R18" s="9">
        <f t="shared" ref="R18" si="160">ROUND((L18*0.0075)*0.9,2)</f>
        <v>6298.03</v>
      </c>
      <c r="S18" s="9">
        <f t="shared" ref="S18" si="161">ROUND((L18*0.0075)*0.9,2)</f>
        <v>6298.03</v>
      </c>
      <c r="T18" s="9">
        <f>ROUND(L18*0.02,2)+0.02</f>
        <v>18660.84</v>
      </c>
      <c r="U18" s="9">
        <f t="shared" ref="U18" si="162">ROUND(M18*0,2)</f>
        <v>0</v>
      </c>
      <c r="V18" s="17">
        <f t="shared" ref="V18" si="163">E18/W18</f>
        <v>1412.6713953488397</v>
      </c>
      <c r="W18" s="10">
        <v>688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44835</v>
      </c>
      <c r="B19" s="9">
        <v>10984292.9</v>
      </c>
      <c r="C19" s="9">
        <v>9864514.0199999996</v>
      </c>
      <c r="D19" s="9">
        <v>122312</v>
      </c>
      <c r="E19" s="9">
        <f t="shared" ref="E19" si="164">B19-C19-D19</f>
        <v>997466.88000000082</v>
      </c>
      <c r="F19" s="9">
        <f>ROUND(E19*0.04,2)</f>
        <v>39898.68</v>
      </c>
      <c r="G19" s="9">
        <f t="shared" ref="G19" si="165">ROUND(E19*0,2)</f>
        <v>0</v>
      </c>
      <c r="H19" s="22">
        <f t="shared" ref="H19" si="166">E19-F19-G19</f>
        <v>957568.20000000077</v>
      </c>
      <c r="I19" s="9">
        <f t="shared" ref="I19" si="167">ROUND(H19*0,2)</f>
        <v>0</v>
      </c>
      <c r="J19" s="9">
        <f t="shared" ref="J19" si="168">ROUND((I19*0.58)+((I19*0.42)*0.1),2)</f>
        <v>0</v>
      </c>
      <c r="K19" s="9">
        <f t="shared" ref="K19" si="169">ROUND((I19*0.42)*0.9,2)</f>
        <v>0</v>
      </c>
      <c r="L19" s="22">
        <f t="shared" ref="L19" si="170">IF(J19+K19=I19,H19-I19,"ERROR")</f>
        <v>957568.20000000077</v>
      </c>
      <c r="M19" s="9">
        <f t="shared" ref="M19" si="171">ROUND(L19*0.465,2)</f>
        <v>445269.21</v>
      </c>
      <c r="N19" s="9">
        <f>ROUND(L19*0.3,2)+0.03</f>
        <v>287270.49000000005</v>
      </c>
      <c r="O19" s="9">
        <f>ROUND(L19*0.1285,2)-0.03</f>
        <v>123047.48</v>
      </c>
      <c r="P19" s="9">
        <f t="shared" ref="P19" si="172">ROUND((L19*0.07)*0.9,2)</f>
        <v>60326.8</v>
      </c>
      <c r="Q19" s="9">
        <f>ROUND(L19*0.01,2)</f>
        <v>9575.68</v>
      </c>
      <c r="R19" s="9">
        <f t="shared" ref="R19" si="173">ROUND((L19*0.0075)*0.9,2)</f>
        <v>6463.59</v>
      </c>
      <c r="S19" s="9">
        <f t="shared" ref="S19" si="174">ROUND((L19*0.0075)*0.9,2)</f>
        <v>6463.59</v>
      </c>
      <c r="T19" s="9">
        <f>ROUND(L19*0.02,2)</f>
        <v>19151.36</v>
      </c>
      <c r="U19" s="9">
        <f t="shared" ref="U19" si="175">ROUND(M19*0,2)</f>
        <v>0</v>
      </c>
      <c r="V19" s="17">
        <f t="shared" ref="V19" si="176">E19/W19</f>
        <v>1469.0233873343163</v>
      </c>
      <c r="W19" s="10">
        <v>679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44842</v>
      </c>
      <c r="B20" s="9">
        <v>12037873.829999998</v>
      </c>
      <c r="C20" s="9">
        <v>10925496.340000002</v>
      </c>
      <c r="D20" s="9">
        <v>132159</v>
      </c>
      <c r="E20" s="9">
        <f t="shared" ref="E20" si="177">B20-C20-D20</f>
        <v>980218.4899999965</v>
      </c>
      <c r="F20" s="9">
        <f>ROUND(E20*0.04,2)</f>
        <v>39208.74</v>
      </c>
      <c r="G20" s="9">
        <f t="shared" ref="G20" si="178">ROUND(E20*0,2)</f>
        <v>0</v>
      </c>
      <c r="H20" s="22">
        <f t="shared" ref="H20" si="179">E20-F20-G20</f>
        <v>941009.74999999651</v>
      </c>
      <c r="I20" s="9">
        <f t="shared" ref="I20" si="180">ROUND(H20*0,2)</f>
        <v>0</v>
      </c>
      <c r="J20" s="9">
        <f t="shared" ref="J20" si="181">ROUND((I20*0.58)+((I20*0.42)*0.1),2)</f>
        <v>0</v>
      </c>
      <c r="K20" s="9">
        <f t="shared" ref="K20" si="182">ROUND((I20*0.42)*0.9,2)</f>
        <v>0</v>
      </c>
      <c r="L20" s="22">
        <f t="shared" ref="L20" si="183">IF(J20+K20=I20,H20-I20,"ERROR")</f>
        <v>941009.74999999651</v>
      </c>
      <c r="M20" s="9">
        <f t="shared" ref="M20" si="184">ROUND(L20*0.465,2)</f>
        <v>437569.53</v>
      </c>
      <c r="N20" s="9">
        <f>ROUND(L20*0.3,2)+0.01</f>
        <v>282302.93</v>
      </c>
      <c r="O20" s="9">
        <f>ROUND(L20*0.1285,2)-0.01</f>
        <v>120919.74</v>
      </c>
      <c r="P20" s="9">
        <f t="shared" ref="P20" si="185">ROUND((L20*0.07)*0.9,2)</f>
        <v>59283.61</v>
      </c>
      <c r="Q20" s="9">
        <f>ROUND(L20*0.01,2)</f>
        <v>9410.1</v>
      </c>
      <c r="R20" s="9">
        <f t="shared" ref="R20" si="186">ROUND((L20*0.0075)*0.9,2)</f>
        <v>6351.82</v>
      </c>
      <c r="S20" s="9">
        <f t="shared" ref="S20" si="187">ROUND((L20*0.0075)*0.9,2)</f>
        <v>6351.82</v>
      </c>
      <c r="T20" s="9">
        <f>ROUND(L20*0.02,2)+0.01</f>
        <v>18820.199999999997</v>
      </c>
      <c r="U20" s="9">
        <f t="shared" ref="U20" si="188">ROUND(M20*0,2)</f>
        <v>0</v>
      </c>
      <c r="V20" s="17">
        <f t="shared" ref="V20" si="189">E20/W20</f>
        <v>1426.8100291120763</v>
      </c>
      <c r="W20" s="10">
        <v>687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44849</v>
      </c>
      <c r="B21" s="9">
        <v>12517718.199999999</v>
      </c>
      <c r="C21" s="9">
        <v>11315953.209999999</v>
      </c>
      <c r="D21" s="9">
        <v>149561</v>
      </c>
      <c r="E21" s="9">
        <f t="shared" ref="E21" si="190">B21-C21-D21</f>
        <v>1052203.9900000002</v>
      </c>
      <c r="F21" s="9">
        <f>ROUND(E21*0.04,2)</f>
        <v>42088.160000000003</v>
      </c>
      <c r="G21" s="9">
        <f t="shared" ref="G21" si="191">ROUND(E21*0,2)</f>
        <v>0</v>
      </c>
      <c r="H21" s="22">
        <f t="shared" ref="H21" si="192">E21-F21-G21</f>
        <v>1010115.8300000002</v>
      </c>
      <c r="I21" s="9">
        <f t="shared" ref="I21" si="193">ROUND(H21*0,2)</f>
        <v>0</v>
      </c>
      <c r="J21" s="9">
        <f t="shared" ref="J21" si="194">ROUND((I21*0.58)+((I21*0.42)*0.1),2)</f>
        <v>0</v>
      </c>
      <c r="K21" s="9">
        <f t="shared" ref="K21" si="195">ROUND((I21*0.42)*0.9,2)</f>
        <v>0</v>
      </c>
      <c r="L21" s="22">
        <f t="shared" ref="L21" si="196">IF(J21+K21=I21,H21-I21,"ERROR")</f>
        <v>1010115.8300000002</v>
      </c>
      <c r="M21" s="9">
        <f t="shared" ref="M21" si="197">ROUND(L21*0.465,2)</f>
        <v>469703.86</v>
      </c>
      <c r="N21" s="9">
        <f>ROUND(L21*0.3,2)-0.01</f>
        <v>303034.74</v>
      </c>
      <c r="O21" s="9">
        <f>ROUND(L21*0.1285,2)+0.01</f>
        <v>129799.89</v>
      </c>
      <c r="P21" s="9">
        <f t="shared" ref="P21" si="198">ROUND((L21*0.07)*0.9,2)</f>
        <v>63637.3</v>
      </c>
      <c r="Q21" s="9">
        <f>ROUND(L21*0.01,2)</f>
        <v>10101.16</v>
      </c>
      <c r="R21" s="9">
        <f t="shared" ref="R21" si="199">ROUND((L21*0.0075)*0.9,2)</f>
        <v>6818.28</v>
      </c>
      <c r="S21" s="9">
        <f t="shared" ref="S21" si="200">ROUND((L21*0.0075)*0.9,2)</f>
        <v>6818.28</v>
      </c>
      <c r="T21" s="9">
        <f>ROUND(L21*0.02,2)</f>
        <v>20202.32</v>
      </c>
      <c r="U21" s="9">
        <f t="shared" ref="U21" si="201">ROUND(M21*0,2)</f>
        <v>0</v>
      </c>
      <c r="V21" s="17">
        <f t="shared" ref="V21" si="202">E21/W21</f>
        <v>1547.3588088235297</v>
      </c>
      <c r="W21" s="10">
        <v>680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44856</v>
      </c>
      <c r="B22" s="9">
        <v>10996149.02</v>
      </c>
      <c r="C22" s="9">
        <v>9971993.4299999997</v>
      </c>
      <c r="D22" s="9">
        <v>130822</v>
      </c>
      <c r="E22" s="9">
        <f t="shared" ref="E22" si="203">B22-C22-D22</f>
        <v>893333.58999999985</v>
      </c>
      <c r="F22" s="9">
        <f>ROUND(E22*0.04,2)-0.02</f>
        <v>35733.32</v>
      </c>
      <c r="G22" s="9">
        <f t="shared" ref="G22" si="204">ROUND(E22*0,2)</f>
        <v>0</v>
      </c>
      <c r="H22" s="22">
        <f t="shared" ref="H22" si="205">E22-F22-G22</f>
        <v>857600.2699999999</v>
      </c>
      <c r="I22" s="9">
        <f t="shared" ref="I22" si="206">ROUND(H22*0,2)</f>
        <v>0</v>
      </c>
      <c r="J22" s="9">
        <f t="shared" ref="J22" si="207">ROUND((I22*0.58)+((I22*0.42)*0.1),2)</f>
        <v>0</v>
      </c>
      <c r="K22" s="9">
        <f t="shared" ref="K22" si="208">ROUND((I22*0.42)*0.9,2)</f>
        <v>0</v>
      </c>
      <c r="L22" s="22">
        <f t="shared" ref="L22" si="209">IF(J22+K22=I22,H22-I22,"ERROR")</f>
        <v>857600.2699999999</v>
      </c>
      <c r="M22" s="9">
        <f t="shared" ref="M22" si="210">ROUND(L22*0.465,2)</f>
        <v>398784.13</v>
      </c>
      <c r="N22" s="9">
        <f>ROUND(L22*0.3,2)+0.02</f>
        <v>257280.09999999998</v>
      </c>
      <c r="O22" s="9">
        <f>ROUND(L22*0.1285,2)-0.01</f>
        <v>110201.62000000001</v>
      </c>
      <c r="P22" s="9">
        <f t="shared" ref="P22" si="211">ROUND((L22*0.07)*0.9,2)</f>
        <v>54028.82</v>
      </c>
      <c r="Q22" s="9">
        <f>ROUND(L22*0.01,2)</f>
        <v>8576</v>
      </c>
      <c r="R22" s="9">
        <f t="shared" ref="R22" si="212">ROUND((L22*0.0075)*0.9,2)</f>
        <v>5788.8</v>
      </c>
      <c r="S22" s="9">
        <f t="shared" ref="S22" si="213">ROUND((L22*0.0075)*0.9,2)</f>
        <v>5788.8</v>
      </c>
      <c r="T22" s="9">
        <f>ROUND(L22*0.02,2)-0.01</f>
        <v>17152</v>
      </c>
      <c r="U22" s="9">
        <f t="shared" ref="U22" si="214">ROUND(M22*0,2)</f>
        <v>0</v>
      </c>
      <c r="V22" s="17">
        <f t="shared" ref="V22" si="215">E22/W22</f>
        <v>1317.6011651917402</v>
      </c>
      <c r="W22" s="10">
        <v>678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44863</v>
      </c>
      <c r="B23" s="9">
        <v>11693639.540000001</v>
      </c>
      <c r="C23" s="9">
        <v>10670514.09</v>
      </c>
      <c r="D23" s="9">
        <v>138862</v>
      </c>
      <c r="E23" s="9">
        <f t="shared" ref="E23" si="216">B23-C23-D23</f>
        <v>884263.45000000112</v>
      </c>
      <c r="F23" s="9">
        <f>ROUND(E23*0.04,2)-0.01</f>
        <v>35370.53</v>
      </c>
      <c r="G23" s="9">
        <f t="shared" ref="G23" si="217">ROUND(E23*0,2)</f>
        <v>0</v>
      </c>
      <c r="H23" s="22">
        <f t="shared" ref="H23" si="218">E23-F23-G23</f>
        <v>848892.92000000109</v>
      </c>
      <c r="I23" s="9">
        <f t="shared" ref="I23" si="219">ROUND(H23*0,2)</f>
        <v>0</v>
      </c>
      <c r="J23" s="9">
        <f t="shared" ref="J23" si="220">ROUND((I23*0.58)+((I23*0.42)*0.1),2)</f>
        <v>0</v>
      </c>
      <c r="K23" s="9">
        <f t="shared" ref="K23" si="221">ROUND((I23*0.42)*0.9,2)</f>
        <v>0</v>
      </c>
      <c r="L23" s="22">
        <f t="shared" ref="L23" si="222">IF(J23+K23=I23,H23-I23,"ERROR")</f>
        <v>848892.92000000109</v>
      </c>
      <c r="M23" s="9">
        <f t="shared" ref="M23" si="223">ROUND(L23*0.465,2)</f>
        <v>394735.21</v>
      </c>
      <c r="N23" s="9">
        <f>ROUND(L23*0.3,2)+0.04</f>
        <v>254667.92</v>
      </c>
      <c r="O23" s="9">
        <f>ROUND(L23*0.1285,2)-0.02</f>
        <v>109082.72</v>
      </c>
      <c r="P23" s="9">
        <f t="shared" ref="P23" si="224">ROUND((L23*0.07)*0.9,2)</f>
        <v>53480.25</v>
      </c>
      <c r="Q23" s="9">
        <f>ROUND(L23*0.01,2)-0.01</f>
        <v>8488.92</v>
      </c>
      <c r="R23" s="9">
        <f t="shared" ref="R23" si="225">ROUND((L23*0.0075)*0.9,2)</f>
        <v>5730.03</v>
      </c>
      <c r="S23" s="9">
        <f t="shared" ref="S23" si="226">ROUND((L23*0.0075)*0.9,2)</f>
        <v>5730.03</v>
      </c>
      <c r="T23" s="9">
        <f>ROUND(L23*0.02,2)-0.02</f>
        <v>16977.84</v>
      </c>
      <c r="U23" s="9">
        <f t="shared" ref="U23" si="227">ROUND(M23*0,2)</f>
        <v>0</v>
      </c>
      <c r="V23" s="17">
        <f t="shared" ref="V23" si="228">E23/W23</f>
        <v>1281.5412318840597</v>
      </c>
      <c r="W23" s="10">
        <v>690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44870</v>
      </c>
      <c r="B24" s="9">
        <v>11397652.880000001</v>
      </c>
      <c r="C24" s="9">
        <v>10246972.02</v>
      </c>
      <c r="D24" s="9">
        <v>141627</v>
      </c>
      <c r="E24" s="9">
        <f t="shared" ref="E24" si="229">B24-C24-D24</f>
        <v>1009053.8600000013</v>
      </c>
      <c r="F24" s="9">
        <f>ROUND(E24*0.04,2)</f>
        <v>40362.15</v>
      </c>
      <c r="G24" s="9">
        <f t="shared" ref="G24" si="230">ROUND(E24*0,2)</f>
        <v>0</v>
      </c>
      <c r="H24" s="22">
        <f t="shared" ref="H24" si="231">E24-F24-G24</f>
        <v>968691.71000000124</v>
      </c>
      <c r="I24" s="9">
        <f t="shared" ref="I24" si="232">ROUND(H24*0,2)</f>
        <v>0</v>
      </c>
      <c r="J24" s="9">
        <f t="shared" ref="J24" si="233">ROUND((I24*0.58)+((I24*0.42)*0.1),2)</f>
        <v>0</v>
      </c>
      <c r="K24" s="9">
        <f t="shared" ref="K24" si="234">ROUND((I24*0.42)*0.9,2)</f>
        <v>0</v>
      </c>
      <c r="L24" s="22">
        <f t="shared" ref="L24" si="235">IF(J24+K24=I24,H24-I24,"ERROR")</f>
        <v>968691.71000000124</v>
      </c>
      <c r="M24" s="9">
        <f t="shared" ref="M24" si="236">ROUND(L24*0.465,2)</f>
        <v>450441.65</v>
      </c>
      <c r="N24" s="9">
        <f>ROUND(L24*0.3,2)-0.02</f>
        <v>290607.49</v>
      </c>
      <c r="O24" s="9">
        <f>ROUND(L24*0.1285,2)+0.01</f>
        <v>124476.89</v>
      </c>
      <c r="P24" s="9">
        <f t="shared" ref="P24" si="237">ROUND((L24*0.07)*0.9,2)</f>
        <v>61027.58</v>
      </c>
      <c r="Q24" s="9">
        <f>ROUND(L24*0.01,2)</f>
        <v>9686.92</v>
      </c>
      <c r="R24" s="9">
        <f t="shared" ref="R24" si="238">ROUND((L24*0.0075)*0.9,2)</f>
        <v>6538.67</v>
      </c>
      <c r="S24" s="9">
        <f t="shared" ref="S24" si="239">ROUND((L24*0.0075)*0.9,2)</f>
        <v>6538.67</v>
      </c>
      <c r="T24" s="9">
        <f>ROUND(L24*0.02,2)+0.01</f>
        <v>19373.84</v>
      </c>
      <c r="U24" s="9">
        <f t="shared" ref="U24" si="240">ROUND(M24*0,2)</f>
        <v>0</v>
      </c>
      <c r="V24" s="17">
        <f t="shared" ref="V24" si="241">E24/W24</f>
        <v>1477.3848609077618</v>
      </c>
      <c r="W24" s="10">
        <v>683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44877</v>
      </c>
      <c r="B25" s="9">
        <v>12032991.6</v>
      </c>
      <c r="C25" s="9">
        <v>10924990.699999999</v>
      </c>
      <c r="D25" s="9">
        <v>157739</v>
      </c>
      <c r="E25" s="9">
        <f t="shared" ref="E25" si="242">B25-C25-D25</f>
        <v>950261.90000000037</v>
      </c>
      <c r="F25" s="9">
        <f>ROUND(E25*0.04,2)-0.01</f>
        <v>38010.47</v>
      </c>
      <c r="G25" s="9">
        <f t="shared" ref="G25" si="243">ROUND(E25*0,2)</f>
        <v>0</v>
      </c>
      <c r="H25" s="22">
        <f t="shared" ref="H25" si="244">E25-F25-G25</f>
        <v>912251.4300000004</v>
      </c>
      <c r="I25" s="9">
        <f t="shared" ref="I25" si="245">ROUND(H25*0,2)</f>
        <v>0</v>
      </c>
      <c r="J25" s="9">
        <f t="shared" ref="J25" si="246">ROUND((I25*0.58)+((I25*0.42)*0.1),2)</f>
        <v>0</v>
      </c>
      <c r="K25" s="9">
        <f t="shared" ref="K25" si="247">ROUND((I25*0.42)*0.9,2)</f>
        <v>0</v>
      </c>
      <c r="L25" s="22">
        <f t="shared" ref="L25" si="248">IF(J25+K25=I25,H25-I25,"ERROR")</f>
        <v>912251.4300000004</v>
      </c>
      <c r="M25" s="9">
        <f t="shared" ref="M25" si="249">ROUND(L25*0.465,2)</f>
        <v>424196.91</v>
      </c>
      <c r="N25" s="9">
        <f>ROUND(L25*0.3,2)-0.04</f>
        <v>273675.39</v>
      </c>
      <c r="O25" s="9">
        <f>ROUND(L25*0.1285,2)+0.02</f>
        <v>117224.33</v>
      </c>
      <c r="P25" s="9">
        <f t="shared" ref="P25" si="250">ROUND((L25*0.07)*0.9,2)</f>
        <v>57471.839999999997</v>
      </c>
      <c r="Q25" s="9">
        <f>ROUND(L25*0.01,2)+0.01</f>
        <v>9122.52</v>
      </c>
      <c r="R25" s="9">
        <f t="shared" ref="R25" si="251">ROUND((L25*0.0075)*0.9,2)</f>
        <v>6157.7</v>
      </c>
      <c r="S25" s="9">
        <f t="shared" ref="S25" si="252">ROUND((L25*0.0075)*0.9,2)</f>
        <v>6157.7</v>
      </c>
      <c r="T25" s="9">
        <f>ROUND(L25*0.02,2)+0.01</f>
        <v>18245.039999999997</v>
      </c>
      <c r="U25" s="9">
        <f t="shared" ref="U25" si="253">ROUND(M25*0,2)</f>
        <v>0</v>
      </c>
      <c r="V25" s="17">
        <f t="shared" ref="V25" si="254">E25/W25</f>
        <v>1411.9790490341759</v>
      </c>
      <c r="W25" s="10">
        <v>673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44884</v>
      </c>
      <c r="B26" s="9">
        <v>10786143.24</v>
      </c>
      <c r="C26" s="9">
        <v>9761756.3800000008</v>
      </c>
      <c r="D26" s="9">
        <v>150547</v>
      </c>
      <c r="E26" s="9">
        <f t="shared" ref="E26" si="255">B26-C26-D26</f>
        <v>873839.8599999994</v>
      </c>
      <c r="F26" s="9">
        <f>ROUND(E26*0.04,2)+0.01</f>
        <v>34953.599999999999</v>
      </c>
      <c r="G26" s="9">
        <f t="shared" ref="G26" si="256">ROUND(E26*0,2)</f>
        <v>0</v>
      </c>
      <c r="H26" s="22">
        <f t="shared" ref="H26" si="257">E26-F26-G26</f>
        <v>838886.25999999943</v>
      </c>
      <c r="I26" s="9">
        <f t="shared" ref="I26" si="258">ROUND(H26*0,2)</f>
        <v>0</v>
      </c>
      <c r="J26" s="9">
        <f t="shared" ref="J26" si="259">ROUND((I26*0.58)+((I26*0.42)*0.1),2)</f>
        <v>0</v>
      </c>
      <c r="K26" s="9">
        <f t="shared" ref="K26" si="260">ROUND((I26*0.42)*0.9,2)</f>
        <v>0</v>
      </c>
      <c r="L26" s="22">
        <f t="shared" ref="L26" si="261">IF(J26+K26=I26,H26-I26,"ERROR")</f>
        <v>838886.25999999943</v>
      </c>
      <c r="M26" s="9">
        <f t="shared" ref="M26" si="262">ROUND(L26*0.465,2)</f>
        <v>390082.11</v>
      </c>
      <c r="N26" s="9">
        <f>ROUND(L26*0.3,2)+0.01</f>
        <v>251665.89</v>
      </c>
      <c r="O26" s="9">
        <f>ROUND(L26*0.1285,2)+0.01</f>
        <v>107796.89</v>
      </c>
      <c r="P26" s="9">
        <f t="shared" ref="P26" si="263">ROUND((L26*0.07)*0.9,2)</f>
        <v>52849.83</v>
      </c>
      <c r="Q26" s="9">
        <f>ROUND(L26*0.01,2)</f>
        <v>8388.86</v>
      </c>
      <c r="R26" s="9">
        <f t="shared" ref="R26" si="264">ROUND((L26*0.0075)*0.9,2)</f>
        <v>5662.48</v>
      </c>
      <c r="S26" s="9">
        <f t="shared" ref="S26" si="265">ROUND((L26*0.0075)*0.9,2)</f>
        <v>5662.48</v>
      </c>
      <c r="T26" s="9">
        <f>ROUND(L26*0.02,2)-0.01</f>
        <v>16777.72</v>
      </c>
      <c r="U26" s="9">
        <f t="shared" ref="U26" si="266">ROUND(M26*0,2)</f>
        <v>0</v>
      </c>
      <c r="V26" s="17">
        <f t="shared" ref="V26" si="267">E26/W26</f>
        <v>1323.9997878787869</v>
      </c>
      <c r="W26" s="10">
        <v>660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44891</v>
      </c>
      <c r="B27" s="9">
        <v>12334396.369999999</v>
      </c>
      <c r="C27" s="9">
        <v>11256697.120000001</v>
      </c>
      <c r="D27" s="9">
        <v>161817</v>
      </c>
      <c r="E27" s="9">
        <f t="shared" ref="E27" si="268">B27-C27-D27</f>
        <v>915882.24999999814</v>
      </c>
      <c r="F27" s="9">
        <f>ROUND(E27*0.04,2)</f>
        <v>36635.29</v>
      </c>
      <c r="G27" s="9">
        <f t="shared" ref="G27" si="269">ROUND(E27*0,2)</f>
        <v>0</v>
      </c>
      <c r="H27" s="22">
        <f t="shared" ref="H27" si="270">E27-F27-G27</f>
        <v>879246.9599999981</v>
      </c>
      <c r="I27" s="9">
        <f t="shared" ref="I27" si="271">ROUND(H27*0,2)</f>
        <v>0</v>
      </c>
      <c r="J27" s="9">
        <f t="shared" ref="J27" si="272">ROUND((I27*0.58)+((I27*0.42)*0.1),2)</f>
        <v>0</v>
      </c>
      <c r="K27" s="9">
        <f t="shared" ref="K27" si="273">ROUND((I27*0.42)*0.9,2)</f>
        <v>0</v>
      </c>
      <c r="L27" s="22">
        <f t="shared" ref="L27" si="274">IF(J27+K27=I27,H27-I27,"ERROR")</f>
        <v>879246.9599999981</v>
      </c>
      <c r="M27" s="9">
        <f t="shared" ref="M27" si="275">ROUND(L27*0.465,2)</f>
        <v>408849.84</v>
      </c>
      <c r="N27" s="9">
        <f>ROUND(L27*0.3,2)+0.04</f>
        <v>263774.13</v>
      </c>
      <c r="O27" s="9">
        <f>ROUND(L27*0.1285,2)-0.02</f>
        <v>112983.20999999999</v>
      </c>
      <c r="P27" s="9">
        <f t="shared" ref="P27" si="276">ROUND((L27*0.07)*0.9,2)</f>
        <v>55392.56</v>
      </c>
      <c r="Q27" s="9">
        <f>ROUND(L27*0.01,2)-0.01</f>
        <v>8792.4599999999991</v>
      </c>
      <c r="R27" s="9">
        <f t="shared" ref="R27" si="277">ROUND((L27*0.0075)*0.9,2)</f>
        <v>5934.92</v>
      </c>
      <c r="S27" s="9">
        <f t="shared" ref="S27" si="278">ROUND((L27*0.0075)*0.9,2)</f>
        <v>5934.92</v>
      </c>
      <c r="T27" s="9">
        <f>ROUND(L27*0.02,2)-0.02</f>
        <v>17584.919999999998</v>
      </c>
      <c r="U27" s="9">
        <f t="shared" ref="U27" si="279">ROUND(M27*0,2)</f>
        <v>0</v>
      </c>
      <c r="V27" s="17">
        <f t="shared" ref="V27" si="280">E27/W27</f>
        <v>1340.9696193264981</v>
      </c>
      <c r="W27" s="10">
        <v>683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44898</v>
      </c>
      <c r="B28" s="9">
        <v>10845360.33</v>
      </c>
      <c r="C28" s="9">
        <v>9893208.7199999988</v>
      </c>
      <c r="D28" s="9">
        <v>138246</v>
      </c>
      <c r="E28" s="9">
        <f t="shared" ref="E28" si="281">B28-C28-D28</f>
        <v>813905.61000000127</v>
      </c>
      <c r="F28" s="9">
        <f>ROUND(E28*0.04,2)</f>
        <v>32556.22</v>
      </c>
      <c r="G28" s="9">
        <f t="shared" ref="G28" si="282">ROUND(E28*0,2)</f>
        <v>0</v>
      </c>
      <c r="H28" s="22">
        <f t="shared" ref="H28" si="283">E28-F28-G28</f>
        <v>781349.39000000129</v>
      </c>
      <c r="I28" s="9">
        <f t="shared" ref="I28" si="284">ROUND(H28*0,2)</f>
        <v>0</v>
      </c>
      <c r="J28" s="9">
        <f t="shared" ref="J28" si="285">ROUND((I28*0.58)+((I28*0.42)*0.1),2)</f>
        <v>0</v>
      </c>
      <c r="K28" s="9">
        <f t="shared" ref="K28" si="286">ROUND((I28*0.42)*0.9,2)</f>
        <v>0</v>
      </c>
      <c r="L28" s="22">
        <f t="shared" ref="L28" si="287">IF(J28+K28=I28,H28-I28,"ERROR")</f>
        <v>781349.39000000129</v>
      </c>
      <c r="M28" s="9">
        <f t="shared" ref="M28" si="288">ROUND(L28*0.465,2)</f>
        <v>363327.47</v>
      </c>
      <c r="N28" s="9">
        <f>ROUND(L28*0.3,2)-0.04</f>
        <v>234404.78</v>
      </c>
      <c r="O28" s="9">
        <f>ROUND(L28*0.1285,2)+0.01</f>
        <v>100403.40999999999</v>
      </c>
      <c r="P28" s="9">
        <f t="shared" ref="P28" si="289">ROUND((L28*0.07)*0.9,2)</f>
        <v>49225.01</v>
      </c>
      <c r="Q28" s="9">
        <f>ROUND(L28*0.01,2)+0.01</f>
        <v>7813.5</v>
      </c>
      <c r="R28" s="9">
        <f t="shared" ref="R28" si="290">ROUND((L28*0.0075)*0.9,2)</f>
        <v>5274.11</v>
      </c>
      <c r="S28" s="9">
        <f t="shared" ref="S28" si="291">ROUND((L28*0.0075)*0.9,2)</f>
        <v>5274.11</v>
      </c>
      <c r="T28" s="9">
        <f>ROUND(L28*0.02,2)+0.01</f>
        <v>15627</v>
      </c>
      <c r="U28" s="9">
        <f t="shared" ref="U28" si="292">ROUND(M28*0,2)</f>
        <v>0</v>
      </c>
      <c r="V28" s="17">
        <f t="shared" ref="V28" si="293">E28/W28</f>
        <v>1211.1690625000019</v>
      </c>
      <c r="W28" s="10">
        <v>672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44905</v>
      </c>
      <c r="B29" s="9">
        <v>11304272.890000001</v>
      </c>
      <c r="C29" s="9">
        <v>10204781.5</v>
      </c>
      <c r="D29" s="9">
        <v>130923</v>
      </c>
      <c r="E29" s="9">
        <f t="shared" ref="E29" si="294">B29-C29-D29</f>
        <v>968568.3900000006</v>
      </c>
      <c r="F29" s="9">
        <f>ROUND(E29*0.04,2)</f>
        <v>38742.74</v>
      </c>
      <c r="G29" s="9">
        <f t="shared" ref="G29" si="295">ROUND(E29*0,2)</f>
        <v>0</v>
      </c>
      <c r="H29" s="22">
        <f t="shared" ref="H29" si="296">E29-F29-G29</f>
        <v>929825.65000000061</v>
      </c>
      <c r="I29" s="9">
        <f t="shared" ref="I29" si="297">ROUND(H29*0,2)</f>
        <v>0</v>
      </c>
      <c r="J29" s="9">
        <f t="shared" ref="J29" si="298">ROUND((I29*0.58)+((I29*0.42)*0.1),2)</f>
        <v>0</v>
      </c>
      <c r="K29" s="9">
        <f t="shared" ref="K29" si="299">ROUND((I29*0.42)*0.9,2)</f>
        <v>0</v>
      </c>
      <c r="L29" s="22">
        <f t="shared" ref="L29" si="300">IF(J29+K29=I29,H29-I29,"ERROR")</f>
        <v>929825.65000000061</v>
      </c>
      <c r="M29" s="9">
        <f t="shared" ref="M29" si="301">ROUND(L29*0.465,2)</f>
        <v>432368.93</v>
      </c>
      <c r="N29" s="9">
        <f>ROUND(L29*0.3,2)-0.03</f>
        <v>278947.67</v>
      </c>
      <c r="O29" s="9">
        <f>ROUND(L29*0.1285,2)+0.01</f>
        <v>119482.61</v>
      </c>
      <c r="P29" s="9">
        <f t="shared" ref="P29" si="302">ROUND((L29*0.07)*0.9,2)</f>
        <v>58579.02</v>
      </c>
      <c r="Q29" s="9">
        <f>ROUND(L29*0.01,2)</f>
        <v>9298.26</v>
      </c>
      <c r="R29" s="9">
        <f t="shared" ref="R29" si="303">ROUND((L29*0.0075)*0.9,2)</f>
        <v>6276.32</v>
      </c>
      <c r="S29" s="9">
        <f t="shared" ref="S29" si="304">ROUND((L29*0.0075)*0.9,2)</f>
        <v>6276.32</v>
      </c>
      <c r="T29" s="9">
        <f>ROUND(L29*0.02,2)+0.01</f>
        <v>18596.519999999997</v>
      </c>
      <c r="U29" s="9">
        <f t="shared" ref="U29" si="305">ROUND(M29*0,2)</f>
        <v>0</v>
      </c>
      <c r="V29" s="17">
        <f t="shared" ref="V29" si="306">E29/W29</f>
        <v>1439.1803714710261</v>
      </c>
      <c r="W29" s="10">
        <v>673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44912</v>
      </c>
      <c r="B30" s="9">
        <v>10328721.75</v>
      </c>
      <c r="C30" s="9">
        <v>9335882.3499999996</v>
      </c>
      <c r="D30" s="9">
        <v>124973</v>
      </c>
      <c r="E30" s="9">
        <f t="shared" ref="E30" si="307">B30-C30-D30</f>
        <v>867866.40000000037</v>
      </c>
      <c r="F30" s="9">
        <f>ROUND(E30*0.04,2)-0.01</f>
        <v>34714.65</v>
      </c>
      <c r="G30" s="9">
        <f t="shared" ref="G30" si="308">ROUND(E30*0,2)</f>
        <v>0</v>
      </c>
      <c r="H30" s="22">
        <f t="shared" ref="H30" si="309">E30-F30-G30</f>
        <v>833151.75000000035</v>
      </c>
      <c r="I30" s="9">
        <f t="shared" ref="I30" si="310">ROUND(H30*0,2)</f>
        <v>0</v>
      </c>
      <c r="J30" s="9">
        <f t="shared" ref="J30" si="311">ROUND((I30*0.58)+((I30*0.42)*0.1),2)</f>
        <v>0</v>
      </c>
      <c r="K30" s="9">
        <f t="shared" ref="K30" si="312">ROUND((I30*0.42)*0.9,2)</f>
        <v>0</v>
      </c>
      <c r="L30" s="22">
        <f t="shared" ref="L30" si="313">IF(J30+K30=I30,H30-I30,"ERROR")</f>
        <v>833151.75000000035</v>
      </c>
      <c r="M30" s="9">
        <f t="shared" ref="M30:M36" si="314">ROUND(L30*0.465,2)</f>
        <v>387415.56</v>
      </c>
      <c r="N30" s="9">
        <f>ROUND(L30*0.3,2)-0.02</f>
        <v>249945.51</v>
      </c>
      <c r="O30" s="9">
        <f>ROUND(L30*0.1285,2)+0.02</f>
        <v>107060.02</v>
      </c>
      <c r="P30" s="9">
        <f t="shared" ref="P30" si="315">ROUND((L30*0.07)*0.9,2)</f>
        <v>52488.56</v>
      </c>
      <c r="Q30" s="9">
        <f>ROUND(L30*0.01,2)</f>
        <v>8331.52</v>
      </c>
      <c r="R30" s="9">
        <f t="shared" ref="R30" si="316">ROUND((L30*0.0075)*0.9,2)</f>
        <v>5623.77</v>
      </c>
      <c r="S30" s="9">
        <f t="shared" ref="S30" si="317">ROUND((L30*0.0075)*0.9,2)</f>
        <v>5623.77</v>
      </c>
      <c r="T30" s="9">
        <f>ROUND(L30*0.02,2)</f>
        <v>16663.04</v>
      </c>
      <c r="U30" s="9">
        <f t="shared" ref="U30" si="318">ROUND(M30*0,2)</f>
        <v>0</v>
      </c>
      <c r="V30" s="17">
        <f t="shared" ref="V30" si="319">E30/W30</f>
        <v>1324.9868702290082</v>
      </c>
      <c r="W30" s="10">
        <v>655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44919</v>
      </c>
      <c r="B31" s="23">
        <v>7648572.5499999998</v>
      </c>
      <c r="C31" s="9">
        <v>6918211.9299999997</v>
      </c>
      <c r="D31" s="9">
        <v>95860</v>
      </c>
      <c r="E31" s="9">
        <f t="shared" ref="E31" si="320">B31-C31-D31</f>
        <v>634500.62000000011</v>
      </c>
      <c r="F31" s="9">
        <f>ROUND(E31*0.04,2)+0.01</f>
        <v>25380.03</v>
      </c>
      <c r="G31" s="9">
        <f t="shared" ref="G31" si="321">ROUND(E31*0,2)</f>
        <v>0</v>
      </c>
      <c r="H31" s="22">
        <f t="shared" ref="H31" si="322">E31-F31-G31</f>
        <v>609120.59000000008</v>
      </c>
      <c r="I31" s="9">
        <f t="shared" ref="I31" si="323">ROUND(H31*0,2)</f>
        <v>0</v>
      </c>
      <c r="J31" s="9">
        <f t="shared" ref="J31" si="324">ROUND((I31*0.58)+((I31*0.42)*0.1),2)</f>
        <v>0</v>
      </c>
      <c r="K31" s="9">
        <f t="shared" ref="K31" si="325">ROUND((I31*0.42)*0.9,2)</f>
        <v>0</v>
      </c>
      <c r="L31" s="22">
        <f t="shared" ref="L31" si="326">IF(J31+K31=I31,H31-I31,"ERROR")</f>
        <v>609120.59000000008</v>
      </c>
      <c r="M31" s="9">
        <f t="shared" si="314"/>
        <v>283241.07</v>
      </c>
      <c r="N31" s="9">
        <f>ROUND(L31*0.3,2)+0.05</f>
        <v>182736.22999999998</v>
      </c>
      <c r="O31" s="9">
        <f>ROUND(L31*0.1285,2)-0.03</f>
        <v>78271.97</v>
      </c>
      <c r="P31" s="9">
        <f t="shared" ref="P31" si="327">ROUND((L31*0.07)*0.9,2)</f>
        <v>38374.6</v>
      </c>
      <c r="Q31" s="9">
        <f>ROUND(L31*0.01,2)-0.01</f>
        <v>6091.2</v>
      </c>
      <c r="R31" s="9">
        <f t="shared" ref="R31" si="328">ROUND((L31*0.0075)*0.9,2)</f>
        <v>4111.5600000000004</v>
      </c>
      <c r="S31" s="9">
        <f t="shared" ref="S31" si="329">ROUND((L31*0.0075)*0.9,2)</f>
        <v>4111.5600000000004</v>
      </c>
      <c r="T31" s="9">
        <v>9690.23</v>
      </c>
      <c r="U31" s="9">
        <v>2492.17</v>
      </c>
      <c r="V31" s="17">
        <f t="shared" ref="V31" si="330">E31/W31</f>
        <v>964.28665653495455</v>
      </c>
      <c r="W31" s="10">
        <v>658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44926</v>
      </c>
      <c r="B32" s="23">
        <v>17455525.960000001</v>
      </c>
      <c r="C32" s="9">
        <v>15707601.550000001</v>
      </c>
      <c r="D32" s="9">
        <v>145895</v>
      </c>
      <c r="E32" s="9">
        <f t="shared" ref="E32" si="331">B32-C32-D32</f>
        <v>1602029.4100000001</v>
      </c>
      <c r="F32" s="9">
        <f>ROUND(E32*0.04,2)-0.01</f>
        <v>64081.17</v>
      </c>
      <c r="G32" s="9">
        <f t="shared" ref="G32" si="332">ROUND(E32*0,2)</f>
        <v>0</v>
      </c>
      <c r="H32" s="22">
        <f t="shared" ref="H32" si="333">E32-F32-G32</f>
        <v>1537948.2400000002</v>
      </c>
      <c r="I32" s="9">
        <f t="shared" ref="I32" si="334">ROUND(H32*0,2)</f>
        <v>0</v>
      </c>
      <c r="J32" s="9">
        <f t="shared" ref="J32" si="335">ROUND((I32*0.58)+((I32*0.42)*0.1),2)</f>
        <v>0</v>
      </c>
      <c r="K32" s="9">
        <f t="shared" ref="K32" si="336">ROUND((I32*0.42)*0.9,2)</f>
        <v>0</v>
      </c>
      <c r="L32" s="22">
        <f t="shared" ref="L32" si="337">IF(J32+K32=I32,H32-I32,"ERROR")</f>
        <v>1537948.2400000002</v>
      </c>
      <c r="M32" s="9">
        <f t="shared" si="314"/>
        <v>715145.93</v>
      </c>
      <c r="N32" s="9">
        <f>ROUND(L32*0.3,2)+0.01</f>
        <v>461384.48</v>
      </c>
      <c r="O32" s="9">
        <f>ROUND(L32*0.1285,2)</f>
        <v>197626.35</v>
      </c>
      <c r="P32" s="9">
        <f t="shared" ref="P32" si="338">ROUND((L32*0.07)*0.9,2)</f>
        <v>96890.74</v>
      </c>
      <c r="Q32" s="9">
        <f>ROUND(L32*0.01,2)</f>
        <v>15379.48</v>
      </c>
      <c r="R32" s="9">
        <f t="shared" ref="R32" si="339">ROUND((L32*0.0075)*0.9,2)</f>
        <v>10381.15</v>
      </c>
      <c r="S32" s="9">
        <f t="shared" ref="S32" si="340">ROUND((L32*0.0075)*0.9,2)</f>
        <v>10381.15</v>
      </c>
      <c r="T32" s="9">
        <f>ROUND(L32*0.02,2)/2</f>
        <v>15379.48</v>
      </c>
      <c r="U32" s="9">
        <f>ROUND(L32*0.02,2)/2</f>
        <v>15379.48</v>
      </c>
      <c r="V32" s="17">
        <f t="shared" ref="V32" si="341">E32/W32</f>
        <v>2318.4217221418235</v>
      </c>
      <c r="W32" s="10">
        <v>691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44933</v>
      </c>
      <c r="B33" s="23">
        <v>12223448.359999999</v>
      </c>
      <c r="C33" s="9">
        <v>11021356.919999998</v>
      </c>
      <c r="D33" s="9">
        <v>150857</v>
      </c>
      <c r="E33" s="9">
        <f t="shared" ref="E33" si="342">B33-C33-D33</f>
        <v>1051234.4400000013</v>
      </c>
      <c r="F33" s="9">
        <f>ROUND(E33*0.04,2)</f>
        <v>42049.38</v>
      </c>
      <c r="G33" s="9">
        <f t="shared" ref="G33" si="343">ROUND(E33*0,2)</f>
        <v>0</v>
      </c>
      <c r="H33" s="22">
        <f t="shared" ref="H33" si="344">E33-F33-G33</f>
        <v>1009185.0600000013</v>
      </c>
      <c r="I33" s="9">
        <f t="shared" ref="I33" si="345">ROUND(H33*0,2)</f>
        <v>0</v>
      </c>
      <c r="J33" s="9">
        <f t="shared" ref="J33" si="346">ROUND((I33*0.58)+((I33*0.42)*0.1),2)</f>
        <v>0</v>
      </c>
      <c r="K33" s="9">
        <f t="shared" ref="K33" si="347">ROUND((I33*0.42)*0.9,2)</f>
        <v>0</v>
      </c>
      <c r="L33" s="22">
        <f t="shared" ref="L33" si="348">IF(J33+K33=I33,H33-I33,"ERROR")</f>
        <v>1009185.0600000013</v>
      </c>
      <c r="M33" s="9">
        <f t="shared" si="314"/>
        <v>469271.05</v>
      </c>
      <c r="N33" s="9">
        <f>ROUND(L33*0.3,2)-0.04</f>
        <v>302755.48000000004</v>
      </c>
      <c r="O33" s="9">
        <f>ROUND(L33*0.1285,2)+0.01</f>
        <v>129680.29</v>
      </c>
      <c r="P33" s="9">
        <f t="shared" ref="P33" si="349">ROUND((L33*0.07)*0.9,2)</f>
        <v>63578.66</v>
      </c>
      <c r="Q33" s="9">
        <f>ROUND(L33*0.01,2)+0.01</f>
        <v>10091.86</v>
      </c>
      <c r="R33" s="9">
        <f t="shared" ref="R33" si="350">ROUND((L33*0.0075)*0.9,2)</f>
        <v>6812</v>
      </c>
      <c r="S33" s="9">
        <f t="shared" ref="S33" si="351">ROUND((L33*0.0075)*0.9,2)</f>
        <v>6812</v>
      </c>
      <c r="T33" s="9">
        <f>ROUND(L33*0.02,2)/2+0.01</f>
        <v>10091.86</v>
      </c>
      <c r="U33" s="9">
        <f>ROUND(L33*0.02,2)/2+0.01</f>
        <v>10091.86</v>
      </c>
      <c r="V33" s="17">
        <f t="shared" ref="V33" si="352">E33/W33</f>
        <v>1548.2097790868945</v>
      </c>
      <c r="W33" s="10">
        <v>679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44940</v>
      </c>
      <c r="B34" s="23">
        <v>10807125.68</v>
      </c>
      <c r="C34" s="9">
        <v>9680135.3699999992</v>
      </c>
      <c r="D34" s="9">
        <v>127649</v>
      </c>
      <c r="E34" s="9">
        <f t="shared" ref="E34" si="353">B34-C34-D34</f>
        <v>999341.31000000052</v>
      </c>
      <c r="F34" s="9">
        <f>ROUND(E34*0.04,2)</f>
        <v>39973.65</v>
      </c>
      <c r="G34" s="9">
        <f t="shared" ref="G34" si="354">ROUND(E34*0,2)</f>
        <v>0</v>
      </c>
      <c r="H34" s="22">
        <f t="shared" ref="H34" si="355">E34-F34-G34</f>
        <v>959367.6600000005</v>
      </c>
      <c r="I34" s="9">
        <f t="shared" ref="I34" si="356">ROUND(H34*0,2)</f>
        <v>0</v>
      </c>
      <c r="J34" s="9">
        <f t="shared" ref="J34" si="357">ROUND((I34*0.58)+((I34*0.42)*0.1),2)</f>
        <v>0</v>
      </c>
      <c r="K34" s="9">
        <f t="shared" ref="K34" si="358">ROUND((I34*0.42)*0.9,2)</f>
        <v>0</v>
      </c>
      <c r="L34" s="22">
        <f t="shared" ref="L34" si="359">IF(J34+K34=I34,H34-I34,"ERROR")</f>
        <v>959367.6600000005</v>
      </c>
      <c r="M34" s="9">
        <f t="shared" si="314"/>
        <v>446105.96</v>
      </c>
      <c r="N34" s="9">
        <f>ROUND(L34*0.3,2)-0.03</f>
        <v>287810.26999999996</v>
      </c>
      <c r="O34" s="9">
        <f>ROUND(L34*0.1285,2)+0.03</f>
        <v>123278.77</v>
      </c>
      <c r="P34" s="9">
        <f t="shared" ref="P34" si="360">ROUND((L34*0.07)*0.9,2)</f>
        <v>60440.160000000003</v>
      </c>
      <c r="Q34" s="9">
        <f>ROUND(L34*0.01,2)</f>
        <v>9593.68</v>
      </c>
      <c r="R34" s="9">
        <f t="shared" ref="R34" si="361">ROUND((L34*0.0075)*0.9,2)</f>
        <v>6475.73</v>
      </c>
      <c r="S34" s="9">
        <f t="shared" ref="S34" si="362">ROUND((L34*0.0075)*0.9,2)</f>
        <v>6475.73</v>
      </c>
      <c r="T34" s="9">
        <f>ROUND(L34*0.02,2)/2+0.005</f>
        <v>9593.6799999999985</v>
      </c>
      <c r="U34" s="9">
        <f>ROUND(L34*0.02,2)/2+0.005</f>
        <v>9593.6799999999985</v>
      </c>
      <c r="V34" s="17">
        <f t="shared" ref="V34" si="363">E34/W34</f>
        <v>1728.96420415225</v>
      </c>
      <c r="W34" s="10">
        <v>578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44947</v>
      </c>
      <c r="B35" s="23">
        <v>11946507.5</v>
      </c>
      <c r="C35" s="9">
        <v>10829891.859999999</v>
      </c>
      <c r="D35" s="9">
        <v>169820</v>
      </c>
      <c r="E35" s="9">
        <f t="shared" ref="E35" si="364">B35-C35-D35</f>
        <v>946795.6400000006</v>
      </c>
      <c r="F35" s="9">
        <f>ROUND(E35*0.04,2)</f>
        <v>37871.83</v>
      </c>
      <c r="G35" s="9">
        <f t="shared" ref="G35" si="365">ROUND(E35*0,2)</f>
        <v>0</v>
      </c>
      <c r="H35" s="22">
        <f t="shared" ref="H35" si="366">E35-F35-G35</f>
        <v>908923.81000000064</v>
      </c>
      <c r="I35" s="9">
        <f t="shared" ref="I35" si="367">ROUND(H35*0,2)</f>
        <v>0</v>
      </c>
      <c r="J35" s="9">
        <f t="shared" ref="J35" si="368">ROUND((I35*0.58)+((I35*0.42)*0.1),2)</f>
        <v>0</v>
      </c>
      <c r="K35" s="9">
        <f t="shared" ref="K35" si="369">ROUND((I35*0.42)*0.9,2)</f>
        <v>0</v>
      </c>
      <c r="L35" s="22">
        <f t="shared" ref="L35" si="370">IF(J35+K35=I35,H35-I35,"ERROR")</f>
        <v>908923.81000000064</v>
      </c>
      <c r="M35" s="9">
        <f t="shared" si="314"/>
        <v>422649.57</v>
      </c>
      <c r="N35" s="9">
        <f>ROUND(L35*0.3,2)-0.01</f>
        <v>272677.13</v>
      </c>
      <c r="O35" s="9">
        <f>ROUND(L35*0.1285,2)</f>
        <v>116796.71</v>
      </c>
      <c r="P35" s="9">
        <f t="shared" ref="P35" si="371">ROUND((L35*0.07)*0.9,2)</f>
        <v>57262.2</v>
      </c>
      <c r="Q35" s="9">
        <f>ROUND(L35*0.01,2)</f>
        <v>9089.24</v>
      </c>
      <c r="R35" s="9">
        <f t="shared" ref="R35" si="372">ROUND((L35*0.0075)*0.9,2)</f>
        <v>6135.24</v>
      </c>
      <c r="S35" s="9">
        <f t="shared" ref="S35" si="373">ROUND((L35*0.0075)*0.9,2)</f>
        <v>6135.24</v>
      </c>
      <c r="T35" s="9">
        <f>ROUND(L35*0.02,2)/2</f>
        <v>9089.24</v>
      </c>
      <c r="U35" s="9">
        <f>ROUND(L35*0.02,2)/2</f>
        <v>9089.24</v>
      </c>
      <c r="V35" s="17">
        <f t="shared" ref="V35" si="374">E35/W35</f>
        <v>1396.4537463126853</v>
      </c>
      <c r="W35" s="10">
        <v>678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44954</v>
      </c>
      <c r="B36" s="23">
        <v>11803813.66</v>
      </c>
      <c r="C36" s="9">
        <v>10656419.389999999</v>
      </c>
      <c r="D36" s="9">
        <v>155824</v>
      </c>
      <c r="E36" s="9">
        <f t="shared" ref="E36" si="375">B36-C36-D36</f>
        <v>991570.27000000142</v>
      </c>
      <c r="F36" s="9">
        <f>ROUND(E36*0.04,2)+0.01</f>
        <v>39662.82</v>
      </c>
      <c r="G36" s="9">
        <f t="shared" ref="G36" si="376">ROUND(E36*0,2)</f>
        <v>0</v>
      </c>
      <c r="H36" s="22">
        <f t="shared" ref="H36" si="377">E36-F36-G36</f>
        <v>951907.45000000147</v>
      </c>
      <c r="I36" s="9">
        <f t="shared" ref="I36" si="378">ROUND(H36*0,2)</f>
        <v>0</v>
      </c>
      <c r="J36" s="9">
        <f t="shared" ref="J36" si="379">ROUND((I36*0.58)+((I36*0.42)*0.1),2)</f>
        <v>0</v>
      </c>
      <c r="K36" s="9">
        <f t="shared" ref="K36" si="380">ROUND((I36*0.42)*0.9,2)</f>
        <v>0</v>
      </c>
      <c r="L36" s="22">
        <f t="shared" ref="L36" si="381">IF(J36+K36=I36,H36-I36,"ERROR")</f>
        <v>951907.45000000147</v>
      </c>
      <c r="M36" s="9">
        <f t="shared" si="314"/>
        <v>442636.96</v>
      </c>
      <c r="N36" s="9">
        <f>ROUND(L36*0.3,2)-0.03</f>
        <v>285572.20999999996</v>
      </c>
      <c r="O36" s="9">
        <f>ROUND(L36*0.1285,2)</f>
        <v>122320.11</v>
      </c>
      <c r="P36" s="9">
        <f t="shared" ref="P36" si="382">ROUND((L36*0.07)*0.9,2)</f>
        <v>59970.17</v>
      </c>
      <c r="Q36" s="9">
        <f>ROUND(L36*0.01,2)+0.01</f>
        <v>9519.08</v>
      </c>
      <c r="R36" s="9">
        <f t="shared" ref="R36" si="383">ROUND((L36*0.0075)*0.9,2)</f>
        <v>6425.38</v>
      </c>
      <c r="S36" s="9">
        <f t="shared" ref="S36" si="384">ROUND((L36*0.0075)*0.9,2)</f>
        <v>6425.38</v>
      </c>
      <c r="T36" s="9">
        <f>ROUND(L36*0.02,2)/2+0.005</f>
        <v>9519.08</v>
      </c>
      <c r="U36" s="9">
        <f>ROUND(L36*0.02,2)/2+0.005</f>
        <v>9519.08</v>
      </c>
      <c r="V36" s="17">
        <f t="shared" ref="V36" si="385">E36/W36</f>
        <v>1471.1725074183996</v>
      </c>
      <c r="W36" s="10">
        <v>674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44961</v>
      </c>
      <c r="B37" s="23">
        <v>11647662.16</v>
      </c>
      <c r="C37" s="9">
        <v>10530231.390000001</v>
      </c>
      <c r="D37" s="9">
        <v>157092</v>
      </c>
      <c r="E37" s="9">
        <f t="shared" ref="E37" si="386">B37-C37-D37</f>
        <v>960338.76999999955</v>
      </c>
      <c r="F37" s="9">
        <f>ROUND(E37*0.04,2)+0.01</f>
        <v>38413.560000000005</v>
      </c>
      <c r="G37" s="9">
        <f t="shared" ref="G37" si="387">ROUND(E37*0,2)</f>
        <v>0</v>
      </c>
      <c r="H37" s="22">
        <f t="shared" ref="H37" si="388">E37-F37-G37</f>
        <v>921925.2099999995</v>
      </c>
      <c r="I37" s="9">
        <f t="shared" ref="I37" si="389">ROUND(H37*0,2)</f>
        <v>0</v>
      </c>
      <c r="J37" s="9">
        <f t="shared" ref="J37" si="390">ROUND((I37*0.58)+((I37*0.42)*0.1),2)</f>
        <v>0</v>
      </c>
      <c r="K37" s="9">
        <f t="shared" ref="K37" si="391">ROUND((I37*0.42)*0.9,2)</f>
        <v>0</v>
      </c>
      <c r="L37" s="22">
        <f t="shared" ref="L37" si="392">IF(J37+K37=I37,H37-I37,"ERROR")</f>
        <v>921925.2099999995</v>
      </c>
      <c r="M37" s="9">
        <f t="shared" ref="M37" si="393">ROUND(L37*0.465,2)</f>
        <v>428695.22</v>
      </c>
      <c r="N37" s="9">
        <f>ROUND(L37*0.3,2)-0.03</f>
        <v>276577.52999999997</v>
      </c>
      <c r="O37" s="9">
        <f>ROUND(L37*0.1285,2)</f>
        <v>118467.39</v>
      </c>
      <c r="P37" s="9">
        <f t="shared" ref="P37" si="394">ROUND((L37*0.07)*0.9,2)</f>
        <v>58081.29</v>
      </c>
      <c r="Q37" s="9">
        <f>ROUND(L37*0.01,2)+0.01</f>
        <v>9219.26</v>
      </c>
      <c r="R37" s="9">
        <f t="shared" ref="R37" si="395">ROUND((L37*0.0075)*0.9,2)</f>
        <v>6223</v>
      </c>
      <c r="S37" s="9">
        <f t="shared" ref="S37" si="396">ROUND((L37*0.0075)*0.9,2)</f>
        <v>6223</v>
      </c>
      <c r="T37" s="9">
        <f>ROUND(L37*0.02,2)/2+0.01</f>
        <v>9219.26</v>
      </c>
      <c r="U37" s="9">
        <f>ROUND(L37*0.02,2)/2+0.01</f>
        <v>9219.26</v>
      </c>
      <c r="V37" s="17">
        <f t="shared" ref="V37" si="397">E37/W37</f>
        <v>1412.2628970588228</v>
      </c>
      <c r="W37" s="10">
        <v>680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44968</v>
      </c>
      <c r="B38" s="23">
        <v>13219875.58</v>
      </c>
      <c r="C38" s="9">
        <v>11957683.530000001</v>
      </c>
      <c r="D38" s="9">
        <v>148958</v>
      </c>
      <c r="E38" s="9">
        <f t="shared" ref="E38" si="398">B38-C38-D38</f>
        <v>1113234.0499999989</v>
      </c>
      <c r="F38" s="9">
        <f>ROUND(E38*0.04,2)</f>
        <v>44529.36</v>
      </c>
      <c r="G38" s="9">
        <f t="shared" ref="G38" si="399">ROUND(E38*0,2)</f>
        <v>0</v>
      </c>
      <c r="H38" s="22">
        <f t="shared" ref="H38" si="400">E38-F38-G38</f>
        <v>1068704.6899999988</v>
      </c>
      <c r="I38" s="9">
        <f t="shared" ref="I38" si="401">ROUND(H38*0,2)</f>
        <v>0</v>
      </c>
      <c r="J38" s="9">
        <f t="shared" ref="J38" si="402">ROUND((I38*0.58)+((I38*0.42)*0.1),2)</f>
        <v>0</v>
      </c>
      <c r="K38" s="9">
        <f t="shared" ref="K38" si="403">ROUND((I38*0.42)*0.9,2)</f>
        <v>0</v>
      </c>
      <c r="L38" s="22">
        <f t="shared" ref="L38" si="404">IF(J38+K38=I38,H38-I38,"ERROR")</f>
        <v>1068704.6899999988</v>
      </c>
      <c r="M38" s="9">
        <f t="shared" ref="M38" si="405">ROUND(L38*0.465,2)</f>
        <v>496947.68</v>
      </c>
      <c r="N38" s="9">
        <f>ROUND(L38*0.3,2)+0.03</f>
        <v>320611.44</v>
      </c>
      <c r="O38" s="9">
        <f>ROUND(L38*0.1285,2)-0.02</f>
        <v>137328.53</v>
      </c>
      <c r="P38" s="9">
        <f t="shared" ref="P38" si="406">ROUND((L38*0.07)*0.9,2)</f>
        <v>67328.399999999994</v>
      </c>
      <c r="Q38" s="9">
        <f>ROUND(L38*0.01,2)-0.01</f>
        <v>10687.039999999999</v>
      </c>
      <c r="R38" s="9">
        <f t="shared" ref="R38" si="407">ROUND((L38*0.0075)*0.9,2)</f>
        <v>7213.76</v>
      </c>
      <c r="S38" s="9">
        <f t="shared" ref="S38" si="408">ROUND((L38*0.0075)*0.9,2)</f>
        <v>7213.76</v>
      </c>
      <c r="T38" s="9">
        <f>ROUND(L38*0.02,2)/2-0.005</f>
        <v>10687.04</v>
      </c>
      <c r="U38" s="9">
        <f>ROUND(L38*0.02,2)/2-0.005</f>
        <v>10687.04</v>
      </c>
      <c r="V38" s="17">
        <f t="shared" ref="V38" si="409">E38/W38</f>
        <v>2009.4477436823086</v>
      </c>
      <c r="W38" s="10">
        <v>554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44975</v>
      </c>
      <c r="B39" s="23">
        <v>13780418</v>
      </c>
      <c r="C39" s="9">
        <v>12460234.439999999</v>
      </c>
      <c r="D39" s="9">
        <v>160423</v>
      </c>
      <c r="E39" s="9">
        <f t="shared" ref="E39" si="410">B39-C39-D39</f>
        <v>1159760.5600000005</v>
      </c>
      <c r="F39" s="9">
        <f>ROUND(E39*0.04,2)-0.01</f>
        <v>46390.409999999996</v>
      </c>
      <c r="G39" s="9">
        <f t="shared" ref="G39" si="411">ROUND(E39*0,2)</f>
        <v>0</v>
      </c>
      <c r="H39" s="22">
        <f t="shared" ref="H39" si="412">E39-F39-G39</f>
        <v>1113370.1500000006</v>
      </c>
      <c r="I39" s="9">
        <f t="shared" ref="I39" si="413">ROUND(H39*0,2)</f>
        <v>0</v>
      </c>
      <c r="J39" s="9">
        <f t="shared" ref="J39" si="414">ROUND((I39*0.58)+((I39*0.42)*0.1),2)</f>
        <v>0</v>
      </c>
      <c r="K39" s="9">
        <f t="shared" ref="K39" si="415">ROUND((I39*0.42)*0.9,2)</f>
        <v>0</v>
      </c>
      <c r="L39" s="22">
        <f t="shared" ref="L39" si="416">IF(J39+K39=I39,H39-I39,"ERROR")</f>
        <v>1113370.1500000006</v>
      </c>
      <c r="M39" s="9">
        <f t="shared" ref="M39" si="417">ROUND(L39*0.465,2)</f>
        <v>517717.12</v>
      </c>
      <c r="N39" s="9">
        <f>ROUND(L39*0.3,2)-0.01</f>
        <v>334011.03999999998</v>
      </c>
      <c r="O39" s="9">
        <f>ROUND(L39*0.1285,2)+0.01</f>
        <v>143068.07</v>
      </c>
      <c r="P39" s="9">
        <f t="shared" ref="P39" si="418">ROUND((L39*0.07)*0.9,2)</f>
        <v>70142.320000000007</v>
      </c>
      <c r="Q39" s="9">
        <f>ROUND(L39*0.01,2)</f>
        <v>11133.7</v>
      </c>
      <c r="R39" s="9">
        <f t="shared" ref="R39" si="419">ROUND((L39*0.0075)*0.9,2)</f>
        <v>7515.25</v>
      </c>
      <c r="S39" s="9">
        <f t="shared" ref="S39" si="420">ROUND((L39*0.0075)*0.9,2)</f>
        <v>7515.25</v>
      </c>
      <c r="T39" s="9">
        <f>ROUND(L39*0.02,2)/2</f>
        <v>11133.7</v>
      </c>
      <c r="U39" s="9">
        <f>ROUND(L39*0.02,2)/2</f>
        <v>11133.7</v>
      </c>
      <c r="V39" s="17">
        <f t="shared" ref="V39" si="421">E39/W39</f>
        <v>1741.3822222222229</v>
      </c>
      <c r="W39" s="10">
        <v>666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44982</v>
      </c>
      <c r="B40" s="23">
        <v>14118950.609999999</v>
      </c>
      <c r="C40" s="9">
        <v>12728256.07</v>
      </c>
      <c r="D40" s="9">
        <v>159934</v>
      </c>
      <c r="E40" s="9">
        <f t="shared" ref="E40" si="422">B40-C40-D40</f>
        <v>1230760.5399999991</v>
      </c>
      <c r="F40" s="9">
        <f>ROUND(E40*0.04,2)-0.01</f>
        <v>49230.409999999996</v>
      </c>
      <c r="G40" s="9">
        <f t="shared" ref="G40" si="423">ROUND(E40*0,2)</f>
        <v>0</v>
      </c>
      <c r="H40" s="22">
        <f t="shared" ref="H40" si="424">E40-F40-G40</f>
        <v>1181530.1299999992</v>
      </c>
      <c r="I40" s="9">
        <f t="shared" ref="I40" si="425">ROUND(H40*0,2)</f>
        <v>0</v>
      </c>
      <c r="J40" s="9">
        <f t="shared" ref="J40" si="426">ROUND((I40*0.58)+((I40*0.42)*0.1),2)</f>
        <v>0</v>
      </c>
      <c r="K40" s="9">
        <f t="shared" ref="K40" si="427">ROUND((I40*0.42)*0.9,2)</f>
        <v>0</v>
      </c>
      <c r="L40" s="22">
        <f t="shared" ref="L40" si="428">IF(J40+K40=I40,H40-I40,"ERROR")</f>
        <v>1181530.1299999992</v>
      </c>
      <c r="M40" s="9">
        <f t="shared" ref="M40" si="429">ROUND(L40*0.465,2)</f>
        <v>549411.51</v>
      </c>
      <c r="N40" s="9">
        <f>ROUND(L40*0.3,2)-0.01</f>
        <v>354459.02999999997</v>
      </c>
      <c r="O40" s="9">
        <f>ROUND(L40*0.1285,2)+0.01</f>
        <v>151826.63</v>
      </c>
      <c r="P40" s="9">
        <f t="shared" ref="P40" si="430">ROUND((L40*0.07)*0.9,2)</f>
        <v>74436.399999999994</v>
      </c>
      <c r="Q40" s="9">
        <f>ROUND(L40*0.01,2)</f>
        <v>11815.3</v>
      </c>
      <c r="R40" s="9">
        <f t="shared" ref="R40" si="431">ROUND((L40*0.0075)*0.9,2)</f>
        <v>7975.33</v>
      </c>
      <c r="S40" s="9">
        <f t="shared" ref="S40" si="432">ROUND((L40*0.0075)*0.9,2)</f>
        <v>7975.33</v>
      </c>
      <c r="T40" s="9">
        <f>ROUND(L40*0.02,2)/2</f>
        <v>11815.3</v>
      </c>
      <c r="U40" s="9">
        <f>ROUND(L40*0.02,2)/2</f>
        <v>11815.3</v>
      </c>
      <c r="V40" s="17">
        <f t="shared" ref="V40" si="433">E40/W40</f>
        <v>1853.5550301204805</v>
      </c>
      <c r="W40" s="10">
        <v>664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44989</v>
      </c>
      <c r="B41" s="23">
        <v>14209585.369999999</v>
      </c>
      <c r="C41" s="9">
        <v>12866406.350000001</v>
      </c>
      <c r="D41" s="9">
        <v>144838</v>
      </c>
      <c r="E41" s="9">
        <f t="shared" ref="E41" si="434">B41-C41-D41</f>
        <v>1198341.0199999977</v>
      </c>
      <c r="F41" s="9">
        <f>ROUND(E41*0.04,2)+0.01</f>
        <v>47933.65</v>
      </c>
      <c r="G41" s="9">
        <f t="shared" ref="G41" si="435">ROUND(E41*0,2)</f>
        <v>0</v>
      </c>
      <c r="H41" s="22">
        <f t="shared" ref="H41" si="436">E41-F41-G41</f>
        <v>1150407.3699999978</v>
      </c>
      <c r="I41" s="9">
        <f t="shared" ref="I41" si="437">ROUND(H41*0,2)</f>
        <v>0</v>
      </c>
      <c r="J41" s="9">
        <f t="shared" ref="J41" si="438">ROUND((I41*0.58)+((I41*0.42)*0.1),2)</f>
        <v>0</v>
      </c>
      <c r="K41" s="9">
        <f t="shared" ref="K41" si="439">ROUND((I41*0.42)*0.9,2)</f>
        <v>0</v>
      </c>
      <c r="L41" s="22">
        <f t="shared" ref="L41" si="440">IF(J41+K41=I41,H41-I41,"ERROR")</f>
        <v>1150407.3699999978</v>
      </c>
      <c r="M41" s="9">
        <f t="shared" ref="M41" si="441">ROUND(L41*0.465,2)</f>
        <v>534939.43000000005</v>
      </c>
      <c r="N41" s="9">
        <f>ROUND(L41*0.3,2)-0.05</f>
        <v>345122.16000000003</v>
      </c>
      <c r="O41" s="9">
        <f>ROUND(L41*0.1285,2)+0.03</f>
        <v>147827.38</v>
      </c>
      <c r="P41" s="9">
        <f t="shared" ref="P41" si="442">ROUND((L41*0.07)*0.9,2)</f>
        <v>72475.66</v>
      </c>
      <c r="Q41" s="9">
        <f>ROUND(L41*0.01,2)+0.01</f>
        <v>11504.08</v>
      </c>
      <c r="R41" s="9">
        <f t="shared" ref="R41" si="443">ROUND((L41*0.0075)*0.9,2)</f>
        <v>7765.25</v>
      </c>
      <c r="S41" s="9">
        <f t="shared" ref="S41" si="444">ROUND((L41*0.0075)*0.9,2)</f>
        <v>7765.25</v>
      </c>
      <c r="T41" s="9">
        <f>ROUND(L41*0.02,2)/2+0.005</f>
        <v>11504.08</v>
      </c>
      <c r="U41" s="9">
        <f>ROUND(L41*0.02,2)/2+0.005</f>
        <v>11504.08</v>
      </c>
      <c r="V41" s="17">
        <f t="shared" ref="V41" si="445">E41/W41</f>
        <v>1791.2421823617306</v>
      </c>
      <c r="W41" s="10">
        <v>669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44996</v>
      </c>
      <c r="B42" s="23">
        <v>14466022.170000002</v>
      </c>
      <c r="C42" s="9">
        <v>13126126.050000001</v>
      </c>
      <c r="D42" s="9">
        <v>156248</v>
      </c>
      <c r="E42" s="9">
        <f t="shared" ref="E42" si="446">B42-C42-D42</f>
        <v>1183648.120000001</v>
      </c>
      <c r="F42" s="9">
        <f>ROUND(E42*0.04,2)+0.01</f>
        <v>47345.93</v>
      </c>
      <c r="G42" s="9">
        <f t="shared" ref="G42" si="447">ROUND(E42*0,2)</f>
        <v>0</v>
      </c>
      <c r="H42" s="22">
        <f t="shared" ref="H42" si="448">E42-F42-G42</f>
        <v>1136302.1900000011</v>
      </c>
      <c r="I42" s="9">
        <f t="shared" ref="I42" si="449">ROUND(H42*0,2)</f>
        <v>0</v>
      </c>
      <c r="J42" s="9">
        <f t="shared" ref="J42" si="450">ROUND((I42*0.58)+((I42*0.42)*0.1),2)</f>
        <v>0</v>
      </c>
      <c r="K42" s="9">
        <f t="shared" ref="K42" si="451">ROUND((I42*0.42)*0.9,2)</f>
        <v>0</v>
      </c>
      <c r="L42" s="22">
        <f t="shared" ref="L42" si="452">IF(J42+K42=I42,H42-I42,"ERROR")</f>
        <v>1136302.1900000011</v>
      </c>
      <c r="M42" s="9">
        <f t="shared" ref="M42" si="453">ROUND(L42*0.465,2)</f>
        <v>528380.52</v>
      </c>
      <c r="N42" s="9">
        <f>ROUND(L42*0.3,2)</f>
        <v>340890.66</v>
      </c>
      <c r="O42" s="9">
        <f>ROUND(L42*0.1285,2)</f>
        <v>146014.82999999999</v>
      </c>
      <c r="P42" s="9">
        <f t="shared" ref="P42" si="454">ROUND((L42*0.07)*0.9,2)</f>
        <v>71587.039999999994</v>
      </c>
      <c r="Q42" s="9">
        <f t="shared" ref="Q42:Q47" si="455">ROUND(L42*0.01,2)</f>
        <v>11363.02</v>
      </c>
      <c r="R42" s="9">
        <f t="shared" ref="R42" si="456">ROUND((L42*0.0075)*0.9,2)</f>
        <v>7670.04</v>
      </c>
      <c r="S42" s="9">
        <f t="shared" ref="S42" si="457">ROUND((L42*0.0075)*0.9,2)</f>
        <v>7670.04</v>
      </c>
      <c r="T42" s="9">
        <f>ROUND(L42*0.02,2)/2</f>
        <v>11363.02</v>
      </c>
      <c r="U42" s="9">
        <f>ROUND(L42*0.02,2)/2</f>
        <v>11363.02</v>
      </c>
      <c r="V42" s="17">
        <f t="shared" ref="V42" si="458">E42/W42</f>
        <v>1774.5848875562235</v>
      </c>
      <c r="W42" s="10">
        <v>667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45003</v>
      </c>
      <c r="B43" s="23">
        <v>14659891.860000001</v>
      </c>
      <c r="C43" s="9">
        <v>13229927.140000001</v>
      </c>
      <c r="D43" s="9">
        <v>163252</v>
      </c>
      <c r="E43" s="9">
        <f t="shared" ref="E43" si="459">B43-C43-D43</f>
        <v>1266712.7200000007</v>
      </c>
      <c r="F43" s="9">
        <f>ROUND(E43*0.04,2)</f>
        <v>50668.51</v>
      </c>
      <c r="G43" s="9">
        <f t="shared" ref="G43" si="460">ROUND(E43*0,2)</f>
        <v>0</v>
      </c>
      <c r="H43" s="22">
        <f t="shared" ref="H43" si="461">E43-F43-G43</f>
        <v>1216044.2100000007</v>
      </c>
      <c r="I43" s="9">
        <f t="shared" ref="I43" si="462">ROUND(H43*0,2)</f>
        <v>0</v>
      </c>
      <c r="J43" s="9">
        <f t="shared" ref="J43" si="463">ROUND((I43*0.58)+((I43*0.42)*0.1),2)</f>
        <v>0</v>
      </c>
      <c r="K43" s="9">
        <f t="shared" ref="K43" si="464">ROUND((I43*0.42)*0.9,2)</f>
        <v>0</v>
      </c>
      <c r="L43" s="22">
        <f t="shared" ref="L43" si="465">IF(J43+K43=I43,H43-I43,"ERROR")</f>
        <v>1216044.2100000007</v>
      </c>
      <c r="M43" s="9">
        <f t="shared" ref="M43" si="466">ROUND(L43*0.465,2)</f>
        <v>565460.56000000006</v>
      </c>
      <c r="N43" s="9">
        <f>ROUND(L43*0.3,2)+0.02</f>
        <v>364813.28</v>
      </c>
      <c r="O43" s="9">
        <f>ROUND(L43*0.1285,2)-0.02</f>
        <v>156261.66</v>
      </c>
      <c r="P43" s="9">
        <f t="shared" ref="P43" si="467">ROUND((L43*0.07)*0.9,2)</f>
        <v>76610.789999999994</v>
      </c>
      <c r="Q43" s="9">
        <f t="shared" si="455"/>
        <v>12160.44</v>
      </c>
      <c r="R43" s="9">
        <f t="shared" ref="R43" si="468">ROUND((L43*0.0075)*0.9,2)</f>
        <v>8208.2999999999993</v>
      </c>
      <c r="S43" s="9">
        <f t="shared" ref="S43" si="469">ROUND((L43*0.0075)*0.9,2)</f>
        <v>8208.2999999999993</v>
      </c>
      <c r="T43" s="9">
        <f>ROUND(L43*0.02,2)/2</f>
        <v>12160.44</v>
      </c>
      <c r="U43" s="9">
        <f>ROUND(L43*0.02,2)/2</f>
        <v>12160.44</v>
      </c>
      <c r="V43" s="17">
        <f t="shared" ref="V43" si="470">E43/W43</f>
        <v>1930.964512195123</v>
      </c>
      <c r="W43" s="10">
        <v>656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45010</v>
      </c>
      <c r="B44" s="23">
        <v>13491979.169999998</v>
      </c>
      <c r="C44" s="9">
        <v>12178689.649999999</v>
      </c>
      <c r="D44" s="9">
        <v>153581</v>
      </c>
      <c r="E44" s="9">
        <f t="shared" ref="E44" si="471">B44-C44-D44</f>
        <v>1159708.5199999996</v>
      </c>
      <c r="F44" s="9">
        <f>ROUND(E44*0.04,2)</f>
        <v>46388.34</v>
      </c>
      <c r="G44" s="9">
        <f t="shared" ref="G44" si="472">ROUND(E44*0,2)</f>
        <v>0</v>
      </c>
      <c r="H44" s="22">
        <f t="shared" ref="H44" si="473">E44-F44-G44</f>
        <v>1113320.1799999995</v>
      </c>
      <c r="I44" s="9">
        <f t="shared" ref="I44" si="474">ROUND(H44*0,2)</f>
        <v>0</v>
      </c>
      <c r="J44" s="9">
        <f t="shared" ref="J44" si="475">ROUND((I44*0.58)+((I44*0.42)*0.1),2)</f>
        <v>0</v>
      </c>
      <c r="K44" s="9">
        <f t="shared" ref="K44" si="476">ROUND((I44*0.42)*0.9,2)</f>
        <v>0</v>
      </c>
      <c r="L44" s="22">
        <f t="shared" ref="L44" si="477">IF(J44+K44=I44,H44-I44,"ERROR")</f>
        <v>1113320.1799999995</v>
      </c>
      <c r="M44" s="9">
        <f t="shared" ref="M44" si="478">ROUND(L44*0.465,2)</f>
        <v>517693.88</v>
      </c>
      <c r="N44" s="9">
        <f>ROUND(L44*0.3,2)+0.02</f>
        <v>333996.07</v>
      </c>
      <c r="O44" s="9">
        <f t="shared" ref="O44:O49" si="479">ROUND(L44*0.1285,2)</f>
        <v>143061.64000000001</v>
      </c>
      <c r="P44" s="9">
        <f t="shared" ref="P44" si="480">ROUND((L44*0.07)*0.9,2)</f>
        <v>70139.17</v>
      </c>
      <c r="Q44" s="9">
        <f t="shared" si="455"/>
        <v>11133.2</v>
      </c>
      <c r="R44" s="9">
        <f t="shared" ref="R44" si="481">ROUND((L44*0.0075)*0.9,2)</f>
        <v>7514.91</v>
      </c>
      <c r="S44" s="9">
        <f t="shared" ref="S44" si="482">ROUND((L44*0.0075)*0.9,2)</f>
        <v>7514.91</v>
      </c>
      <c r="T44" s="9">
        <f>ROUND(L44*0.02,2)/2</f>
        <v>11133.2</v>
      </c>
      <c r="U44" s="9">
        <f>ROUND(L44*0.02,2)/2</f>
        <v>11133.2</v>
      </c>
      <c r="V44" s="17">
        <f t="shared" ref="V44" si="483">E44/W44</f>
        <v>1762.4749544072943</v>
      </c>
      <c r="W44" s="10">
        <v>658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45017</v>
      </c>
      <c r="B45" s="23">
        <v>12427655.459999999</v>
      </c>
      <c r="C45" s="9">
        <v>11329005.34</v>
      </c>
      <c r="D45" s="9">
        <v>152691</v>
      </c>
      <c r="E45" s="9">
        <f t="shared" ref="E45" si="484">B45-C45-D45</f>
        <v>945959.11999999918</v>
      </c>
      <c r="F45" s="9">
        <f>ROUND(E45*0.04,2)</f>
        <v>37838.36</v>
      </c>
      <c r="G45" s="9">
        <f t="shared" ref="G45" si="485">ROUND(E45*0,2)</f>
        <v>0</v>
      </c>
      <c r="H45" s="22">
        <f t="shared" ref="H45" si="486">E45-F45-G45</f>
        <v>908120.75999999919</v>
      </c>
      <c r="I45" s="9">
        <f t="shared" ref="I45" si="487">ROUND(H45*0,2)</f>
        <v>0</v>
      </c>
      <c r="J45" s="9">
        <f t="shared" ref="J45" si="488">ROUND((I45*0.58)+((I45*0.42)*0.1),2)</f>
        <v>0</v>
      </c>
      <c r="K45" s="9">
        <f t="shared" ref="K45" si="489">ROUND((I45*0.42)*0.9,2)</f>
        <v>0</v>
      </c>
      <c r="L45" s="22">
        <f t="shared" ref="L45" si="490">IF(J45+K45=I45,H45-I45,"ERROR")</f>
        <v>908120.75999999919</v>
      </c>
      <c r="M45" s="9">
        <f t="shared" ref="M45" si="491">ROUND(L45*0.465,2)</f>
        <v>422276.15</v>
      </c>
      <c r="N45" s="9">
        <f>ROUND(L45*0.3,2)-0.02</f>
        <v>272436.20999999996</v>
      </c>
      <c r="O45" s="9">
        <f t="shared" si="479"/>
        <v>116693.52</v>
      </c>
      <c r="P45" s="9">
        <f t="shared" ref="P45" si="492">ROUND((L45*0.07)*0.9,2)</f>
        <v>57211.61</v>
      </c>
      <c r="Q45" s="9">
        <f t="shared" si="455"/>
        <v>9081.2099999999991</v>
      </c>
      <c r="R45" s="9">
        <f t="shared" ref="R45" si="493">ROUND((L45*0.0075)*0.9,2)</f>
        <v>6129.82</v>
      </c>
      <c r="S45" s="9">
        <f t="shared" ref="S45" si="494">ROUND((L45*0.0075)*0.9,2)</f>
        <v>6129.82</v>
      </c>
      <c r="T45" s="9">
        <f>ROUND(L45*0.02,2)/2</f>
        <v>9081.2099999999991</v>
      </c>
      <c r="U45" s="9">
        <f>ROUND(L45*0.02,2)/2</f>
        <v>9081.2099999999991</v>
      </c>
      <c r="V45" s="17">
        <f t="shared" ref="V45" si="495">E45/W45</f>
        <v>1459.8134567901222</v>
      </c>
      <c r="W45" s="10">
        <v>648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45024</v>
      </c>
      <c r="B46" s="23">
        <v>13248193.65</v>
      </c>
      <c r="C46" s="9">
        <v>12014818.619999999</v>
      </c>
      <c r="D46" s="9">
        <v>164763</v>
      </c>
      <c r="E46" s="9">
        <f t="shared" ref="E46" si="496">B46-C46-D46</f>
        <v>1068612.0300000012</v>
      </c>
      <c r="F46" s="9">
        <f>ROUND(E46*0.04,2)</f>
        <v>42744.480000000003</v>
      </c>
      <c r="G46" s="9">
        <f t="shared" ref="G46" si="497">ROUND(E46*0,2)</f>
        <v>0</v>
      </c>
      <c r="H46" s="22">
        <f t="shared" ref="H46" si="498">E46-F46-G46</f>
        <v>1025867.5500000012</v>
      </c>
      <c r="I46" s="9">
        <f t="shared" ref="I46" si="499">ROUND(H46*0,2)</f>
        <v>0</v>
      </c>
      <c r="J46" s="9">
        <f t="shared" ref="J46" si="500">ROUND((I46*0.58)+((I46*0.42)*0.1),2)</f>
        <v>0</v>
      </c>
      <c r="K46" s="9">
        <f t="shared" ref="K46" si="501">ROUND((I46*0.42)*0.9,2)</f>
        <v>0</v>
      </c>
      <c r="L46" s="22">
        <f t="shared" ref="L46" si="502">IF(J46+K46=I46,H46-I46,"ERROR")</f>
        <v>1025867.5500000012</v>
      </c>
      <c r="M46" s="9">
        <f t="shared" ref="M46" si="503">ROUND(L46*0.465,2)</f>
        <v>477028.41</v>
      </c>
      <c r="N46" s="9">
        <f>ROUND(L46*0.3,2)-0.03</f>
        <v>307760.24</v>
      </c>
      <c r="O46" s="9">
        <f t="shared" si="479"/>
        <v>131823.98000000001</v>
      </c>
      <c r="P46" s="9">
        <f t="shared" ref="P46" si="504">ROUND((L46*0.07)*0.9,2)</f>
        <v>64629.66</v>
      </c>
      <c r="Q46" s="9">
        <f t="shared" si="455"/>
        <v>10258.68</v>
      </c>
      <c r="R46" s="9">
        <f t="shared" ref="R46" si="505">ROUND((L46*0.0075)*0.9,2)</f>
        <v>6924.61</v>
      </c>
      <c r="S46" s="9">
        <f t="shared" ref="S46" si="506">ROUND((L46*0.0075)*0.9,2)</f>
        <v>6924.61</v>
      </c>
      <c r="T46" s="9">
        <f>ROUND(L46*0.02,2)/2</f>
        <v>10258.674999999999</v>
      </c>
      <c r="U46" s="9">
        <f>ROUND(L46*0.02,2)/2</f>
        <v>10258.674999999999</v>
      </c>
      <c r="V46" s="17">
        <f t="shared" ref="V46" si="507">E46/W46</f>
        <v>1631.4687480916048</v>
      </c>
      <c r="W46" s="10">
        <v>655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45031</v>
      </c>
      <c r="B47" s="23">
        <v>12143151.770000001</v>
      </c>
      <c r="C47" s="9">
        <v>11097468.940000001</v>
      </c>
      <c r="D47" s="9">
        <v>143348.84</v>
      </c>
      <c r="E47" s="9">
        <f t="shared" ref="E47" si="508">B47-C47-D47</f>
        <v>902333.99000000011</v>
      </c>
      <c r="F47" s="9">
        <f>ROUND(E47*0.04,2)-0.02</f>
        <v>36093.340000000004</v>
      </c>
      <c r="G47" s="9">
        <f t="shared" ref="G47" si="509">ROUND(E47*0,2)</f>
        <v>0</v>
      </c>
      <c r="H47" s="22">
        <f t="shared" ref="H47" si="510">E47-F47-G47</f>
        <v>866240.65000000014</v>
      </c>
      <c r="I47" s="9">
        <f t="shared" ref="I47" si="511">ROUND(H47*0,2)</f>
        <v>0</v>
      </c>
      <c r="J47" s="9">
        <f t="shared" ref="J47" si="512">ROUND((I47*0.58)+((I47*0.42)*0.1),2)</f>
        <v>0</v>
      </c>
      <c r="K47" s="9">
        <f t="shared" ref="K47" si="513">ROUND((I47*0.42)*0.9,2)</f>
        <v>0</v>
      </c>
      <c r="L47" s="22">
        <f t="shared" ref="L47" si="514">IF(J47+K47=I47,H47-I47,"ERROR")</f>
        <v>866240.65000000014</v>
      </c>
      <c r="M47" s="9">
        <f t="shared" ref="M47" si="515">ROUND(L47*0.465,2)</f>
        <v>402801.9</v>
      </c>
      <c r="N47" s="9">
        <f>ROUND(L47*0.3,2)</f>
        <v>259872.2</v>
      </c>
      <c r="O47" s="9">
        <f t="shared" si="479"/>
        <v>111311.92</v>
      </c>
      <c r="P47" s="9">
        <f t="shared" ref="P47" si="516">ROUND((L47*0.07)*0.9,2)</f>
        <v>54573.16</v>
      </c>
      <c r="Q47" s="9">
        <f t="shared" si="455"/>
        <v>8662.41</v>
      </c>
      <c r="R47" s="9">
        <f t="shared" ref="R47" si="517">ROUND((L47*0.0075)*0.9,2)</f>
        <v>5847.12</v>
      </c>
      <c r="S47" s="9">
        <f t="shared" ref="S47" si="518">ROUND((L47*0.0075)*0.9,2)</f>
        <v>5847.12</v>
      </c>
      <c r="T47" s="9">
        <f>ROUND(L47*0.02,2)/2+0.0075</f>
        <v>8662.4125000000004</v>
      </c>
      <c r="U47" s="9">
        <f>ROUND(L47*0.02,2)/2+0.0075</f>
        <v>8662.4125000000004</v>
      </c>
      <c r="V47" s="17">
        <f t="shared" ref="V47" si="519">E47/W47</f>
        <v>1383.9478374233131</v>
      </c>
      <c r="W47" s="10">
        <v>652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45038</v>
      </c>
      <c r="B48" s="23">
        <v>13249962.810000002</v>
      </c>
      <c r="C48" s="9">
        <v>12016097.219999999</v>
      </c>
      <c r="D48" s="9">
        <v>165198</v>
      </c>
      <c r="E48" s="9">
        <f t="shared" ref="E48" si="520">B48-C48-D48</f>
        <v>1068667.5900000036</v>
      </c>
      <c r="F48" s="9">
        <f>ROUND(E48*0.04,2)</f>
        <v>42746.7</v>
      </c>
      <c r="G48" s="9">
        <f t="shared" ref="G48" si="521">ROUND(E48*0,2)</f>
        <v>0</v>
      </c>
      <c r="H48" s="22">
        <f t="shared" ref="H48" si="522">E48-F48-G48</f>
        <v>1025920.8900000036</v>
      </c>
      <c r="I48" s="9">
        <f t="shared" ref="I48" si="523">ROUND(H48*0,2)</f>
        <v>0</v>
      </c>
      <c r="J48" s="9">
        <f t="shared" ref="J48" si="524">ROUND((I48*0.58)+((I48*0.42)*0.1),2)</f>
        <v>0</v>
      </c>
      <c r="K48" s="9">
        <f t="shared" ref="K48" si="525">ROUND((I48*0.42)*0.9,2)</f>
        <v>0</v>
      </c>
      <c r="L48" s="22">
        <f t="shared" ref="L48" si="526">IF(J48+K48=I48,H48-I48,"ERROR")</f>
        <v>1025920.8900000036</v>
      </c>
      <c r="M48" s="9">
        <f t="shared" ref="M48" si="527">ROUND(L48*0.465,2)</f>
        <v>477053.21</v>
      </c>
      <c r="N48" s="9">
        <f>ROUND(L48*0.3,2)-0.01</f>
        <v>307776.26</v>
      </c>
      <c r="O48" s="9">
        <f t="shared" si="479"/>
        <v>131830.82999999999</v>
      </c>
      <c r="P48" s="9">
        <f t="shared" ref="P48" si="528">ROUND((L48*0.07)*0.9,2)</f>
        <v>64633.02</v>
      </c>
      <c r="Q48" s="9">
        <f t="shared" ref="Q48" si="529">ROUND(L48*0.01,2)</f>
        <v>10259.209999999999</v>
      </c>
      <c r="R48" s="9">
        <f t="shared" ref="R48" si="530">ROUND((L48*0.0075)*0.9,2)</f>
        <v>6924.97</v>
      </c>
      <c r="S48" s="9">
        <f t="shared" ref="S48" si="531">ROUND((L48*0.0075)*0.9,2)</f>
        <v>6924.97</v>
      </c>
      <c r="T48" s="9">
        <f>ROUND(L48*0.02,2)/2</f>
        <v>10259.209999999999</v>
      </c>
      <c r="U48" s="9">
        <f>ROUND(L48*0.02,2)/2</f>
        <v>10259.209999999999</v>
      </c>
      <c r="V48" s="17">
        <f t="shared" ref="V48" si="532">E48/W48</f>
        <v>1636.5506738131755</v>
      </c>
      <c r="W48" s="10">
        <v>653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45045</v>
      </c>
      <c r="B49" s="23">
        <v>13450007.58</v>
      </c>
      <c r="C49" s="9">
        <v>12147971.789999999</v>
      </c>
      <c r="D49" s="9">
        <v>156605</v>
      </c>
      <c r="E49" s="9">
        <f t="shared" ref="E49" si="533">B49-C49-D49</f>
        <v>1145430.790000001</v>
      </c>
      <c r="F49" s="9">
        <f>ROUND(E49*0.04,2)-0.01</f>
        <v>45817.22</v>
      </c>
      <c r="G49" s="9">
        <f t="shared" ref="G49" si="534">ROUND(E49*0,2)</f>
        <v>0</v>
      </c>
      <c r="H49" s="22">
        <f t="shared" ref="H49" si="535">E49-F49-G49</f>
        <v>1099613.570000001</v>
      </c>
      <c r="I49" s="9">
        <f t="shared" ref="I49" si="536">ROUND(H49*0,2)</f>
        <v>0</v>
      </c>
      <c r="J49" s="9">
        <f t="shared" ref="J49" si="537">ROUND((I49*0.58)+((I49*0.42)*0.1),2)</f>
        <v>0</v>
      </c>
      <c r="K49" s="9">
        <f t="shared" ref="K49" si="538">ROUND((I49*0.42)*0.9,2)</f>
        <v>0</v>
      </c>
      <c r="L49" s="22">
        <f t="shared" ref="L49" si="539">IF(J49+K49=I49,H49-I49,"ERROR")</f>
        <v>1099613.570000001</v>
      </c>
      <c r="M49" s="9">
        <f t="shared" ref="M49" si="540">ROUND(L49*0.465,2)</f>
        <v>511320.31</v>
      </c>
      <c r="N49" s="9">
        <f>ROUND(L49*0.3,2)</f>
        <v>329884.07</v>
      </c>
      <c r="O49" s="9">
        <f t="shared" si="479"/>
        <v>141300.34</v>
      </c>
      <c r="P49" s="9">
        <f t="shared" ref="P49" si="541">ROUND((L49*0.07)*0.9,2)</f>
        <v>69275.649999999994</v>
      </c>
      <c r="Q49" s="9">
        <f t="shared" ref="Q49" si="542">ROUND(L49*0.01,2)</f>
        <v>10996.14</v>
      </c>
      <c r="R49" s="9">
        <f t="shared" ref="R49" si="543">ROUND((L49*0.0075)*0.9,2)</f>
        <v>7422.39</v>
      </c>
      <c r="S49" s="9">
        <f t="shared" ref="S49" si="544">ROUND((L49*0.0075)*0.9,2)</f>
        <v>7422.39</v>
      </c>
      <c r="T49" s="9">
        <f>ROUND(L49*0.02,2)/2+0.005</f>
        <v>10996.14</v>
      </c>
      <c r="U49" s="9">
        <f>ROUND(L49*0.02,2)/2+0.005</f>
        <v>10996.14</v>
      </c>
      <c r="V49" s="17">
        <f t="shared" ref="V49" si="545">E49/W49</f>
        <v>1732.8756278366127</v>
      </c>
      <c r="W49" s="10">
        <v>661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45052</v>
      </c>
      <c r="B50" s="23">
        <v>13335832.82</v>
      </c>
      <c r="C50" s="9">
        <v>11923589.49</v>
      </c>
      <c r="D50" s="9">
        <v>150405</v>
      </c>
      <c r="E50" s="9">
        <f t="shared" ref="E50" si="546">B50-C50-D50</f>
        <v>1261838.33</v>
      </c>
      <c r="F50" s="9">
        <v>22021.8</v>
      </c>
      <c r="G50" s="9">
        <v>28451.73</v>
      </c>
      <c r="H50" s="22">
        <f t="shared" ref="H50" si="547">E50-F50-G50</f>
        <v>1211364.8</v>
      </c>
      <c r="I50" s="9">
        <f t="shared" ref="I50" si="548">ROUND(H50*0,2)</f>
        <v>0</v>
      </c>
      <c r="J50" s="9">
        <f t="shared" ref="J50" si="549">ROUND((I50*0.58)+((I50*0.42)*0.1),2)</f>
        <v>0</v>
      </c>
      <c r="K50" s="9">
        <f t="shared" ref="K50" si="550">ROUND((I50*0.42)*0.9,2)</f>
        <v>0</v>
      </c>
      <c r="L50" s="22">
        <f t="shared" ref="L50" si="551">IF(J50+K50=I50,H50-I50,"ERROR")</f>
        <v>1211364.8</v>
      </c>
      <c r="M50" s="9">
        <f t="shared" ref="M50" si="552">ROUND(L50*0.465,2)</f>
        <v>563284.63</v>
      </c>
      <c r="N50" s="9">
        <f>ROUND(L50*0.3,2)</f>
        <v>363409.44</v>
      </c>
      <c r="O50" s="9">
        <f t="shared" ref="O50" si="553">ROUND(L50*0.1285,2)</f>
        <v>155660.38</v>
      </c>
      <c r="P50" s="9">
        <f t="shared" ref="P50" si="554">ROUND((L50*0.07)*0.9,2)</f>
        <v>76315.98</v>
      </c>
      <c r="Q50" s="9">
        <f t="shared" ref="Q50" si="555">ROUND(L50*0.01,2)</f>
        <v>12113.65</v>
      </c>
      <c r="R50" s="9">
        <f t="shared" ref="R50" si="556">ROUND((L50*0.0075)*0.9,2)</f>
        <v>8176.71</v>
      </c>
      <c r="S50" s="9">
        <f t="shared" ref="S50" si="557">ROUND((L50*0.0075)*0.9,2)</f>
        <v>8176.71</v>
      </c>
      <c r="T50" s="9">
        <f>ROUND(L50*0.02,2)/2</f>
        <v>12113.65</v>
      </c>
      <c r="U50" s="9">
        <f>ROUND(L50*0.02,2)/2</f>
        <v>12113.65</v>
      </c>
      <c r="V50" s="17">
        <f t="shared" ref="V50" si="558">E50/W50</f>
        <v>1894.6521471471472</v>
      </c>
      <c r="W50" s="10">
        <v>666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45059</v>
      </c>
      <c r="B51" s="23">
        <v>13255648.26</v>
      </c>
      <c r="C51" s="9">
        <v>12282133.58</v>
      </c>
      <c r="D51" s="9">
        <v>150347</v>
      </c>
      <c r="E51" s="9">
        <f t="shared" ref="E51:E52" si="559">B51-C51-D51</f>
        <v>823167.6799999997</v>
      </c>
      <c r="F51" s="9"/>
      <c r="G51" s="9">
        <v>32926.699999999997</v>
      </c>
      <c r="H51" s="22">
        <f t="shared" ref="H51:H52" si="560">E51-F51-G51</f>
        <v>790240.97999999975</v>
      </c>
      <c r="I51" s="9">
        <v>12857.42</v>
      </c>
      <c r="J51" s="9">
        <v>7997.32</v>
      </c>
      <c r="K51" s="9">
        <f t="shared" ref="K51:K52" si="561">ROUND((I51*0.42)*0.9,2)</f>
        <v>4860.1000000000004</v>
      </c>
      <c r="L51" s="22">
        <f t="shared" ref="L51" si="562">IF(J51+K51=I51,H51-I51,"ERROR")</f>
        <v>777383.55999999971</v>
      </c>
      <c r="M51" s="9">
        <v>356276.09</v>
      </c>
      <c r="N51" s="9">
        <v>198500.02</v>
      </c>
      <c r="O51" s="9">
        <v>143519.04999999999</v>
      </c>
      <c r="P51" s="9">
        <v>45850.81</v>
      </c>
      <c r="Q51" s="9">
        <v>7195.25</v>
      </c>
      <c r="R51" s="9">
        <f t="shared" ref="R51:R52" si="563">ROUND((L51*0.0075)*0.9,2)</f>
        <v>5247.34</v>
      </c>
      <c r="S51" s="9">
        <f t="shared" ref="S51:S52" si="564">ROUND((L51*0.0075)*0.9,2)</f>
        <v>5247.34</v>
      </c>
      <c r="T51" s="9">
        <f>ROUND(L51*0.02,2)/2-0.005</f>
        <v>7773.83</v>
      </c>
      <c r="U51" s="9">
        <f>ROUND(L51*0.02,2)/2-0.005</f>
        <v>7773.83</v>
      </c>
      <c r="V51" s="17">
        <f t="shared" ref="V51" si="565">E51/W51</f>
        <v>1237.8461353383454</v>
      </c>
      <c r="W51" s="10">
        <v>665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45066</v>
      </c>
      <c r="B52" s="23">
        <v>13624518.23</v>
      </c>
      <c r="C52" s="27">
        <v>12524041.190000001</v>
      </c>
      <c r="D52" s="9">
        <v>159638</v>
      </c>
      <c r="E52" s="9">
        <f t="shared" si="559"/>
        <v>940839.03999999911</v>
      </c>
      <c r="F52" s="9">
        <v>0</v>
      </c>
      <c r="G52" s="9">
        <f>ROUND(E52*0.04,2)-0.01</f>
        <v>37633.549999999996</v>
      </c>
      <c r="H52" s="22">
        <f t="shared" si="560"/>
        <v>903205.48999999906</v>
      </c>
      <c r="I52" s="9">
        <f>ROUND(H52*0.1,2)+0.01</f>
        <v>90320.56</v>
      </c>
      <c r="J52" s="9">
        <f t="shared" ref="J52" si="566">ROUND((I52*0.58)+((I52*0.42)*0.1),2)</f>
        <v>56179.39</v>
      </c>
      <c r="K52" s="9">
        <f t="shared" si="561"/>
        <v>34141.17</v>
      </c>
      <c r="L52" s="22">
        <f t="shared" ref="L52:L57" si="567">IF(J52+K52=I52,H52-I52,"ERROR")</f>
        <v>812884.929999999</v>
      </c>
      <c r="M52" s="9">
        <f t="shared" ref="M52" si="568">ROUND(L52*0.42,2)</f>
        <v>341411.67</v>
      </c>
      <c r="N52" s="9">
        <f t="shared" ref="N52" si="569">ROUND(L52*0,2)</f>
        <v>0</v>
      </c>
      <c r="O52" s="9">
        <f>ROUND((L52*0.0955)+(L52*0.41),2)+0.03</f>
        <v>410913.36000000004</v>
      </c>
      <c r="P52" s="9">
        <f t="shared" ref="P52" si="570">ROUND((L52*0.04)*0.9,2)</f>
        <v>29263.86</v>
      </c>
      <c r="Q52" s="9">
        <f t="shared" ref="Q52" si="571">ROUND(L52*0.005,2)</f>
        <v>4064.42</v>
      </c>
      <c r="R52" s="9">
        <f t="shared" si="563"/>
        <v>5486.97</v>
      </c>
      <c r="S52" s="9">
        <f t="shared" si="564"/>
        <v>5486.97</v>
      </c>
      <c r="T52" s="9">
        <f>ROUND(L52*0.01,2)-0.01</f>
        <v>8128.84</v>
      </c>
      <c r="U52" s="9">
        <f>ROUND(L52*0.01,2)-0.01</f>
        <v>8128.84</v>
      </c>
      <c r="V52" s="17">
        <f t="shared" ref="V52:V57" si="572">E52/W52</f>
        <v>1400.058095238094</v>
      </c>
      <c r="W52" s="10">
        <v>672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45073</v>
      </c>
      <c r="B53" s="23">
        <v>12509587.5</v>
      </c>
      <c r="C53" s="27">
        <v>11287322.979999999</v>
      </c>
      <c r="D53" s="9">
        <v>158970</v>
      </c>
      <c r="E53" s="9">
        <f t="shared" ref="E53" si="573">B53-C53-D53</f>
        <v>1063294.5200000014</v>
      </c>
      <c r="F53" s="9">
        <v>0</v>
      </c>
      <c r="G53" s="9">
        <f>ROUND(E53*0.04,2)</f>
        <v>42531.78</v>
      </c>
      <c r="H53" s="22">
        <f t="shared" ref="H53" si="574">E53-F53-G53</f>
        <v>1020762.7400000014</v>
      </c>
      <c r="I53" s="9">
        <f>ROUND(H53*0.1,2)</f>
        <v>102076.27</v>
      </c>
      <c r="J53" s="9">
        <f t="shared" ref="J53:J58" si="575">ROUND((I53*0.58)+((I53*0.42)*0.1),2)</f>
        <v>63491.44</v>
      </c>
      <c r="K53" s="9">
        <f t="shared" ref="K53" si="576">ROUND((I53*0.42)*0.9,2)</f>
        <v>38584.83</v>
      </c>
      <c r="L53" s="22">
        <f t="shared" si="567"/>
        <v>918686.47000000137</v>
      </c>
      <c r="M53" s="9">
        <f t="shared" ref="M53" si="577">ROUND(L53*0.42,2)</f>
        <v>385848.32000000001</v>
      </c>
      <c r="N53" s="9">
        <f t="shared" ref="N53" si="578">ROUND(L53*0,2)</f>
        <v>0</v>
      </c>
      <c r="O53" s="9">
        <f>ROUND((L53*0.0955)+(L53*0.41),2)+0.02</f>
        <v>464396.03</v>
      </c>
      <c r="P53" s="9">
        <f t="shared" ref="P53" si="579">ROUND((L53*0.04)*0.9,2)</f>
        <v>33072.71</v>
      </c>
      <c r="Q53" s="9">
        <f t="shared" ref="Q53" si="580">ROUND(L53*0.005,2)</f>
        <v>4593.43</v>
      </c>
      <c r="R53" s="9">
        <f t="shared" ref="R53" si="581">ROUND((L53*0.0075)*0.9,2)</f>
        <v>6201.13</v>
      </c>
      <c r="S53" s="9">
        <f t="shared" ref="S53" si="582">ROUND((L53*0.0075)*0.9,2)</f>
        <v>6201.13</v>
      </c>
      <c r="T53" s="9">
        <f>ROUND(L53*0.01,2)</f>
        <v>9186.86</v>
      </c>
      <c r="U53" s="9">
        <f>ROUND(L53*0.01,2)</f>
        <v>9186.86</v>
      </c>
      <c r="V53" s="17">
        <f t="shared" si="572"/>
        <v>1620.8757926829289</v>
      </c>
      <c r="W53" s="10">
        <v>656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45080</v>
      </c>
      <c r="B54" s="23">
        <v>13388563.09</v>
      </c>
      <c r="C54" s="27">
        <v>12105662.279999999</v>
      </c>
      <c r="D54" s="9">
        <v>170429</v>
      </c>
      <c r="E54" s="9">
        <f t="shared" ref="E54" si="583">B54-C54-D54</f>
        <v>1112471.8100000005</v>
      </c>
      <c r="F54" s="9">
        <v>0</v>
      </c>
      <c r="G54" s="9">
        <f>ROUND(E54*0.04,2)-0.01</f>
        <v>44498.86</v>
      </c>
      <c r="H54" s="22">
        <f t="shared" ref="H54" si="584">E54-F54-G54</f>
        <v>1067972.9500000004</v>
      </c>
      <c r="I54" s="9">
        <f>ROUND(H54*0.1,2)</f>
        <v>106797.3</v>
      </c>
      <c r="J54" s="9">
        <f t="shared" si="575"/>
        <v>66427.92</v>
      </c>
      <c r="K54" s="9">
        <f t="shared" ref="K54" si="585">ROUND((I54*0.42)*0.9,2)</f>
        <v>40369.379999999997</v>
      </c>
      <c r="L54" s="22">
        <f t="shared" si="567"/>
        <v>961175.65000000037</v>
      </c>
      <c r="M54" s="9">
        <f t="shared" ref="M54" si="586">ROUND(L54*0.42,2)</f>
        <v>403693.77</v>
      </c>
      <c r="N54" s="9">
        <f t="shared" ref="N54" si="587">ROUND(L54*0,2)</f>
        <v>0</v>
      </c>
      <c r="O54" s="9">
        <f>ROUND((L54*0.0955)+(L54*0.41),2)-0.01</f>
        <v>485874.27999999997</v>
      </c>
      <c r="P54" s="9">
        <f t="shared" ref="P54" si="588">ROUND((L54*0.04)*0.9,2)</f>
        <v>34602.32</v>
      </c>
      <c r="Q54" s="9">
        <f t="shared" ref="Q54" si="589">ROUND(L54*0.005,2)</f>
        <v>4805.88</v>
      </c>
      <c r="R54" s="9">
        <f t="shared" ref="R54" si="590">ROUND((L54*0.0075)*0.9,2)</f>
        <v>6487.94</v>
      </c>
      <c r="S54" s="9">
        <f t="shared" ref="S54" si="591">ROUND((L54*0.0075)*0.9,2)</f>
        <v>6487.94</v>
      </c>
      <c r="T54" s="9">
        <f>ROUND(L54*0.01,2)</f>
        <v>9611.76</v>
      </c>
      <c r="U54" s="9">
        <f>ROUND(L54*0.01,2)</f>
        <v>9611.76</v>
      </c>
      <c r="V54" s="17">
        <f t="shared" si="572"/>
        <v>1760.2402056962032</v>
      </c>
      <c r="W54" s="10">
        <v>632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45087</v>
      </c>
      <c r="B55" s="23">
        <v>11969110.5</v>
      </c>
      <c r="C55" s="27">
        <v>10793955.58</v>
      </c>
      <c r="D55" s="9">
        <v>143361</v>
      </c>
      <c r="E55" s="9">
        <f t="shared" ref="E55" si="592">B55-C55-D55</f>
        <v>1031793.9199999999</v>
      </c>
      <c r="F55" s="9">
        <v>0</v>
      </c>
      <c r="G55" s="9">
        <f>ROUND(E55*0.04,2)-0.01</f>
        <v>41271.75</v>
      </c>
      <c r="H55" s="22">
        <f t="shared" ref="H55" si="593">E55-F55-G55</f>
        <v>990522.16999999993</v>
      </c>
      <c r="I55" s="9">
        <f>ROUND(H55*0.1,2)</f>
        <v>99052.22</v>
      </c>
      <c r="J55" s="9">
        <f t="shared" si="575"/>
        <v>61610.48</v>
      </c>
      <c r="K55" s="9">
        <f t="shared" ref="K55" si="594">ROUND((I55*0.42)*0.9,2)</f>
        <v>37441.74</v>
      </c>
      <c r="L55" s="22">
        <f t="shared" si="567"/>
        <v>891469.95</v>
      </c>
      <c r="M55" s="9">
        <f t="shared" ref="M55" si="595">ROUND(L55*0.42,2)</f>
        <v>374417.38</v>
      </c>
      <c r="N55" s="9">
        <f t="shared" ref="N55" si="596">ROUND(L55*0,2)</f>
        <v>0</v>
      </c>
      <c r="O55" s="9">
        <f>ROUND((L55*0.0955)+(L55*0.41),2)</f>
        <v>450638.06</v>
      </c>
      <c r="P55" s="9">
        <f t="shared" ref="P55" si="597">ROUND((L55*0.04)*0.9,2)</f>
        <v>32092.92</v>
      </c>
      <c r="Q55" s="9">
        <f t="shared" ref="Q55" si="598">ROUND(L55*0.005,2)</f>
        <v>4457.3500000000004</v>
      </c>
      <c r="R55" s="9">
        <f t="shared" ref="R55" si="599">ROUND((L55*0.0075)*0.9,2)</f>
        <v>6017.42</v>
      </c>
      <c r="S55" s="9">
        <f t="shared" ref="S55" si="600">ROUND((L55*0.0075)*0.9,2)</f>
        <v>6017.42</v>
      </c>
      <c r="T55" s="9">
        <f>ROUND(L55*0.01,2)</f>
        <v>8914.7000000000007</v>
      </c>
      <c r="U55" s="9">
        <f>ROUND(L55*0.01,2)</f>
        <v>8914.7000000000007</v>
      </c>
      <c r="V55" s="17">
        <f t="shared" si="572"/>
        <v>1658.8326688102893</v>
      </c>
      <c r="W55" s="10">
        <v>622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45094</v>
      </c>
      <c r="B56" s="23">
        <v>12414239.790000001</v>
      </c>
      <c r="C56" s="27">
        <v>11226618.060000001</v>
      </c>
      <c r="D56" s="9">
        <v>155516</v>
      </c>
      <c r="E56" s="9">
        <f t="shared" ref="E56" si="601">B56-C56-D56</f>
        <v>1032105.7300000004</v>
      </c>
      <c r="F56" s="9">
        <v>0</v>
      </c>
      <c r="G56" s="9">
        <f>ROUND(E56*0.04,2)</f>
        <v>41284.230000000003</v>
      </c>
      <c r="H56" s="22">
        <f t="shared" ref="H56" si="602">E56-F56-G56</f>
        <v>990821.50000000047</v>
      </c>
      <c r="I56" s="9">
        <f>ROUND(H56*0.1,2)</f>
        <v>99082.15</v>
      </c>
      <c r="J56" s="9">
        <f t="shared" si="575"/>
        <v>61629.1</v>
      </c>
      <c r="K56" s="9">
        <f t="shared" ref="K56" si="603">ROUND((I56*0.42)*0.9,2)</f>
        <v>37453.050000000003</v>
      </c>
      <c r="L56" s="22">
        <f t="shared" si="567"/>
        <v>891739.35000000044</v>
      </c>
      <c r="M56" s="9">
        <f t="shared" ref="M56" si="604">ROUND(L56*0.42,2)</f>
        <v>374530.53</v>
      </c>
      <c r="N56" s="9">
        <f t="shared" ref="N56" si="605">ROUND(L56*0,2)</f>
        <v>0</v>
      </c>
      <c r="O56" s="9">
        <f>ROUND((L56*0.0955)+(L56*0.41),2)-0.02</f>
        <v>450774.22</v>
      </c>
      <c r="P56" s="9">
        <f t="shared" ref="P56" si="606">ROUND((L56*0.04)*0.9,2)</f>
        <v>32102.62</v>
      </c>
      <c r="Q56" s="9">
        <f t="shared" ref="Q56" si="607">ROUND(L56*0.005,2)</f>
        <v>4458.7</v>
      </c>
      <c r="R56" s="9">
        <f t="shared" ref="R56" si="608">ROUND((L56*0.0075)*0.9,2)</f>
        <v>6019.24</v>
      </c>
      <c r="S56" s="9">
        <f t="shared" ref="S56" si="609">ROUND((L56*0.0075)*0.9,2)</f>
        <v>6019.24</v>
      </c>
      <c r="T56" s="9">
        <f>ROUND(L56*0.01,2)+0.01</f>
        <v>8917.4</v>
      </c>
      <c r="U56" s="9">
        <f>ROUND(L56*0.01,2)+0.01</f>
        <v>8917.4</v>
      </c>
      <c r="V56" s="17">
        <f t="shared" si="572"/>
        <v>1622.8077515723278</v>
      </c>
      <c r="W56" s="10">
        <v>636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45101</v>
      </c>
      <c r="B57" s="23">
        <v>12673049.620000001</v>
      </c>
      <c r="C57" s="27">
        <v>11317980.960000001</v>
      </c>
      <c r="D57" s="9">
        <v>154835</v>
      </c>
      <c r="E57" s="9">
        <f t="shared" ref="E57" si="610">B57-C57-D57</f>
        <v>1200233.6600000001</v>
      </c>
      <c r="F57" s="9">
        <v>0</v>
      </c>
      <c r="G57" s="9">
        <f>ROUND(E57*0.04,2)</f>
        <v>48009.35</v>
      </c>
      <c r="H57" s="22">
        <f t="shared" ref="H57" si="611">E57-F57-G57</f>
        <v>1152224.31</v>
      </c>
      <c r="I57" s="9">
        <f>ROUND(H57*0.1,2)</f>
        <v>115222.43</v>
      </c>
      <c r="J57" s="9">
        <f t="shared" si="575"/>
        <v>71668.350000000006</v>
      </c>
      <c r="K57" s="9">
        <f t="shared" ref="K57" si="612">ROUND((I57*0.42)*0.9,2)</f>
        <v>43554.080000000002</v>
      </c>
      <c r="L57" s="22">
        <f t="shared" si="567"/>
        <v>1037001.8800000001</v>
      </c>
      <c r="M57" s="9">
        <f t="shared" ref="M57" si="613">ROUND(L57*0.42,2)</f>
        <v>435540.79</v>
      </c>
      <c r="N57" s="9">
        <f t="shared" ref="N57" si="614">ROUND(L57*0,2)</f>
        <v>0</v>
      </c>
      <c r="O57" s="9">
        <f>ROUND((L57*0.0955)+(L57*0.41),2)</f>
        <v>524204.45</v>
      </c>
      <c r="P57" s="9">
        <f t="shared" ref="P57" si="615">ROUND((L57*0.04)*0.9,2)</f>
        <v>37332.07</v>
      </c>
      <c r="Q57" s="9">
        <f t="shared" ref="Q57" si="616">ROUND(L57*0.005,2)</f>
        <v>5185.01</v>
      </c>
      <c r="R57" s="9">
        <f t="shared" ref="R57" si="617">ROUND((L57*0.0075)*0.9,2)</f>
        <v>6999.76</v>
      </c>
      <c r="S57" s="9">
        <f t="shared" ref="S57" si="618">ROUND((L57*0.0075)*0.9,2)</f>
        <v>6999.76</v>
      </c>
      <c r="T57" s="9">
        <f>ROUND(L57*0.01,2)</f>
        <v>10370.02</v>
      </c>
      <c r="U57" s="9">
        <f>ROUND(L57*0.01,2)</f>
        <v>10370.02</v>
      </c>
      <c r="V57" s="17">
        <f t="shared" si="572"/>
        <v>1855.0752086553325</v>
      </c>
      <c r="W57" s="10">
        <v>647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6/30/2023 ***</v>
      </c>
      <c r="B58" s="23">
        <v>9974770.9299999997</v>
      </c>
      <c r="C58" s="27">
        <v>8935834.9100000001</v>
      </c>
      <c r="D58" s="9">
        <v>125510.67</v>
      </c>
      <c r="E58" s="9">
        <f t="shared" ref="E58" si="619">B58-C58-D58</f>
        <v>913425.34999999951</v>
      </c>
      <c r="F58" s="9">
        <v>0</v>
      </c>
      <c r="G58" s="9">
        <f>ROUND(E58*0.04,2)</f>
        <v>36537.01</v>
      </c>
      <c r="H58" s="22">
        <f t="shared" ref="H58" si="620">E58-F58-G58</f>
        <v>876888.3399999995</v>
      </c>
      <c r="I58" s="9">
        <f>ROUND(H58*0.1,2)+0.02</f>
        <v>87688.85</v>
      </c>
      <c r="J58" s="9">
        <f t="shared" si="575"/>
        <v>54542.46</v>
      </c>
      <c r="K58" s="9">
        <f t="shared" ref="K58" si="621">ROUND((I58*0.42)*0.9,2)</f>
        <v>33146.39</v>
      </c>
      <c r="L58" s="22">
        <f t="shared" ref="L58" si="622">IF(J58+K58=I58,H58-I58,"ERROR")</f>
        <v>789199.48999999953</v>
      </c>
      <c r="M58" s="9">
        <f t="shared" ref="M58" si="623">ROUND(L58*0.42,2)</f>
        <v>331463.78999999998</v>
      </c>
      <c r="N58" s="9">
        <f t="shared" ref="N58" si="624">ROUND(L58*0,2)</f>
        <v>0</v>
      </c>
      <c r="O58" s="9">
        <f>ROUND((L58*0.0955)+(L58*0.41),2)-0.02</f>
        <v>398940.32</v>
      </c>
      <c r="P58" s="9">
        <f t="shared" ref="P58" si="625">ROUND((L58*0.04)*0.9,2)</f>
        <v>28411.18</v>
      </c>
      <c r="Q58" s="9">
        <f t="shared" ref="Q58" si="626">ROUND(L58*0.005,2)</f>
        <v>3946</v>
      </c>
      <c r="R58" s="9">
        <f t="shared" ref="R58" si="627">ROUND((L58*0.0075)*0.9,2)</f>
        <v>5327.1</v>
      </c>
      <c r="S58" s="9">
        <f t="shared" ref="S58" si="628">ROUND((L58*0.0075)*0.9,2)</f>
        <v>5327.1</v>
      </c>
      <c r="T58" s="9">
        <f>ROUND(L58*0.01,2)+0.01</f>
        <v>7892</v>
      </c>
      <c r="U58" s="9">
        <f>ROUND(L58*0.01,2)+0.01</f>
        <v>7892</v>
      </c>
      <c r="V58" s="17">
        <f t="shared" ref="V58" si="629">E58/W58</f>
        <v>1425.0005460218401</v>
      </c>
      <c r="W58" s="10">
        <v>641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/>
      <c r="B59" s="23"/>
      <c r="C59" s="9"/>
      <c r="D59" s="9"/>
      <c r="E59" s="9"/>
      <c r="F59" s="9"/>
      <c r="G59" s="9"/>
      <c r="H59" s="22"/>
      <c r="I59" s="9"/>
      <c r="J59" s="9"/>
      <c r="K59" s="9"/>
      <c r="L59" s="22"/>
      <c r="M59" s="9"/>
      <c r="N59" s="9"/>
      <c r="O59" s="9"/>
      <c r="P59" s="9"/>
      <c r="Q59" s="9"/>
      <c r="R59" s="9"/>
      <c r="S59" s="9"/>
      <c r="T59" s="9"/>
      <c r="U59" s="9"/>
      <c r="V59" s="17"/>
      <c r="W59" s="10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thickBot="1" x14ac:dyDescent="0.3">
      <c r="B60" s="11">
        <f>SUM(B6:B59)</f>
        <v>645281730.85000002</v>
      </c>
      <c r="C60" s="11">
        <f t="shared" ref="C60:U60" si="630">SUM(C6:C59)</f>
        <v>584246338.31000006</v>
      </c>
      <c r="D60" s="11">
        <f t="shared" si="630"/>
        <v>7423857.5099999998</v>
      </c>
      <c r="E60" s="11">
        <f t="shared" si="630"/>
        <v>53611535.030000009</v>
      </c>
      <c r="F60" s="11">
        <f t="shared" si="630"/>
        <v>1791316.33</v>
      </c>
      <c r="G60" s="11">
        <f t="shared" si="630"/>
        <v>353144.95999999996</v>
      </c>
      <c r="H60" s="11">
        <f t="shared" si="630"/>
        <v>51467073.74000001</v>
      </c>
      <c r="I60" s="11">
        <f t="shared" si="630"/>
        <v>713097.20000000007</v>
      </c>
      <c r="J60" s="11">
        <f t="shared" si="630"/>
        <v>443546.46</v>
      </c>
      <c r="K60" s="11">
        <f t="shared" si="630"/>
        <v>269550.74000000005</v>
      </c>
      <c r="L60" s="11">
        <f t="shared" si="630"/>
        <v>50753976.540000014</v>
      </c>
      <c r="M60" s="11">
        <f t="shared" si="630"/>
        <v>23311794.699999996</v>
      </c>
      <c r="N60" s="11">
        <f t="shared" si="630"/>
        <v>13300830.619999995</v>
      </c>
      <c r="O60" s="11">
        <f t="shared" si="630"/>
        <v>8941424.6500000004</v>
      </c>
      <c r="P60" s="11">
        <f t="shared" si="630"/>
        <v>3024217.93</v>
      </c>
      <c r="Q60" s="11">
        <f t="shared" si="630"/>
        <v>475450.40000000008</v>
      </c>
      <c r="R60" s="11">
        <f t="shared" si="630"/>
        <v>342589.35</v>
      </c>
      <c r="S60" s="11">
        <f t="shared" si="630"/>
        <v>342589.35</v>
      </c>
      <c r="T60" s="11">
        <f t="shared" si="630"/>
        <v>737731.27749999973</v>
      </c>
      <c r="U60" s="11">
        <f t="shared" si="630"/>
        <v>277348.25750000001</v>
      </c>
      <c r="V60" s="12">
        <f>AVERAGE(V6:V59)</f>
        <v>1522.3453765676609</v>
      </c>
      <c r="W60" s="13">
        <f>AVERAGE(W6:W59)</f>
        <v>666.28301886792451</v>
      </c>
    </row>
    <row r="61" spans="1:96" ht="15" customHeight="1" thickTop="1" x14ac:dyDescent="0.25"/>
    <row r="62" spans="1:96" ht="15" customHeight="1" x14ac:dyDescent="0.25">
      <c r="A62" s="1" t="s">
        <v>32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40</v>
      </c>
    </row>
  </sheetData>
  <mergeCells count="1">
    <mergeCell ref="A4:W4"/>
  </mergeCells>
  <pageMargins left="0.25" right="0.25" top="0.5" bottom="0.25" header="0" footer="0"/>
  <pageSetup paperSize="5" scale="33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R64"/>
  <sheetViews>
    <sheetView zoomScaleNormal="100" workbookViewId="0">
      <pane ySplit="3" topLeftCell="A28" activePane="bottomLeft" state="frozen"/>
      <selection pane="bottomLeft" activeCell="A60" sqref="A60"/>
    </sheetView>
  </sheetViews>
  <sheetFormatPr defaultRowHeight="15" customHeight="1" x14ac:dyDescent="0.25"/>
  <cols>
    <col min="1" max="1" width="13.7109375" style="2" customWidth="1"/>
    <col min="2" max="3" width="18.85546875" style="2" bestFit="1" customWidth="1"/>
    <col min="4" max="4" width="16.140625" style="2" bestFit="1" customWidth="1"/>
    <col min="5" max="5" width="17.28515625" style="2" bestFit="1" customWidth="1"/>
    <col min="6" max="6" width="14.5703125" style="2" customWidth="1"/>
    <col min="7" max="7" width="15" style="2" customWidth="1"/>
    <col min="8" max="8" width="17.7109375" style="2" customWidth="1"/>
    <col min="9" max="9" width="15.140625" style="2" hidden="1" customWidth="1"/>
    <col min="10" max="10" width="15.140625" style="2" customWidth="1"/>
    <col min="11" max="11" width="15.28515625" style="2" customWidth="1"/>
    <col min="12" max="12" width="17.140625" style="2" customWidth="1"/>
    <col min="13" max="13" width="16.140625" style="2" bestFit="1" customWidth="1"/>
    <col min="14" max="14" width="15.7109375" style="2" customWidth="1"/>
    <col min="15" max="16" width="16" style="2" customWidth="1"/>
    <col min="17" max="18" width="15.42578125" style="2" customWidth="1"/>
    <col min="19" max="19" width="15" style="2" customWidth="1"/>
    <col min="20" max="20" width="14.7109375" style="2" customWidth="1"/>
    <col min="21" max="21" width="13.85546875" style="2" customWidth="1"/>
    <col min="22" max="23" width="13.7109375" style="2" customWidth="1"/>
    <col min="24" max="16384" width="9.140625" style="2"/>
  </cols>
  <sheetData>
    <row r="1" spans="1:96" s="3" customFormat="1" ht="45" x14ac:dyDescent="0.25">
      <c r="A1" s="3" t="s">
        <v>2</v>
      </c>
      <c r="B1" s="3" t="s">
        <v>5</v>
      </c>
      <c r="C1" s="3" t="s">
        <v>6</v>
      </c>
      <c r="D1" s="3" t="s">
        <v>8</v>
      </c>
      <c r="E1" s="3" t="s">
        <v>9</v>
      </c>
      <c r="F1" s="3" t="s">
        <v>7</v>
      </c>
      <c r="G1" s="3" t="s">
        <v>10</v>
      </c>
      <c r="H1" s="3" t="s">
        <v>11</v>
      </c>
      <c r="I1" s="3" t="s">
        <v>3</v>
      </c>
      <c r="J1" s="3" t="s">
        <v>12</v>
      </c>
      <c r="K1" s="3" t="s">
        <v>13</v>
      </c>
      <c r="L1" s="3" t="s">
        <v>14</v>
      </c>
      <c r="M1" s="3" t="s">
        <v>1</v>
      </c>
      <c r="N1" s="3" t="s">
        <v>15</v>
      </c>
      <c r="O1" s="3" t="s">
        <v>10</v>
      </c>
      <c r="P1" s="3" t="s">
        <v>16</v>
      </c>
      <c r="Q1" s="3" t="s">
        <v>17</v>
      </c>
      <c r="R1" s="3" t="s">
        <v>18</v>
      </c>
      <c r="S1" s="3" t="s">
        <v>19</v>
      </c>
      <c r="T1" s="3" t="s">
        <v>27</v>
      </c>
      <c r="U1" s="3" t="s">
        <v>26</v>
      </c>
      <c r="V1" s="3" t="s">
        <v>20</v>
      </c>
      <c r="W1" s="3" t="s">
        <v>21</v>
      </c>
    </row>
    <row r="2" spans="1:96" s="19" customFormat="1" ht="15" customHeight="1" x14ac:dyDescent="0.25">
      <c r="A2" s="19" t="s">
        <v>30</v>
      </c>
      <c r="B2" s="5">
        <v>3032773118.8199997</v>
      </c>
      <c r="C2" s="5">
        <v>2729259738.9300003</v>
      </c>
      <c r="D2" s="5">
        <v>44217345</v>
      </c>
      <c r="E2" s="5">
        <v>259296034.89000013</v>
      </c>
      <c r="F2" s="5">
        <v>5340672.8499999996</v>
      </c>
      <c r="G2" s="5">
        <v>5031168.55</v>
      </c>
      <c r="H2" s="5">
        <v>248924193.49000007</v>
      </c>
      <c r="I2" s="5">
        <v>11673710.280000003</v>
      </c>
      <c r="J2" s="5">
        <v>7261047.79</v>
      </c>
      <c r="K2" s="5">
        <v>4412662.4899999993</v>
      </c>
      <c r="L2" s="5">
        <v>237250483.21000001</v>
      </c>
      <c r="M2" s="5">
        <v>105593622.03</v>
      </c>
      <c r="N2" s="5">
        <v>39656127.149999999</v>
      </c>
      <c r="O2" s="5">
        <v>70095586.049999997</v>
      </c>
      <c r="P2" s="5">
        <v>12110068.879999999</v>
      </c>
      <c r="Q2" s="5">
        <v>1847187.8799999987</v>
      </c>
      <c r="R2" s="5">
        <v>1601440.7900000003</v>
      </c>
      <c r="S2" s="5">
        <v>1601440.7900000003</v>
      </c>
      <c r="T2" s="5">
        <v>2828536.5599999991</v>
      </c>
      <c r="U2" s="6">
        <v>1916473.0800000003</v>
      </c>
      <c r="V2" s="17">
        <v>2908.7564435922732</v>
      </c>
      <c r="W2" s="10">
        <v>1683.6226415094341</v>
      </c>
    </row>
    <row r="3" spans="1:96" s="19" customFormat="1" ht="15" customHeight="1" x14ac:dyDescent="0.25"/>
    <row r="4" spans="1:96" s="19" customFormat="1" ht="15" customHeight="1" x14ac:dyDescent="0.25">
      <c r="A4" s="30" t="s">
        <v>31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96" s="19" customFormat="1" ht="15" customHeight="1" x14ac:dyDescent="0.25"/>
    <row r="6" spans="1:96" ht="15" customHeight="1" x14ac:dyDescent="0.25">
      <c r="A6" s="8" t="str">
        <f>Mountaineer!A6</f>
        <v>7/2/2022 *</v>
      </c>
      <c r="B6" s="9">
        <v>27384442.390000001</v>
      </c>
      <c r="C6" s="9">
        <v>24643570.810000002</v>
      </c>
      <c r="D6" s="9">
        <v>398521</v>
      </c>
      <c r="E6" s="9">
        <f t="shared" ref="E6" si="0">B6-C6-D6</f>
        <v>2342350.5799999982</v>
      </c>
      <c r="F6" s="9">
        <f>ROUND(E6*0.04,2)</f>
        <v>93694.02</v>
      </c>
      <c r="G6" s="9">
        <f t="shared" ref="G6" si="1">ROUND(E6*0,2)</f>
        <v>0</v>
      </c>
      <c r="H6" s="9">
        <f t="shared" ref="H6" si="2">E6-F6-G6</f>
        <v>2248656.5599999982</v>
      </c>
      <c r="I6" s="9">
        <f t="shared" ref="I6" si="3">ROUND(H6*0,2)</f>
        <v>0</v>
      </c>
      <c r="J6" s="9">
        <f t="shared" ref="J6" si="4">ROUND((I6*0.58)+((I6*0.42)*0.1),2)</f>
        <v>0</v>
      </c>
      <c r="K6" s="9">
        <f t="shared" ref="K6" si="5">ROUND((I6*0.42)*0.9,2)</f>
        <v>0</v>
      </c>
      <c r="L6" s="22">
        <f t="shared" ref="L6" si="6">IF(J6+K6=I6,H6-I6,"ERROR")</f>
        <v>2248656.5599999982</v>
      </c>
      <c r="M6" s="9">
        <f t="shared" ref="M6" si="7">ROUND(L6*0.465,2)</f>
        <v>1045625.3</v>
      </c>
      <c r="N6" s="9">
        <f>ROUND(L6*0.3,2)+0.04</f>
        <v>674597.01</v>
      </c>
      <c r="O6" s="9">
        <f>ROUND(L6*0.1285,2)-0.02</f>
        <v>288952.34999999998</v>
      </c>
      <c r="P6" s="9">
        <f t="shared" ref="P6" si="8">ROUND((L6*0.07)*0.9,2)</f>
        <v>141665.35999999999</v>
      </c>
      <c r="Q6" s="9">
        <f>ROUND(L6*0.01,2)-0.01</f>
        <v>22486.560000000001</v>
      </c>
      <c r="R6" s="9">
        <f t="shared" ref="R6" si="9">ROUND((L6*0.0075)*0.9,2)</f>
        <v>15178.43</v>
      </c>
      <c r="S6" s="9">
        <f t="shared" ref="S6" si="10">ROUND((L6*0.0075)*0.9,2)</f>
        <v>15178.43</v>
      </c>
      <c r="T6" s="9">
        <f>ROUND(L6*0.02,2)-0.01</f>
        <v>44973.119999999995</v>
      </c>
      <c r="U6" s="9">
        <f t="shared" ref="U6:U11" si="11">ROUND(M6*0,2)</f>
        <v>0</v>
      </c>
      <c r="V6" s="17">
        <f t="shared" ref="V6" si="12">E6/W6</f>
        <v>1318.8910923423414</v>
      </c>
      <c r="W6" s="10">
        <v>1776</v>
      </c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</row>
    <row r="7" spans="1:96" ht="15" customHeight="1" x14ac:dyDescent="0.25">
      <c r="A7" s="8">
        <f>Mountaineer!A7</f>
        <v>44751</v>
      </c>
      <c r="B7" s="9">
        <v>68927897.38000001</v>
      </c>
      <c r="C7" s="9">
        <v>61912726.939999998</v>
      </c>
      <c r="D7" s="9">
        <v>1011964</v>
      </c>
      <c r="E7" s="9">
        <f t="shared" ref="E7" si="13">B7-C7-D7</f>
        <v>6003206.4400000125</v>
      </c>
      <c r="F7" s="9">
        <f>ROUND(E7*0.04,2)</f>
        <v>240128.26</v>
      </c>
      <c r="G7" s="9">
        <f t="shared" ref="G7" si="14">ROUND(E7*0,2)</f>
        <v>0</v>
      </c>
      <c r="H7" s="9">
        <f t="shared" ref="H7" si="15">E7-F7-G7</f>
        <v>5763078.1800000127</v>
      </c>
      <c r="I7" s="9">
        <f t="shared" ref="I7" si="16">ROUND(H7*0,2)</f>
        <v>0</v>
      </c>
      <c r="J7" s="9">
        <f t="shared" ref="J7" si="17">ROUND((I7*0.58)+((I7*0.42)*0.1),2)</f>
        <v>0</v>
      </c>
      <c r="K7" s="9">
        <f t="shared" ref="K7" si="18">ROUND((I7*0.42)*0.9,2)</f>
        <v>0</v>
      </c>
      <c r="L7" s="22">
        <f t="shared" ref="L7" si="19">IF(J7+K7=I7,H7-I7,"ERROR")</f>
        <v>5763078.1800000127</v>
      </c>
      <c r="M7" s="9">
        <f t="shared" ref="M7" si="20">ROUND(L7*0.465,2)</f>
        <v>2679831.35</v>
      </c>
      <c r="N7" s="9">
        <f>ROUND(L7*0.3,2)+0.03</f>
        <v>1728923.48</v>
      </c>
      <c r="O7" s="9">
        <f>ROUND(L7*0.1285,2)-0.03</f>
        <v>740555.52</v>
      </c>
      <c r="P7" s="9">
        <f t="shared" ref="P7" si="21">ROUND((L7*0.07)*0.9,2)</f>
        <v>363073.93</v>
      </c>
      <c r="Q7" s="9">
        <f>ROUND(L7*0.01,2)</f>
        <v>57630.78</v>
      </c>
      <c r="R7" s="9">
        <f t="shared" ref="R7" si="22">ROUND((L7*0.0075)*0.9,2)</f>
        <v>38900.78</v>
      </c>
      <c r="S7" s="9">
        <f t="shared" ref="S7" si="23">ROUND((L7*0.0075)*0.9,2)</f>
        <v>38900.78</v>
      </c>
      <c r="T7" s="9">
        <f>ROUND(L7*0.02,2)</f>
        <v>115261.56</v>
      </c>
      <c r="U7" s="9">
        <f t="shared" si="11"/>
        <v>0</v>
      </c>
      <c r="V7" s="17">
        <f t="shared" ref="V7" si="24">E7/W7</f>
        <v>3372.5878876404563</v>
      </c>
      <c r="W7" s="10">
        <v>1780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</row>
    <row r="8" spans="1:96" ht="15" customHeight="1" x14ac:dyDescent="0.25">
      <c r="A8" s="8">
        <f>Mountaineer!A8</f>
        <v>44758</v>
      </c>
      <c r="B8" s="9">
        <v>58552421.450000003</v>
      </c>
      <c r="C8" s="9">
        <v>52593651.629999995</v>
      </c>
      <c r="D8" s="9">
        <v>776240</v>
      </c>
      <c r="E8" s="9">
        <f t="shared" ref="E8" si="25">B8-C8-D8</f>
        <v>5182529.8200000077</v>
      </c>
      <c r="F8" s="9">
        <f>ROUND(E8*0.04,2)-0.01</f>
        <v>207301.18</v>
      </c>
      <c r="G8" s="9">
        <f t="shared" ref="G8" si="26">ROUND(E8*0,2)</f>
        <v>0</v>
      </c>
      <c r="H8" s="22">
        <f t="shared" ref="H8" si="27">E8-F8-G8</f>
        <v>4975228.640000008</v>
      </c>
      <c r="I8" s="9">
        <f t="shared" ref="I8" si="28">ROUND(H8*0,2)</f>
        <v>0</v>
      </c>
      <c r="J8" s="9">
        <f t="shared" ref="J8" si="29">ROUND((I8*0.58)+((I8*0.42)*0.1),2)</f>
        <v>0</v>
      </c>
      <c r="K8" s="9">
        <f t="shared" ref="K8" si="30">ROUND((I8*0.42)*0.9,2)</f>
        <v>0</v>
      </c>
      <c r="L8" s="22">
        <f t="shared" ref="L8" si="31">IF(J8+K8=I8,H8-I8,"ERROR")</f>
        <v>4975228.640000008</v>
      </c>
      <c r="M8" s="9">
        <f t="shared" ref="M8" si="32">ROUND(L8*0.465,2)</f>
        <v>2313481.3199999998</v>
      </c>
      <c r="N8" s="9">
        <f>ROUND(L8*0.3,2)+0.05</f>
        <v>1492568.6400000001</v>
      </c>
      <c r="O8" s="9">
        <f>ROUND(L8*0.1285,2)-0.02</f>
        <v>639316.86</v>
      </c>
      <c r="P8" s="9">
        <f t="shared" ref="P8" si="33">ROUND((L8*0.07)*0.9,2)</f>
        <v>313439.40000000002</v>
      </c>
      <c r="Q8" s="9">
        <f>ROUND(L8*0.01,2)-0.01</f>
        <v>49752.28</v>
      </c>
      <c r="R8" s="9">
        <f t="shared" ref="R8" si="34">ROUND((L8*0.0075)*0.9,2)</f>
        <v>33582.79</v>
      </c>
      <c r="S8" s="9">
        <f t="shared" ref="S8" si="35">ROUND((L8*0.0075)*0.9,2)</f>
        <v>33582.79</v>
      </c>
      <c r="T8" s="9">
        <f>ROUND(L8*0.02,2)-0.01</f>
        <v>99504.560000000012</v>
      </c>
      <c r="U8" s="9">
        <f t="shared" si="11"/>
        <v>0</v>
      </c>
      <c r="V8" s="17">
        <f t="shared" ref="V8" si="36">E8/W8</f>
        <v>2995.6819768786172</v>
      </c>
      <c r="W8" s="10">
        <v>1730</v>
      </c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</row>
    <row r="9" spans="1:96" ht="15" customHeight="1" x14ac:dyDescent="0.25">
      <c r="A9" s="8">
        <f>Mountaineer!A9</f>
        <v>44765</v>
      </c>
      <c r="B9" s="9">
        <v>61817927.789999999</v>
      </c>
      <c r="C9" s="9">
        <v>55896342.63000001</v>
      </c>
      <c r="D9" s="9">
        <v>842063</v>
      </c>
      <c r="E9" s="9">
        <f t="shared" ref="E9" si="37">B9-C9-D9</f>
        <v>5079522.159999989</v>
      </c>
      <c r="F9" s="9">
        <f>ROUND(E9*0.04,2)</f>
        <v>203180.89</v>
      </c>
      <c r="G9" s="9">
        <f t="shared" ref="G9" si="38">ROUND(E9*0,2)</f>
        <v>0</v>
      </c>
      <c r="H9" s="22">
        <f t="shared" ref="H9" si="39">E9-F9-G9</f>
        <v>4876341.2699999893</v>
      </c>
      <c r="I9" s="9">
        <f t="shared" ref="I9" si="40">ROUND(H9*0,2)</f>
        <v>0</v>
      </c>
      <c r="J9" s="9">
        <f t="shared" ref="J9" si="41">ROUND((I9*0.58)+((I9*0.42)*0.1),2)</f>
        <v>0</v>
      </c>
      <c r="K9" s="9">
        <f t="shared" ref="K9" si="42">ROUND((I9*0.42)*0.9,2)</f>
        <v>0</v>
      </c>
      <c r="L9" s="22">
        <f t="shared" ref="L9" si="43">IF(J9+K9=I9,H9-I9,"ERROR")</f>
        <v>4876341.2699999893</v>
      </c>
      <c r="M9" s="9">
        <f t="shared" ref="M9" si="44">ROUND(L9*0.465,2)</f>
        <v>2267498.69</v>
      </c>
      <c r="N9" s="9">
        <f>ROUND(L9*0.3,2)-0.04</f>
        <v>1462902.3399999999</v>
      </c>
      <c r="O9" s="9">
        <f>ROUND(L9*0.1285,2)+0.03</f>
        <v>626609.88</v>
      </c>
      <c r="P9" s="9">
        <f t="shared" ref="P9" si="45">ROUND((L9*0.07)*0.9,2)</f>
        <v>307209.5</v>
      </c>
      <c r="Q9" s="9">
        <f>ROUND(L9*0.01,2)+0.01</f>
        <v>48763.420000000006</v>
      </c>
      <c r="R9" s="9">
        <f t="shared" ref="R9" si="46">ROUND((L9*0.0075)*0.9,2)</f>
        <v>32915.300000000003</v>
      </c>
      <c r="S9" s="9">
        <f t="shared" ref="S9" si="47">ROUND((L9*0.0075)*0.9,2)</f>
        <v>32915.300000000003</v>
      </c>
      <c r="T9" s="9">
        <f>ROUND(L9*0.02,2)+0.01</f>
        <v>97526.84</v>
      </c>
      <c r="U9" s="9">
        <f t="shared" si="11"/>
        <v>0</v>
      </c>
      <c r="V9" s="17">
        <f t="shared" ref="V9" si="48">E9/W9</f>
        <v>2975.7013239601574</v>
      </c>
      <c r="W9" s="10">
        <v>1707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</row>
    <row r="10" spans="1:96" ht="15" customHeight="1" x14ac:dyDescent="0.25">
      <c r="A10" s="8">
        <f>Mountaineer!A10</f>
        <v>44772</v>
      </c>
      <c r="B10" s="9">
        <v>63867486.409999996</v>
      </c>
      <c r="C10" s="9">
        <v>57419862.569999993</v>
      </c>
      <c r="D10" s="9">
        <v>797245</v>
      </c>
      <c r="E10" s="9">
        <f t="shared" ref="E10" si="49">B10-C10-D10</f>
        <v>5650378.8400000036</v>
      </c>
      <c r="F10" s="9">
        <f>ROUND(E10*0.04,2)</f>
        <v>226015.15</v>
      </c>
      <c r="G10" s="9">
        <f t="shared" ref="G10" si="50">ROUND(E10*0,2)</f>
        <v>0</v>
      </c>
      <c r="H10" s="22">
        <f t="shared" ref="H10" si="51">E10-F10-G10</f>
        <v>5424363.6900000032</v>
      </c>
      <c r="I10" s="9">
        <f t="shared" ref="I10" si="52">ROUND(H10*0,2)</f>
        <v>0</v>
      </c>
      <c r="J10" s="9">
        <f t="shared" ref="J10" si="53">ROUND((I10*0.58)+((I10*0.42)*0.1),2)</f>
        <v>0</v>
      </c>
      <c r="K10" s="9">
        <f t="shared" ref="K10" si="54">ROUND((I10*0.42)*0.9,2)</f>
        <v>0</v>
      </c>
      <c r="L10" s="22">
        <f t="shared" ref="L10" si="55">IF(J10+K10=I10,H10-I10,"ERROR")</f>
        <v>5424363.6900000032</v>
      </c>
      <c r="M10" s="9">
        <f t="shared" ref="M10" si="56">ROUND(L10*0.465,2)</f>
        <v>2522329.12</v>
      </c>
      <c r="N10" s="9">
        <f>ROUND(L10*0.3,2)-0.03</f>
        <v>1627309.08</v>
      </c>
      <c r="O10" s="9">
        <f>ROUND(L10*0.1285,2)+0.03</f>
        <v>697030.76</v>
      </c>
      <c r="P10" s="9">
        <f t="shared" ref="P10" si="57">ROUND((L10*0.07)*0.9,2)</f>
        <v>341734.91</v>
      </c>
      <c r="Q10" s="9">
        <f>ROUND(L10*0.01,2)</f>
        <v>54243.64</v>
      </c>
      <c r="R10" s="9">
        <f t="shared" ref="R10" si="58">ROUND((L10*0.0075)*0.9,2)</f>
        <v>36614.449999999997</v>
      </c>
      <c r="S10" s="9">
        <f t="shared" ref="S10" si="59">ROUND((L10*0.0075)*0.9,2)</f>
        <v>36614.449999999997</v>
      </c>
      <c r="T10" s="9">
        <f>ROUND(L10*0.02,2)+0.01</f>
        <v>108487.28</v>
      </c>
      <c r="U10" s="9">
        <f t="shared" si="11"/>
        <v>0</v>
      </c>
      <c r="V10" s="17">
        <f t="shared" ref="V10" si="60">E10/W10</f>
        <v>3422.3978437310743</v>
      </c>
      <c r="W10" s="10">
        <v>1651</v>
      </c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</row>
    <row r="11" spans="1:96" ht="15" customHeight="1" x14ac:dyDescent="0.25">
      <c r="A11" s="8">
        <f>Mountaineer!A11</f>
        <v>44779</v>
      </c>
      <c r="B11" s="9">
        <v>60682699.520000003</v>
      </c>
      <c r="C11" s="9">
        <v>54666293.640000001</v>
      </c>
      <c r="D11" s="9">
        <v>810670</v>
      </c>
      <c r="E11" s="9">
        <f t="shared" ref="E11" si="61">B11-C11-D11</f>
        <v>5205735.8800000027</v>
      </c>
      <c r="F11" s="9">
        <f>ROUND(E11*0.04,2)-0.01</f>
        <v>208229.43</v>
      </c>
      <c r="G11" s="9">
        <f t="shared" ref="G11" si="62">ROUND(E11*0,2)</f>
        <v>0</v>
      </c>
      <c r="H11" s="22">
        <f t="shared" ref="H11" si="63">E11-F11-G11</f>
        <v>4997506.450000003</v>
      </c>
      <c r="I11" s="9">
        <f t="shared" ref="I11" si="64">ROUND(H11*0,2)</f>
        <v>0</v>
      </c>
      <c r="J11" s="9">
        <f t="shared" ref="J11" si="65">ROUND((I11*0.58)+((I11*0.42)*0.1),2)</f>
        <v>0</v>
      </c>
      <c r="K11" s="9">
        <f t="shared" ref="K11" si="66">ROUND((I11*0.42)*0.9,2)</f>
        <v>0</v>
      </c>
      <c r="L11" s="22">
        <f t="shared" ref="L11" si="67">IF(J11+K11=I11,H11-I11,"ERROR")</f>
        <v>4997506.450000003</v>
      </c>
      <c r="M11" s="9">
        <f t="shared" ref="M11" si="68">ROUND(L11*0.465,2)</f>
        <v>2323840.5</v>
      </c>
      <c r="N11" s="9">
        <f>ROUND(L11*0.3,2)+0.02</f>
        <v>1499251.96</v>
      </c>
      <c r="O11" s="9">
        <f>ROUND(L11*0.1285,2)-0.02</f>
        <v>642179.55999999994</v>
      </c>
      <c r="P11" s="9">
        <f t="shared" ref="P11" si="69">ROUND((L11*0.07)*0.9,2)</f>
        <v>314842.90999999997</v>
      </c>
      <c r="Q11" s="9">
        <f>ROUND(L11*0.01,2)</f>
        <v>49975.06</v>
      </c>
      <c r="R11" s="9">
        <f t="shared" ref="R11" si="70">ROUND((L11*0.0075)*0.9,2)</f>
        <v>33733.17</v>
      </c>
      <c r="S11" s="9">
        <f t="shared" ref="S11" si="71">ROUND((L11*0.0075)*0.9,2)</f>
        <v>33733.17</v>
      </c>
      <c r="T11" s="9">
        <f>ROUND(L11*0.02,2)-0.01</f>
        <v>99950.12000000001</v>
      </c>
      <c r="U11" s="9">
        <f t="shared" si="11"/>
        <v>0</v>
      </c>
      <c r="V11" s="17">
        <f t="shared" ref="V11" si="72">E11/W11</f>
        <v>3098.6523095238113</v>
      </c>
      <c r="W11" s="10">
        <v>1680</v>
      </c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</row>
    <row r="12" spans="1:96" ht="15" customHeight="1" x14ac:dyDescent="0.25">
      <c r="A12" s="8">
        <f>Mountaineer!A12</f>
        <v>44786</v>
      </c>
      <c r="B12" s="9">
        <v>60233534.649999999</v>
      </c>
      <c r="C12" s="9">
        <v>54226350.260000005</v>
      </c>
      <c r="D12" s="9">
        <v>821666</v>
      </c>
      <c r="E12" s="9">
        <f t="shared" ref="E12" si="73">B12-C12-D12</f>
        <v>5185518.3899999931</v>
      </c>
      <c r="F12" s="9">
        <f>ROUND(E12*0.04,2)</f>
        <v>207420.74</v>
      </c>
      <c r="G12" s="9">
        <f t="shared" ref="G12" si="74">ROUND(E12*0,2)</f>
        <v>0</v>
      </c>
      <c r="H12" s="22">
        <f t="shared" ref="H12" si="75">E12-F12-G12</f>
        <v>4978097.6499999929</v>
      </c>
      <c r="I12" s="9">
        <f t="shared" ref="I12" si="76">ROUND(H12*0,2)</f>
        <v>0</v>
      </c>
      <c r="J12" s="9">
        <f t="shared" ref="J12" si="77">ROUND((I12*0.58)+((I12*0.42)*0.1),2)</f>
        <v>0</v>
      </c>
      <c r="K12" s="9">
        <f t="shared" ref="K12" si="78">ROUND((I12*0.42)*0.9,2)</f>
        <v>0</v>
      </c>
      <c r="L12" s="22">
        <f t="shared" ref="L12" si="79">IF(J12+K12=I12,H12-I12,"ERROR")</f>
        <v>4978097.6499999929</v>
      </c>
      <c r="M12" s="9">
        <f t="shared" ref="M12" si="80">ROUND(L12*0.465,2)</f>
        <v>2314815.41</v>
      </c>
      <c r="N12" s="9">
        <f>ROUND(L12*0.3,2)-0.03</f>
        <v>1493429.27</v>
      </c>
      <c r="O12" s="9">
        <f>ROUND(L12*0.1285,2)+0.01</f>
        <v>639685.56000000006</v>
      </c>
      <c r="P12" s="9">
        <f t="shared" ref="P12" si="81">ROUND((L12*0.07)*0.9,2)</f>
        <v>313620.15000000002</v>
      </c>
      <c r="Q12" s="9">
        <f>ROUND(L12*0.01,2)</f>
        <v>49780.98</v>
      </c>
      <c r="R12" s="9">
        <f t="shared" ref="R12" si="82">ROUND((L12*0.0075)*0.9,2)</f>
        <v>33602.160000000003</v>
      </c>
      <c r="S12" s="9">
        <f t="shared" ref="S12" si="83">ROUND((L12*0.0075)*0.9,2)</f>
        <v>33602.160000000003</v>
      </c>
      <c r="T12" s="9">
        <f>ROUND(L12*0.02,2)+0.01</f>
        <v>99561.959999999992</v>
      </c>
      <c r="U12" s="9">
        <f t="shared" ref="U12" si="84">ROUND(M12*0,2)</f>
        <v>0</v>
      </c>
      <c r="V12" s="17">
        <f t="shared" ref="V12" si="85">E12/W12</f>
        <v>3068.3540769230731</v>
      </c>
      <c r="W12" s="10">
        <v>1690</v>
      </c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</row>
    <row r="13" spans="1:96" ht="15" customHeight="1" x14ac:dyDescent="0.25">
      <c r="A13" s="8">
        <f>Mountaineer!A13</f>
        <v>44793</v>
      </c>
      <c r="B13" s="9">
        <v>61112721.550000004</v>
      </c>
      <c r="C13" s="9">
        <v>54963128.790000007</v>
      </c>
      <c r="D13" s="9">
        <v>895006</v>
      </c>
      <c r="E13" s="9">
        <f t="shared" ref="E13" si="86">B13-C13-D13</f>
        <v>5254586.7599999979</v>
      </c>
      <c r="F13" s="9">
        <f>ROUND(E13*0.04,2)-0.01</f>
        <v>210183.46</v>
      </c>
      <c r="G13" s="9">
        <f t="shared" ref="G13" si="87">ROUND(E13*0,2)</f>
        <v>0</v>
      </c>
      <c r="H13" s="22">
        <f t="shared" ref="H13" si="88">E13-F13-G13</f>
        <v>5044403.299999998</v>
      </c>
      <c r="I13" s="9">
        <f t="shared" ref="I13" si="89">ROUND(H13*0,2)</f>
        <v>0</v>
      </c>
      <c r="J13" s="9">
        <f t="shared" ref="J13" si="90">ROUND((I13*0.58)+((I13*0.42)*0.1),2)</f>
        <v>0</v>
      </c>
      <c r="K13" s="9">
        <f t="shared" ref="K13" si="91">ROUND((I13*0.42)*0.9,2)</f>
        <v>0</v>
      </c>
      <c r="L13" s="22">
        <f t="shared" ref="L13" si="92">IF(J13+K13=I13,H13-I13,"ERROR")</f>
        <v>5044403.299999998</v>
      </c>
      <c r="M13" s="9">
        <f t="shared" ref="M13" si="93">ROUND(L13*0.465,2)</f>
        <v>2345647.5299999998</v>
      </c>
      <c r="N13" s="9">
        <f>ROUND(L13*0.3,2)-0.02</f>
        <v>1513320.97</v>
      </c>
      <c r="O13" s="9">
        <f>ROUND(L13*0.1285,2)+0.01</f>
        <v>648205.82999999996</v>
      </c>
      <c r="P13" s="9">
        <f t="shared" ref="P13" si="94">ROUND((L13*0.07)*0.9,2)</f>
        <v>317797.40999999997</v>
      </c>
      <c r="Q13" s="9">
        <f>ROUND(L13*0.01,2)+0.01</f>
        <v>50444.04</v>
      </c>
      <c r="R13" s="9">
        <f t="shared" ref="R13" si="95">ROUND((L13*0.0075)*0.9,2)</f>
        <v>34049.72</v>
      </c>
      <c r="S13" s="9">
        <f t="shared" ref="S13" si="96">ROUND((L13*0.0075)*0.9,2)</f>
        <v>34049.72</v>
      </c>
      <c r="T13" s="9">
        <f>ROUND(L13*0.02,2)+0.01</f>
        <v>100888.08</v>
      </c>
      <c r="U13" s="9">
        <f t="shared" ref="U13" si="97">ROUND(M13*0,2)</f>
        <v>0</v>
      </c>
      <c r="V13" s="17">
        <f t="shared" ref="V13" si="98">E13/W13</f>
        <v>3125.8695776323602</v>
      </c>
      <c r="W13" s="10">
        <v>1681</v>
      </c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</row>
    <row r="14" spans="1:96" ht="15" customHeight="1" x14ac:dyDescent="0.25">
      <c r="A14" s="8">
        <f>Mountaineer!A14</f>
        <v>44800</v>
      </c>
      <c r="B14" s="9">
        <v>63572582.950000003</v>
      </c>
      <c r="C14" s="9">
        <v>57080336.539999999</v>
      </c>
      <c r="D14" s="9">
        <v>911327</v>
      </c>
      <c r="E14" s="9">
        <f t="shared" ref="E14" si="99">B14-C14-D14</f>
        <v>5580919.4100000039</v>
      </c>
      <c r="F14" s="9">
        <f>ROUND(E14*0.04,2)-0.01</f>
        <v>223236.77</v>
      </c>
      <c r="G14" s="9">
        <f t="shared" ref="G14" si="100">ROUND(E14*0,2)</f>
        <v>0</v>
      </c>
      <c r="H14" s="22">
        <f t="shared" ref="H14" si="101">E14-F14-G14</f>
        <v>5357682.6400000043</v>
      </c>
      <c r="I14" s="9">
        <f t="shared" ref="I14" si="102">ROUND(H14*0,2)</f>
        <v>0</v>
      </c>
      <c r="J14" s="9">
        <f t="shared" ref="J14" si="103">ROUND((I14*0.58)+((I14*0.42)*0.1),2)</f>
        <v>0</v>
      </c>
      <c r="K14" s="9">
        <f t="shared" ref="K14" si="104">ROUND((I14*0.42)*0.9,2)</f>
        <v>0</v>
      </c>
      <c r="L14" s="22">
        <f t="shared" ref="L14" si="105">IF(J14+K14=I14,H14-I14,"ERROR")</f>
        <v>5357682.6400000043</v>
      </c>
      <c r="M14" s="9">
        <f t="shared" ref="M14" si="106">ROUND(L14*0.465,2)</f>
        <v>2491322.4300000002</v>
      </c>
      <c r="N14" s="9">
        <f>ROUND(L14*0.3,2)+0.04</f>
        <v>1607304.83</v>
      </c>
      <c r="O14" s="9">
        <f>ROUND(L14*0.1285,2)-0.03</f>
        <v>688462.19</v>
      </c>
      <c r="P14" s="9">
        <f t="shared" ref="P14" si="107">ROUND((L14*0.07)*0.9,2)</f>
        <v>337534.01</v>
      </c>
      <c r="Q14" s="9">
        <f>ROUND(L14*0.01,2)-0.01</f>
        <v>53576.82</v>
      </c>
      <c r="R14" s="9">
        <f t="shared" ref="R14" si="108">ROUND((L14*0.0075)*0.9,2)</f>
        <v>36164.36</v>
      </c>
      <c r="S14" s="9">
        <f t="shared" ref="S14" si="109">ROUND((L14*0.0075)*0.9,2)</f>
        <v>36164.36</v>
      </c>
      <c r="T14" s="9">
        <f>ROUND(L14*0.02,2)-0.01</f>
        <v>107153.64</v>
      </c>
      <c r="U14" s="9">
        <f t="shared" ref="U14" si="110">ROUND(M14*0,2)</f>
        <v>0</v>
      </c>
      <c r="V14" s="17">
        <f t="shared" ref="V14" si="111">E14/W14</f>
        <v>3300.3662980484942</v>
      </c>
      <c r="W14" s="10">
        <v>1691</v>
      </c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</row>
    <row r="15" spans="1:96" ht="15" customHeight="1" x14ac:dyDescent="0.25">
      <c r="A15" s="8">
        <f>Mountaineer!A15</f>
        <v>44807</v>
      </c>
      <c r="B15" s="9">
        <v>61333254.219999999</v>
      </c>
      <c r="C15" s="9">
        <v>55102472.420000009</v>
      </c>
      <c r="D15" s="9">
        <v>812546</v>
      </c>
      <c r="E15" s="9">
        <f t="shared" ref="E15" si="112">B15-C15-D15</f>
        <v>5418235.7999999896</v>
      </c>
      <c r="F15" s="9">
        <f>ROUND(E15*0.04,2)-0.01</f>
        <v>216729.41999999998</v>
      </c>
      <c r="G15" s="9">
        <f t="shared" ref="G15" si="113">ROUND(E15*0,2)</f>
        <v>0</v>
      </c>
      <c r="H15" s="22">
        <f t="shared" ref="H15" si="114">E15-F15-G15</f>
        <v>5201506.3799999896</v>
      </c>
      <c r="I15" s="9">
        <f t="shared" ref="I15" si="115">ROUND(H15*0,2)</f>
        <v>0</v>
      </c>
      <c r="J15" s="9">
        <f t="shared" ref="J15" si="116">ROUND((I15*0.58)+((I15*0.42)*0.1),2)</f>
        <v>0</v>
      </c>
      <c r="K15" s="9">
        <f t="shared" ref="K15" si="117">ROUND((I15*0.42)*0.9,2)</f>
        <v>0</v>
      </c>
      <c r="L15" s="22">
        <f t="shared" ref="L15" si="118">IF(J15+K15=I15,H15-I15,"ERROR")</f>
        <v>5201506.3799999896</v>
      </c>
      <c r="M15" s="9">
        <f t="shared" ref="M15" si="119">ROUND(L15*0.465,2)</f>
        <v>2418700.4700000002</v>
      </c>
      <c r="N15" s="9">
        <f>ROUND(L15*0.3,2)+0.01</f>
        <v>1560451.92</v>
      </c>
      <c r="O15" s="9">
        <f>ROUND(L15*0.1285,2)</f>
        <v>668393.56999999995</v>
      </c>
      <c r="P15" s="9">
        <f t="shared" ref="P15" si="120">ROUND((L15*0.07)*0.9,2)</f>
        <v>327694.90000000002</v>
      </c>
      <c r="Q15" s="9">
        <f>ROUND(L15*0.01,2)</f>
        <v>52015.06</v>
      </c>
      <c r="R15" s="9">
        <f t="shared" ref="R15" si="121">ROUND((L15*0.0075)*0.9,2)</f>
        <v>35110.17</v>
      </c>
      <c r="S15" s="9">
        <f t="shared" ref="S15" si="122">ROUND((L15*0.0075)*0.9,2)</f>
        <v>35110.17</v>
      </c>
      <c r="T15" s="9">
        <v>71393.22</v>
      </c>
      <c r="U15" s="9">
        <v>32636.9</v>
      </c>
      <c r="V15" s="17">
        <f t="shared" ref="V15" si="123">E15/W15</f>
        <v>3130.1188908145518</v>
      </c>
      <c r="W15" s="10">
        <v>1731</v>
      </c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</row>
    <row r="16" spans="1:96" ht="15" customHeight="1" x14ac:dyDescent="0.25">
      <c r="A16" s="8">
        <f>Mountaineer!A16</f>
        <v>44814</v>
      </c>
      <c r="B16" s="9">
        <v>64826957.899999991</v>
      </c>
      <c r="C16" s="9">
        <v>58303741.609999999</v>
      </c>
      <c r="D16" s="9">
        <v>933032</v>
      </c>
      <c r="E16" s="9">
        <f t="shared" ref="E16" si="124">B16-C16-D16</f>
        <v>5590184.2899999917</v>
      </c>
      <c r="F16" s="9">
        <f>ROUND(E16*0.04,2)+0.02</f>
        <v>223607.38999999998</v>
      </c>
      <c r="G16" s="9">
        <f t="shared" ref="G16" si="125">ROUND(E16*0,2)</f>
        <v>0</v>
      </c>
      <c r="H16" s="22">
        <f t="shared" ref="H16" si="126">E16-F16-G16</f>
        <v>5366576.899999992</v>
      </c>
      <c r="I16" s="9">
        <f t="shared" ref="I16" si="127">ROUND(H16*0,2)</f>
        <v>0</v>
      </c>
      <c r="J16" s="9">
        <f t="shared" ref="J16" si="128">ROUND((I16*0.58)+((I16*0.42)*0.1),2)</f>
        <v>0</v>
      </c>
      <c r="K16" s="9">
        <f t="shared" ref="K16" si="129">ROUND((I16*0.42)*0.9,2)</f>
        <v>0</v>
      </c>
      <c r="L16" s="22">
        <f t="shared" ref="L16" si="130">IF(J16+K16=I16,H16-I16,"ERROR")</f>
        <v>5366576.899999992</v>
      </c>
      <c r="M16" s="9">
        <f t="shared" ref="M16" si="131">ROUND(L16*0.465,2)</f>
        <v>2495458.2599999998</v>
      </c>
      <c r="N16" s="9">
        <f>ROUND(L16*0.3,2)+0.05</f>
        <v>1609973.12</v>
      </c>
      <c r="O16" s="9">
        <f>ROUND(L16*0.1285,2)-0.01</f>
        <v>689605.12</v>
      </c>
      <c r="P16" s="9">
        <f t="shared" ref="P16" si="132">ROUND((L16*0.07)*0.9,2)</f>
        <v>338094.34</v>
      </c>
      <c r="Q16" s="9">
        <f>ROUND(L16*0.01,2)-0.01</f>
        <v>53665.759999999995</v>
      </c>
      <c r="R16" s="9">
        <f t="shared" ref="R16" si="133">ROUND((L16*0.0075)*0.9,2)</f>
        <v>36224.39</v>
      </c>
      <c r="S16" s="9">
        <f t="shared" ref="S16" si="134">ROUND((L16*0.0075)*0.9,2)</f>
        <v>36224.39</v>
      </c>
      <c r="T16" s="9">
        <f>ROUND(L16*0.01,2)-0.01</f>
        <v>53665.759999999995</v>
      </c>
      <c r="U16" s="9">
        <f>ROUND(L16*0.01,2)-0.01</f>
        <v>53665.759999999995</v>
      </c>
      <c r="V16" s="17">
        <f t="shared" ref="V16" si="135">E16/W16</f>
        <v>3225.7266532025342</v>
      </c>
      <c r="W16" s="10">
        <v>1733</v>
      </c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</row>
    <row r="17" spans="1:96" ht="15" customHeight="1" x14ac:dyDescent="0.25">
      <c r="A17" s="8">
        <f>Mountaineer!A17</f>
        <v>44821</v>
      </c>
      <c r="B17" s="9">
        <v>57028465.879999995</v>
      </c>
      <c r="C17" s="9">
        <v>51499361.730000004</v>
      </c>
      <c r="D17" s="9">
        <v>807007</v>
      </c>
      <c r="E17" s="9">
        <f t="shared" ref="E17" si="136">B17-C17-D17</f>
        <v>4722097.1499999911</v>
      </c>
      <c r="F17" s="9">
        <f>ROUND(E17*0.04,2)</f>
        <v>188883.89</v>
      </c>
      <c r="G17" s="9">
        <f t="shared" ref="G17" si="137">ROUND(E17*0,2)</f>
        <v>0</v>
      </c>
      <c r="H17" s="22">
        <f t="shared" ref="H17" si="138">E17-F17-G17</f>
        <v>4533213.2599999914</v>
      </c>
      <c r="I17" s="9">
        <f t="shared" ref="I17" si="139">ROUND(H17*0,2)</f>
        <v>0</v>
      </c>
      <c r="J17" s="9">
        <f t="shared" ref="J17" si="140">ROUND((I17*0.58)+((I17*0.42)*0.1),2)</f>
        <v>0</v>
      </c>
      <c r="K17" s="9">
        <f t="shared" ref="K17" si="141">ROUND((I17*0.42)*0.9,2)</f>
        <v>0</v>
      </c>
      <c r="L17" s="22">
        <f t="shared" ref="L17" si="142">IF(J17+K17=I17,H17-I17,"ERROR")</f>
        <v>4533213.2599999914</v>
      </c>
      <c r="M17" s="9">
        <f t="shared" ref="M17" si="143">ROUND(L17*0.465,2)</f>
        <v>2107944.17</v>
      </c>
      <c r="N17" s="9">
        <f>ROUND(L17*0.3,2)-0.05</f>
        <v>1359963.93</v>
      </c>
      <c r="O17" s="9">
        <f>ROUND(L17*0.1285,2)+0.02</f>
        <v>582517.92000000004</v>
      </c>
      <c r="P17" s="9">
        <f t="shared" ref="P17" si="144">ROUND((L17*0.07)*0.9,2)</f>
        <v>285592.44</v>
      </c>
      <c r="Q17" s="9">
        <f>ROUND(L17*0.01,2)+0.01</f>
        <v>45332.14</v>
      </c>
      <c r="R17" s="9">
        <f t="shared" ref="R17" si="145">ROUND((L17*0.0075)*0.9,2)</f>
        <v>30599.19</v>
      </c>
      <c r="S17" s="9">
        <f t="shared" ref="S17" si="146">ROUND((L17*0.0075)*0.9,2)</f>
        <v>30599.19</v>
      </c>
      <c r="T17" s="9">
        <f>ROUND(L17*0.01,2)+0.01</f>
        <v>45332.14</v>
      </c>
      <c r="U17" s="9">
        <f>ROUND(L17*0.01,2)+0.01</f>
        <v>45332.14</v>
      </c>
      <c r="V17" s="17">
        <f t="shared" ref="V17" si="147">E17/W17</f>
        <v>2742.2166957026661</v>
      </c>
      <c r="W17" s="10">
        <v>1722</v>
      </c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</row>
    <row r="18" spans="1:96" ht="15" customHeight="1" x14ac:dyDescent="0.25">
      <c r="A18" s="8">
        <f>Mountaineer!A18</f>
        <v>44828</v>
      </c>
      <c r="B18" s="9">
        <v>57853414.350000001</v>
      </c>
      <c r="C18" s="9">
        <v>52262662.200800002</v>
      </c>
      <c r="D18" s="9">
        <v>780388</v>
      </c>
      <c r="E18" s="9">
        <f t="shared" ref="E18" si="148">B18-C18-D18</f>
        <v>4810364.1491999999</v>
      </c>
      <c r="F18" s="9">
        <f>ROUND(E18*0.04,2)</f>
        <v>192414.57</v>
      </c>
      <c r="G18" s="9">
        <f t="shared" ref="G18" si="149">ROUND(E18*0,2)</f>
        <v>0</v>
      </c>
      <c r="H18" s="22">
        <f t="shared" ref="H18" si="150">E18-F18-G18</f>
        <v>4617949.5791999996</v>
      </c>
      <c r="I18" s="9">
        <f t="shared" ref="I18" si="151">ROUND(H18*0,2)</f>
        <v>0</v>
      </c>
      <c r="J18" s="9">
        <f t="shared" ref="J18" si="152">ROUND((I18*0.58)+((I18*0.42)*0.1),2)</f>
        <v>0</v>
      </c>
      <c r="K18" s="9">
        <f t="shared" ref="K18" si="153">ROUND((I18*0.42)*0.9,2)</f>
        <v>0</v>
      </c>
      <c r="L18" s="22">
        <f t="shared" ref="L18" si="154">IF(J18+K18=I18,H18-I18,"ERROR")</f>
        <v>4617949.5791999996</v>
      </c>
      <c r="M18" s="9">
        <f t="shared" ref="M18" si="155">ROUND(L18*0.465,2)</f>
        <v>2147346.5499999998</v>
      </c>
      <c r="N18" s="9">
        <f>ROUND(L18*0.3,2)-0.01</f>
        <v>1385384.86</v>
      </c>
      <c r="O18" s="9">
        <f>ROUND(L18*0.1285,2)+0.01</f>
        <v>593406.53</v>
      </c>
      <c r="P18" s="9">
        <f t="shared" ref="P18" si="156">ROUND((L18*0.07)*0.9,2)</f>
        <v>290930.82</v>
      </c>
      <c r="Q18" s="9">
        <f>ROUND(L18*0.01,2)</f>
        <v>46179.5</v>
      </c>
      <c r="R18" s="9">
        <f t="shared" ref="R18" si="157">ROUND((L18*0.0075)*0.9,2)</f>
        <v>31171.16</v>
      </c>
      <c r="S18" s="9">
        <f t="shared" ref="S18" si="158">ROUND((L18*0.0075)*0.9,2)</f>
        <v>31171.16</v>
      </c>
      <c r="T18" s="9">
        <f>ROUND(L18*0.01,2)</f>
        <v>46179.5</v>
      </c>
      <c r="U18" s="9">
        <f>ROUND(L18*0.01,2)</f>
        <v>46179.5</v>
      </c>
      <c r="V18" s="17">
        <f t="shared" ref="V18" si="159">E18/W18</f>
        <v>2951.143649815951</v>
      </c>
      <c r="W18" s="10">
        <v>1630</v>
      </c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</row>
    <row r="19" spans="1:96" ht="15" customHeight="1" x14ac:dyDescent="0.25">
      <c r="A19" s="8">
        <f>Mountaineer!A19</f>
        <v>44835</v>
      </c>
      <c r="B19" s="9">
        <v>60287584.789999992</v>
      </c>
      <c r="C19" s="9">
        <v>54285795.419999994</v>
      </c>
      <c r="D19" s="9">
        <v>798313</v>
      </c>
      <c r="E19" s="9">
        <f t="shared" ref="E19" si="160">B19-C19-D19</f>
        <v>5203476.3699999973</v>
      </c>
      <c r="F19" s="9">
        <f>ROUND(E19*0.04,2)+0.01</f>
        <v>208139.06</v>
      </c>
      <c r="G19" s="9">
        <f t="shared" ref="G19" si="161">ROUND(E19*0,2)</f>
        <v>0</v>
      </c>
      <c r="H19" s="22">
        <f t="shared" ref="H19" si="162">E19-F19-G19</f>
        <v>4995337.3099999977</v>
      </c>
      <c r="I19" s="9">
        <f t="shared" ref="I19" si="163">ROUND(H19*0,2)</f>
        <v>0</v>
      </c>
      <c r="J19" s="9">
        <f t="shared" ref="J19" si="164">ROUND((I19*0.58)+((I19*0.42)*0.1),2)</f>
        <v>0</v>
      </c>
      <c r="K19" s="9">
        <f t="shared" ref="K19" si="165">ROUND((I19*0.42)*0.9,2)</f>
        <v>0</v>
      </c>
      <c r="L19" s="22">
        <f t="shared" ref="L19" si="166">IF(J19+K19=I19,H19-I19,"ERROR")</f>
        <v>4995337.3099999977</v>
      </c>
      <c r="M19" s="9">
        <f t="shared" ref="M19" si="167">ROUND(L19*0.465,2)</f>
        <v>2322831.85</v>
      </c>
      <c r="N19" s="9">
        <f>ROUND(L19*0.3,2)-0.03</f>
        <v>1498601.16</v>
      </c>
      <c r="O19" s="9">
        <f>ROUND(L19*0.1285,2)+0.01</f>
        <v>641900.85</v>
      </c>
      <c r="P19" s="9">
        <f t="shared" ref="P19" si="168">ROUND((L19*0.07)*0.9,2)</f>
        <v>314706.25</v>
      </c>
      <c r="Q19" s="9">
        <f>ROUND(L19*0.01,2)+0.01</f>
        <v>49953.380000000005</v>
      </c>
      <c r="R19" s="9">
        <f t="shared" ref="R19" si="169">ROUND((L19*0.0075)*0.9,2)</f>
        <v>33718.53</v>
      </c>
      <c r="S19" s="9">
        <f t="shared" ref="S19" si="170">ROUND((L19*0.0075)*0.9,2)</f>
        <v>33718.53</v>
      </c>
      <c r="T19" s="9">
        <f>ROUND(L19*0.01,2)+0.01</f>
        <v>49953.380000000005</v>
      </c>
      <c r="U19" s="9">
        <f>ROUND(L19*0.01,2)+0.01</f>
        <v>49953.380000000005</v>
      </c>
      <c r="V19" s="17">
        <f t="shared" ref="V19" si="171">E19/W19</f>
        <v>3153.6220424242406</v>
      </c>
      <c r="W19" s="10">
        <v>1650</v>
      </c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</row>
    <row r="20" spans="1:96" ht="15" customHeight="1" x14ac:dyDescent="0.25">
      <c r="A20" s="8">
        <f>Mountaineer!A20</f>
        <v>44842</v>
      </c>
      <c r="B20" s="9">
        <v>57262755.100000009</v>
      </c>
      <c r="C20" s="9">
        <v>51969755.700000003</v>
      </c>
      <c r="D20" s="9">
        <v>761394</v>
      </c>
      <c r="E20" s="9">
        <f t="shared" ref="E20" si="172">B20-C20-D20</f>
        <v>4531605.400000006</v>
      </c>
      <c r="F20" s="9">
        <f>ROUND(E20*0.04,2)</f>
        <v>181264.22</v>
      </c>
      <c r="G20" s="9">
        <f t="shared" ref="G20" si="173">ROUND(E20*0,2)</f>
        <v>0</v>
      </c>
      <c r="H20" s="22">
        <f t="shared" ref="H20" si="174">E20-F20-G20</f>
        <v>4350341.1800000062</v>
      </c>
      <c r="I20" s="9">
        <f t="shared" ref="I20" si="175">ROUND(H20*0,2)</f>
        <v>0</v>
      </c>
      <c r="J20" s="9">
        <f t="shared" ref="J20" si="176">ROUND((I20*0.58)+((I20*0.42)*0.1),2)</f>
        <v>0</v>
      </c>
      <c r="K20" s="9">
        <f t="shared" ref="K20" si="177">ROUND((I20*0.42)*0.9,2)</f>
        <v>0</v>
      </c>
      <c r="L20" s="22">
        <f t="shared" ref="L20" si="178">IF(J20+K20=I20,H20-I20,"ERROR")</f>
        <v>4350341.1800000062</v>
      </c>
      <c r="M20" s="9">
        <f t="shared" ref="M20" si="179">ROUND(L20*0.465,2)</f>
        <v>2022908.65</v>
      </c>
      <c r="N20" s="9">
        <f>ROUND(L20*0.3,2)-0.04</f>
        <v>1305102.31</v>
      </c>
      <c r="O20" s="9">
        <f>ROUND(L20*0.1285,2)+0.03</f>
        <v>559018.87</v>
      </c>
      <c r="P20" s="9">
        <f t="shared" ref="P20" si="180">ROUND((L20*0.07)*0.9,2)</f>
        <v>274071.49</v>
      </c>
      <c r="Q20" s="9">
        <f>ROUND(L20*0.01,2)+0.01</f>
        <v>43503.420000000006</v>
      </c>
      <c r="R20" s="9">
        <f t="shared" ref="R20" si="181">ROUND((L20*0.0075)*0.9,2)</f>
        <v>29364.799999999999</v>
      </c>
      <c r="S20" s="9">
        <f t="shared" ref="S20" si="182">ROUND((L20*0.0075)*0.9,2)</f>
        <v>29364.799999999999</v>
      </c>
      <c r="T20" s="9">
        <f>ROUND(L20*0.01,2)+0.01</f>
        <v>43503.420000000006</v>
      </c>
      <c r="U20" s="9">
        <f>ROUND(L20*0.01,2)+0.01</f>
        <v>43503.420000000006</v>
      </c>
      <c r="V20" s="17">
        <f t="shared" ref="V20" si="183">E20/W20</f>
        <v>2686.1917012448166</v>
      </c>
      <c r="W20" s="10">
        <v>1687</v>
      </c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</row>
    <row r="21" spans="1:96" ht="15" customHeight="1" x14ac:dyDescent="0.25">
      <c r="A21" s="8">
        <f>Mountaineer!A21</f>
        <v>44849</v>
      </c>
      <c r="B21" s="9">
        <v>60195585.890000001</v>
      </c>
      <c r="C21" s="9">
        <v>54272454.840000004</v>
      </c>
      <c r="D21" s="9">
        <v>899934</v>
      </c>
      <c r="E21" s="9">
        <f t="shared" ref="E21" si="184">B21-C21-D21</f>
        <v>5023197.049999997</v>
      </c>
      <c r="F21" s="9">
        <f>ROUND(E21*0.04,2)+0.01</f>
        <v>200927.89</v>
      </c>
      <c r="G21" s="9">
        <f t="shared" ref="G21" si="185">ROUND(E21*0,2)</f>
        <v>0</v>
      </c>
      <c r="H21" s="22">
        <f t="shared" ref="H21" si="186">E21-F21-G21</f>
        <v>4822269.1599999974</v>
      </c>
      <c r="I21" s="9">
        <f t="shared" ref="I21" si="187">ROUND(H21*0,2)</f>
        <v>0</v>
      </c>
      <c r="J21" s="9">
        <f t="shared" ref="J21" si="188">ROUND((I21*0.58)+((I21*0.42)*0.1),2)</f>
        <v>0</v>
      </c>
      <c r="K21" s="9">
        <f t="shared" ref="K21" si="189">ROUND((I21*0.42)*0.9,2)</f>
        <v>0</v>
      </c>
      <c r="L21" s="22">
        <f t="shared" ref="L21" si="190">IF(J21+K21=I21,H21-I21,"ERROR")</f>
        <v>4822269.1599999974</v>
      </c>
      <c r="M21" s="9">
        <f t="shared" ref="M21" si="191">ROUND(L21*0.465,2)</f>
        <v>2242355.16</v>
      </c>
      <c r="N21" s="9">
        <f>ROUND(L21*0.3,2)-0.05</f>
        <v>1446680.7</v>
      </c>
      <c r="O21" s="9">
        <f>ROUND(L21*0.1285,2)+0.01</f>
        <v>619661.6</v>
      </c>
      <c r="P21" s="9">
        <f t="shared" ref="P21" si="192">ROUND((L21*0.07)*0.9,2)</f>
        <v>303802.96000000002</v>
      </c>
      <c r="Q21" s="9">
        <f>ROUND(L21*0.01,2)+0.01</f>
        <v>48222.700000000004</v>
      </c>
      <c r="R21" s="9">
        <f t="shared" ref="R21" si="193">ROUND((L21*0.0075)*0.9,2)</f>
        <v>32550.32</v>
      </c>
      <c r="S21" s="9">
        <f t="shared" ref="S21" si="194">ROUND((L21*0.0075)*0.9,2)</f>
        <v>32550.32</v>
      </c>
      <c r="T21" s="9">
        <f>ROUND(L21*0.01,2)+0.01</f>
        <v>48222.700000000004</v>
      </c>
      <c r="U21" s="9">
        <f>ROUND(L21*0.01,2)+0.01</f>
        <v>48222.700000000004</v>
      </c>
      <c r="V21" s="17">
        <f t="shared" ref="V21" si="195">E21/W21</f>
        <v>3064.79380719951</v>
      </c>
      <c r="W21" s="10">
        <v>1639</v>
      </c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</row>
    <row r="22" spans="1:96" ht="15" customHeight="1" x14ac:dyDescent="0.25">
      <c r="A22" s="8">
        <f>Mountaineer!A22</f>
        <v>44856</v>
      </c>
      <c r="B22" s="9">
        <v>58100680.850000001</v>
      </c>
      <c r="C22" s="9">
        <v>52303076.200000003</v>
      </c>
      <c r="D22" s="9">
        <v>813361</v>
      </c>
      <c r="E22" s="9">
        <f t="shared" ref="E22" si="196">B22-C22-D22</f>
        <v>4984243.6499999985</v>
      </c>
      <c r="F22" s="9">
        <f>ROUND(E22*0.04,2)</f>
        <v>199369.75</v>
      </c>
      <c r="G22" s="9">
        <f t="shared" ref="G22" si="197">ROUND(E22*0,2)</f>
        <v>0</v>
      </c>
      <c r="H22" s="22">
        <f t="shared" ref="H22" si="198">E22-F22-G22</f>
        <v>4784873.8999999985</v>
      </c>
      <c r="I22" s="9">
        <f t="shared" ref="I22" si="199">ROUND(H22*0,2)</f>
        <v>0</v>
      </c>
      <c r="J22" s="9">
        <f t="shared" ref="J22" si="200">ROUND((I22*0.58)+((I22*0.42)*0.1),2)</f>
        <v>0</v>
      </c>
      <c r="K22" s="9">
        <f t="shared" ref="K22" si="201">ROUND((I22*0.42)*0.9,2)</f>
        <v>0</v>
      </c>
      <c r="L22" s="22">
        <f t="shared" ref="L22" si="202">IF(J22+K22=I22,H22-I22,"ERROR")</f>
        <v>4784873.8999999985</v>
      </c>
      <c r="M22" s="9">
        <f t="shared" ref="M22" si="203">ROUND(L22*0.465,2)</f>
        <v>2224966.36</v>
      </c>
      <c r="N22" s="9">
        <f>ROUND(L22*0.3,2)</f>
        <v>1435462.17</v>
      </c>
      <c r="O22" s="9">
        <f>ROUND(L22*0.1285,2)-0.01</f>
        <v>614856.29</v>
      </c>
      <c r="P22" s="9">
        <f t="shared" ref="P22" si="204">ROUND((L22*0.07)*0.9,2)</f>
        <v>301447.06</v>
      </c>
      <c r="Q22" s="9">
        <f t="shared" ref="Q22:Q27" si="205">ROUND(L22*0.01,2)</f>
        <v>47848.74</v>
      </c>
      <c r="R22" s="9">
        <f t="shared" ref="R22" si="206">ROUND((L22*0.0075)*0.9,2)</f>
        <v>32297.9</v>
      </c>
      <c r="S22" s="9">
        <f t="shared" ref="S22" si="207">ROUND((L22*0.0075)*0.9,2)</f>
        <v>32297.9</v>
      </c>
      <c r="T22" s="9">
        <f t="shared" ref="T22:T27" si="208">ROUND(L22*0.01,2)</f>
        <v>47848.74</v>
      </c>
      <c r="U22" s="9">
        <f t="shared" ref="U22:U27" si="209">ROUND(L22*0.01,2)</f>
        <v>47848.74</v>
      </c>
      <c r="V22" s="17">
        <f t="shared" ref="V22" si="210">E22/W22</f>
        <v>3042.8837912087902</v>
      </c>
      <c r="W22" s="10">
        <v>1638</v>
      </c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</row>
    <row r="23" spans="1:96" ht="15" customHeight="1" x14ac:dyDescent="0.25">
      <c r="A23" s="8">
        <f>Mountaineer!A23</f>
        <v>44863</v>
      </c>
      <c r="B23" s="9">
        <v>58073072.270000003</v>
      </c>
      <c r="C23" s="9">
        <v>52204744</v>
      </c>
      <c r="D23" s="9">
        <v>782822</v>
      </c>
      <c r="E23" s="9">
        <f t="shared" ref="E23" si="211">B23-C23-D23</f>
        <v>5085506.2700000033</v>
      </c>
      <c r="F23" s="9">
        <f>ROUND(E23*0.04,2)</f>
        <v>203420.25</v>
      </c>
      <c r="G23" s="9">
        <f t="shared" ref="G23" si="212">ROUND(E23*0,2)</f>
        <v>0</v>
      </c>
      <c r="H23" s="22">
        <f t="shared" ref="H23" si="213">E23-F23-G23</f>
        <v>4882086.0200000033</v>
      </c>
      <c r="I23" s="9">
        <f t="shared" ref="I23" si="214">ROUND(H23*0,2)</f>
        <v>0</v>
      </c>
      <c r="J23" s="9">
        <f t="shared" ref="J23" si="215">ROUND((I23*0.58)+((I23*0.42)*0.1),2)</f>
        <v>0</v>
      </c>
      <c r="K23" s="9">
        <f t="shared" ref="K23" si="216">ROUND((I23*0.42)*0.9,2)</f>
        <v>0</v>
      </c>
      <c r="L23" s="22">
        <f t="shared" ref="L23" si="217">IF(J23+K23=I23,H23-I23,"ERROR")</f>
        <v>4882086.0200000033</v>
      </c>
      <c r="M23" s="9">
        <f t="shared" ref="M23" si="218">ROUND(L23*0.465,2)</f>
        <v>2270170</v>
      </c>
      <c r="N23" s="9">
        <f>ROUND(L23*0.3,2)</f>
        <v>1464625.81</v>
      </c>
      <c r="O23" s="9">
        <f>ROUND(L23*0.1285,2)-0.02</f>
        <v>627348.03</v>
      </c>
      <c r="P23" s="9">
        <f t="shared" ref="P23" si="219">ROUND((L23*0.07)*0.9,2)</f>
        <v>307571.42</v>
      </c>
      <c r="Q23" s="9">
        <f t="shared" si="205"/>
        <v>48820.86</v>
      </c>
      <c r="R23" s="9">
        <f>ROUND((L23*0.0075)*0.9,2)+0.01</f>
        <v>32954.090000000004</v>
      </c>
      <c r="S23" s="9">
        <f>ROUND((L23*0.0075)*0.9,2)+0.01</f>
        <v>32954.090000000004</v>
      </c>
      <c r="T23" s="9">
        <f t="shared" si="208"/>
        <v>48820.86</v>
      </c>
      <c r="U23" s="9">
        <f t="shared" si="209"/>
        <v>48820.86</v>
      </c>
      <c r="V23" s="17">
        <f t="shared" ref="V23" si="220">E23/W23</f>
        <v>3069.1045684972864</v>
      </c>
      <c r="W23" s="10">
        <v>1657</v>
      </c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</row>
    <row r="24" spans="1:96" ht="15" customHeight="1" x14ac:dyDescent="0.25">
      <c r="A24" s="8">
        <f>Mountaineer!A24</f>
        <v>44870</v>
      </c>
      <c r="B24" s="9">
        <v>57436769.149999999</v>
      </c>
      <c r="C24" s="9">
        <v>51701086.379999995</v>
      </c>
      <c r="D24" s="9">
        <v>775995</v>
      </c>
      <c r="E24" s="9">
        <f t="shared" ref="E24" si="221">B24-C24-D24</f>
        <v>4959687.7700000033</v>
      </c>
      <c r="F24" s="9">
        <f>ROUND(E24*0.04,2)</f>
        <v>198387.51</v>
      </c>
      <c r="G24" s="9">
        <f t="shared" ref="G24" si="222">ROUND(E24*0,2)</f>
        <v>0</v>
      </c>
      <c r="H24" s="22">
        <f t="shared" ref="H24" si="223">E24-F24-G24</f>
        <v>4761300.2600000035</v>
      </c>
      <c r="I24" s="9">
        <f t="shared" ref="I24" si="224">ROUND(H24*0,2)</f>
        <v>0</v>
      </c>
      <c r="J24" s="9">
        <f t="shared" ref="J24" si="225">ROUND((I24*0.58)+((I24*0.42)*0.1),2)</f>
        <v>0</v>
      </c>
      <c r="K24" s="9">
        <f t="shared" ref="K24" si="226">ROUND((I24*0.42)*0.9,2)</f>
        <v>0</v>
      </c>
      <c r="L24" s="22">
        <f t="shared" ref="L24" si="227">IF(J24+K24=I24,H24-I24,"ERROR")</f>
        <v>4761300.2600000035</v>
      </c>
      <c r="M24" s="9">
        <f t="shared" ref="M24" si="228">ROUND(L24*0.465,2)</f>
        <v>2214004.62</v>
      </c>
      <c r="N24" s="9">
        <f>ROUND(L24*0.3,2)+0.01</f>
        <v>1428390.09</v>
      </c>
      <c r="O24" s="9">
        <f>ROUND(L24*0.1285,2)+0.01</f>
        <v>611827.09</v>
      </c>
      <c r="P24" s="9">
        <f t="shared" ref="P24" si="229">ROUND((L24*0.07)*0.9,2)</f>
        <v>299961.92</v>
      </c>
      <c r="Q24" s="9">
        <f t="shared" si="205"/>
        <v>47613</v>
      </c>
      <c r="R24" s="9">
        <f>ROUND((L24*0.0075)*0.9,2)-0.01</f>
        <v>32138.77</v>
      </c>
      <c r="S24" s="9">
        <f>ROUND((L24*0.0075)*0.9,2)-0.01</f>
        <v>32138.77</v>
      </c>
      <c r="T24" s="9">
        <f t="shared" si="208"/>
        <v>47613</v>
      </c>
      <c r="U24" s="9">
        <f t="shared" si="209"/>
        <v>47613</v>
      </c>
      <c r="V24" s="17">
        <f t="shared" ref="V24" si="230">E24/W24</f>
        <v>2961.0076238805991</v>
      </c>
      <c r="W24" s="10">
        <v>1675</v>
      </c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</row>
    <row r="25" spans="1:96" ht="15" customHeight="1" x14ac:dyDescent="0.25">
      <c r="A25" s="8">
        <f>Mountaineer!A25</f>
        <v>44877</v>
      </c>
      <c r="B25" s="9">
        <v>61543258.169999994</v>
      </c>
      <c r="C25" s="9">
        <v>55369452.079999998</v>
      </c>
      <c r="D25" s="9">
        <v>907912</v>
      </c>
      <c r="E25" s="9">
        <f t="shared" ref="E25" si="231">B25-C25-D25</f>
        <v>5265894.0899999961</v>
      </c>
      <c r="F25" s="9">
        <f>ROUND(E25*0.04,2)</f>
        <v>210635.76</v>
      </c>
      <c r="G25" s="9">
        <f t="shared" ref="G25" si="232">ROUND(E25*0,2)</f>
        <v>0</v>
      </c>
      <c r="H25" s="22">
        <f t="shared" ref="H25" si="233">E25-F25-G25</f>
        <v>5055258.3299999963</v>
      </c>
      <c r="I25" s="9">
        <f t="shared" ref="I25" si="234">ROUND(H25*0,2)</f>
        <v>0</v>
      </c>
      <c r="J25" s="9">
        <f t="shared" ref="J25" si="235">ROUND((I25*0.58)+((I25*0.42)*0.1),2)</f>
        <v>0</v>
      </c>
      <c r="K25" s="9">
        <f t="shared" ref="K25" si="236">ROUND((I25*0.42)*0.9,2)</f>
        <v>0</v>
      </c>
      <c r="L25" s="22">
        <f t="shared" ref="L25" si="237">IF(J25+K25=I25,H25-I25,"ERROR")</f>
        <v>5055258.3299999963</v>
      </c>
      <c r="M25" s="9">
        <f t="shared" ref="M25" si="238">ROUND(L25*0.465,2)</f>
        <v>2350695.12</v>
      </c>
      <c r="N25" s="9">
        <f>ROUND(L25*0.3,2)+0.02</f>
        <v>1516577.52</v>
      </c>
      <c r="O25" s="9">
        <f>ROUND(L25*0.1285,2)</f>
        <v>649600.69999999995</v>
      </c>
      <c r="P25" s="9">
        <f t="shared" ref="P25" si="239">ROUND((L25*0.07)*0.9,2)</f>
        <v>318481.27</v>
      </c>
      <c r="Q25" s="9">
        <f t="shared" si="205"/>
        <v>50552.58</v>
      </c>
      <c r="R25" s="9">
        <f t="shared" ref="R25:R30" si="240">ROUND((L25*0.0075)*0.9,2)</f>
        <v>34122.99</v>
      </c>
      <c r="S25" s="9">
        <f t="shared" ref="S25:S30" si="241">ROUND((L25*0.0075)*0.9,2)</f>
        <v>34122.99</v>
      </c>
      <c r="T25" s="9">
        <f t="shared" si="208"/>
        <v>50552.58</v>
      </c>
      <c r="U25" s="9">
        <f t="shared" si="209"/>
        <v>50552.58</v>
      </c>
      <c r="V25" s="17">
        <f t="shared" ref="V25" si="242">E25/W25</f>
        <v>3143.8173671641766</v>
      </c>
      <c r="W25" s="10">
        <v>1675</v>
      </c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</row>
    <row r="26" spans="1:96" ht="15" customHeight="1" x14ac:dyDescent="0.25">
      <c r="A26" s="8">
        <f>Mountaineer!A26</f>
        <v>44884</v>
      </c>
      <c r="B26" s="9">
        <v>53409958.800000004</v>
      </c>
      <c r="C26" s="9">
        <v>47856694.329999998</v>
      </c>
      <c r="D26" s="9">
        <v>770071</v>
      </c>
      <c r="E26" s="9">
        <f t="shared" ref="E26" si="243">B26-C26-D26</f>
        <v>4783193.4700000063</v>
      </c>
      <c r="F26" s="9">
        <f>ROUND(E26*0.04,2)-0.01</f>
        <v>191327.72999999998</v>
      </c>
      <c r="G26" s="9">
        <f t="shared" ref="G26" si="244">ROUND(E26*0,2)</f>
        <v>0</v>
      </c>
      <c r="H26" s="22">
        <f t="shared" ref="H26" si="245">E26-F26-G26</f>
        <v>4591865.7400000058</v>
      </c>
      <c r="I26" s="9">
        <f t="shared" ref="I26" si="246">ROUND(H26*0,2)</f>
        <v>0</v>
      </c>
      <c r="J26" s="9">
        <f t="shared" ref="J26" si="247">ROUND((I26*0.58)+((I26*0.42)*0.1),2)</f>
        <v>0</v>
      </c>
      <c r="K26" s="9">
        <f t="shared" ref="K26" si="248">ROUND((I26*0.42)*0.9,2)</f>
        <v>0</v>
      </c>
      <c r="L26" s="22">
        <f t="shared" ref="L26" si="249">IF(J26+K26=I26,H26-I26,"ERROR")</f>
        <v>4591865.7400000058</v>
      </c>
      <c r="M26" s="9">
        <f t="shared" ref="M26" si="250">ROUND(L26*0.465,2)</f>
        <v>2135217.5699999998</v>
      </c>
      <c r="N26" s="9">
        <f>ROUND(L26*0.3,2)-0.01</f>
        <v>1377559.71</v>
      </c>
      <c r="O26" s="9">
        <f>ROUND(L26*0.1285,2)+0.01</f>
        <v>590054.76</v>
      </c>
      <c r="P26" s="9">
        <f t="shared" ref="P26" si="251">ROUND((L26*0.07)*0.9,2)</f>
        <v>289287.53999999998</v>
      </c>
      <c r="Q26" s="9">
        <f t="shared" si="205"/>
        <v>45918.66</v>
      </c>
      <c r="R26" s="9">
        <f t="shared" si="240"/>
        <v>30995.09</v>
      </c>
      <c r="S26" s="9">
        <f t="shared" si="241"/>
        <v>30995.09</v>
      </c>
      <c r="T26" s="9">
        <f t="shared" si="208"/>
        <v>45918.66</v>
      </c>
      <c r="U26" s="9">
        <f t="shared" si="209"/>
        <v>45918.66</v>
      </c>
      <c r="V26" s="17">
        <f t="shared" ref="V26" si="252">E26/W26</f>
        <v>2888.4018538647379</v>
      </c>
      <c r="W26" s="10">
        <v>1656</v>
      </c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</row>
    <row r="27" spans="1:96" ht="15" customHeight="1" x14ac:dyDescent="0.25">
      <c r="A27" s="8">
        <f>Mountaineer!A27</f>
        <v>44891</v>
      </c>
      <c r="B27" s="9">
        <v>64254603.019999996</v>
      </c>
      <c r="C27" s="9">
        <v>57536128.609999999</v>
      </c>
      <c r="D27" s="9">
        <v>877083</v>
      </c>
      <c r="E27" s="9">
        <f t="shared" ref="E27" si="253">B27-C27-D27</f>
        <v>5841391.4099999964</v>
      </c>
      <c r="F27" s="9">
        <f>ROUND(E27*0.04,2)+0.01</f>
        <v>233655.67</v>
      </c>
      <c r="G27" s="9">
        <f t="shared" ref="G27" si="254">ROUND(E27*0,2)</f>
        <v>0</v>
      </c>
      <c r="H27" s="22">
        <f t="shared" ref="H27" si="255">E27-F27-G27</f>
        <v>5607735.7399999965</v>
      </c>
      <c r="I27" s="9">
        <f t="shared" ref="I27" si="256">ROUND(H27*0,2)</f>
        <v>0</v>
      </c>
      <c r="J27" s="9">
        <f t="shared" ref="J27" si="257">ROUND((I27*0.58)+((I27*0.42)*0.1),2)</f>
        <v>0</v>
      </c>
      <c r="K27" s="9">
        <f t="shared" ref="K27" si="258">ROUND((I27*0.42)*0.9,2)</f>
        <v>0</v>
      </c>
      <c r="L27" s="22">
        <f t="shared" ref="L27" si="259">IF(J27+K27=I27,H27-I27,"ERROR")</f>
        <v>5607735.7399999965</v>
      </c>
      <c r="M27" s="9">
        <f t="shared" ref="M27" si="260">ROUND(L27*0.465,2)</f>
        <v>2607597.12</v>
      </c>
      <c r="N27" s="9">
        <f>ROUND(L27*0.3,2)-0.01</f>
        <v>1682320.71</v>
      </c>
      <c r="O27" s="9">
        <f>ROUND(L27*0.1285,2)</f>
        <v>720594.04</v>
      </c>
      <c r="P27" s="9">
        <f t="shared" ref="P27" si="261">ROUND((L27*0.07)*0.9,2)</f>
        <v>353287.35</v>
      </c>
      <c r="Q27" s="9">
        <f t="shared" si="205"/>
        <v>56077.36</v>
      </c>
      <c r="R27" s="9">
        <f t="shared" si="240"/>
        <v>37852.22</v>
      </c>
      <c r="S27" s="9">
        <f t="shared" si="241"/>
        <v>37852.22</v>
      </c>
      <c r="T27" s="9">
        <f t="shared" si="208"/>
        <v>56077.36</v>
      </c>
      <c r="U27" s="9">
        <f t="shared" si="209"/>
        <v>56077.36</v>
      </c>
      <c r="V27" s="17">
        <f t="shared" ref="V27" si="262">E27/W27</f>
        <v>3444.2166332547149</v>
      </c>
      <c r="W27" s="10">
        <v>1696</v>
      </c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</row>
    <row r="28" spans="1:96" ht="15" customHeight="1" x14ac:dyDescent="0.25">
      <c r="A28" s="8">
        <f>Mountaineer!A28</f>
        <v>44898</v>
      </c>
      <c r="B28" s="9">
        <v>52765579.469999999</v>
      </c>
      <c r="C28" s="9">
        <v>47610269.68</v>
      </c>
      <c r="D28" s="9">
        <v>763053</v>
      </c>
      <c r="E28" s="9">
        <f t="shared" ref="E28" si="263">B28-C28-D28</f>
        <v>4392256.7899999991</v>
      </c>
      <c r="F28" s="9">
        <f>ROUND(E28*0.04,2)+0.01</f>
        <v>175690.28</v>
      </c>
      <c r="G28" s="9">
        <f t="shared" ref="G28" si="264">ROUND(E28*0,2)</f>
        <v>0</v>
      </c>
      <c r="H28" s="22">
        <f t="shared" ref="H28" si="265">E28-F28-G28</f>
        <v>4216566.5099999988</v>
      </c>
      <c r="I28" s="9">
        <f t="shared" ref="I28" si="266">ROUND(H28*0,2)</f>
        <v>0</v>
      </c>
      <c r="J28" s="9">
        <f t="shared" ref="J28" si="267">ROUND((I28*0.58)+((I28*0.42)*0.1),2)</f>
        <v>0</v>
      </c>
      <c r="K28" s="9">
        <f t="shared" ref="K28" si="268">ROUND((I28*0.42)*0.9,2)</f>
        <v>0</v>
      </c>
      <c r="L28" s="22">
        <f t="shared" ref="L28" si="269">IF(J28+K28=I28,H28-I28,"ERROR")</f>
        <v>4216566.5099999988</v>
      </c>
      <c r="M28" s="9">
        <f t="shared" ref="M28" si="270">ROUND(L28*0.465,2)</f>
        <v>1960703.43</v>
      </c>
      <c r="N28" s="9">
        <f>ROUND(L28*0.3,2)+0.03</f>
        <v>1264969.98</v>
      </c>
      <c r="O28" s="9">
        <f>ROUND(L28*0.1285,2)-0.01</f>
        <v>541828.79</v>
      </c>
      <c r="P28" s="9">
        <f t="shared" ref="P28" si="271">ROUND((L28*0.07)*0.9,2)</f>
        <v>265643.69</v>
      </c>
      <c r="Q28" s="9">
        <f>ROUND(L28*0.01,2)-0.01</f>
        <v>42165.659999999996</v>
      </c>
      <c r="R28" s="9">
        <f t="shared" si="240"/>
        <v>28461.82</v>
      </c>
      <c r="S28" s="9">
        <f t="shared" si="241"/>
        <v>28461.82</v>
      </c>
      <c r="T28" s="9">
        <f>ROUND(L28*0.01,2)-0.01</f>
        <v>42165.659999999996</v>
      </c>
      <c r="U28" s="9">
        <f>ROUND(L28*0.01,2)-0.01</f>
        <v>42165.659999999996</v>
      </c>
      <c r="V28" s="17">
        <f t="shared" ref="V28" si="272">E28/W28</f>
        <v>2525.7370845313394</v>
      </c>
      <c r="W28" s="10">
        <v>1739</v>
      </c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</row>
    <row r="29" spans="1:96" ht="15" customHeight="1" x14ac:dyDescent="0.25">
      <c r="A29" s="8">
        <f>Mountaineer!A29</f>
        <v>44905</v>
      </c>
      <c r="B29" s="23">
        <v>53350791.659999996</v>
      </c>
      <c r="C29" s="9">
        <v>48216235.099999994</v>
      </c>
      <c r="D29" s="9">
        <v>807574</v>
      </c>
      <c r="E29" s="9">
        <f t="shared" ref="E29" si="273">B29-C29-D29</f>
        <v>4326982.5600000024</v>
      </c>
      <c r="F29" s="9">
        <f>ROUND(E29*0.04,2)+0.01</f>
        <v>173079.31</v>
      </c>
      <c r="G29" s="9">
        <f t="shared" ref="G29" si="274">ROUND(E29*0,2)</f>
        <v>0</v>
      </c>
      <c r="H29" s="22">
        <f t="shared" ref="H29" si="275">E29-F29-G29</f>
        <v>4153903.2500000023</v>
      </c>
      <c r="I29" s="9">
        <f t="shared" ref="I29" si="276">ROUND(H29*0,2)</f>
        <v>0</v>
      </c>
      <c r="J29" s="9">
        <f t="shared" ref="J29" si="277">ROUND((I29*0.58)+((I29*0.42)*0.1),2)</f>
        <v>0</v>
      </c>
      <c r="K29" s="9">
        <f t="shared" ref="K29" si="278">ROUND((I29*0.42)*0.9,2)</f>
        <v>0</v>
      </c>
      <c r="L29" s="22">
        <f t="shared" ref="L29" si="279">IF(J29+K29=I29,H29-I29,"ERROR")</f>
        <v>4153903.2500000023</v>
      </c>
      <c r="M29" s="9">
        <f t="shared" ref="M29" si="280">ROUND(L29*0.465,2)</f>
        <v>1931565.01</v>
      </c>
      <c r="N29" s="9">
        <f>ROUND(L29*0.3,2)-0.04</f>
        <v>1246170.94</v>
      </c>
      <c r="O29" s="9">
        <f>ROUND(L29*0.1285,2)+0.01</f>
        <v>533776.57999999996</v>
      </c>
      <c r="P29" s="9">
        <f t="shared" ref="P29" si="281">ROUND((L29*0.07)*0.9,2)</f>
        <v>261695.9</v>
      </c>
      <c r="Q29" s="9">
        <f>ROUND(L29*0.01,2)+0.01</f>
        <v>41539.040000000001</v>
      </c>
      <c r="R29" s="9">
        <f t="shared" si="240"/>
        <v>28038.85</v>
      </c>
      <c r="S29" s="9">
        <f t="shared" si="241"/>
        <v>28038.85</v>
      </c>
      <c r="T29" s="9">
        <f>ROUND(L29*0.01,2)+0.01</f>
        <v>41539.040000000001</v>
      </c>
      <c r="U29" s="9">
        <f>ROUND(L29*0.01,2)+0.01</f>
        <v>41539.040000000001</v>
      </c>
      <c r="V29" s="17">
        <f t="shared" ref="V29" si="282">E29/W29</f>
        <v>2509.8506728538296</v>
      </c>
      <c r="W29" s="10">
        <v>1724</v>
      </c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</row>
    <row r="30" spans="1:96" ht="15" customHeight="1" x14ac:dyDescent="0.25">
      <c r="A30" s="8">
        <f>Mountaineer!A30</f>
        <v>44912</v>
      </c>
      <c r="B30" s="23">
        <v>49387527.239999995</v>
      </c>
      <c r="C30" s="9">
        <v>44561492.340000004</v>
      </c>
      <c r="D30" s="9">
        <v>702815</v>
      </c>
      <c r="E30" s="9">
        <f t="shared" ref="E30" si="283">B30-C30-D30</f>
        <v>4123219.8999999911</v>
      </c>
      <c r="F30" s="9">
        <f>ROUND(E30*0.04,2)</f>
        <v>164928.79999999999</v>
      </c>
      <c r="G30" s="9">
        <f t="shared" ref="G30" si="284">ROUND(E30*0,2)</f>
        <v>0</v>
      </c>
      <c r="H30" s="22">
        <f t="shared" ref="H30" si="285">E30-F30-G30</f>
        <v>3958291.0999999912</v>
      </c>
      <c r="I30" s="9">
        <f t="shared" ref="I30" si="286">ROUND(H30*0,2)</f>
        <v>0</v>
      </c>
      <c r="J30" s="9">
        <f t="shared" ref="J30" si="287">ROUND((I30*0.58)+((I30*0.42)*0.1),2)</f>
        <v>0</v>
      </c>
      <c r="K30" s="9">
        <f t="shared" ref="K30" si="288">ROUND((I30*0.42)*0.9,2)</f>
        <v>0</v>
      </c>
      <c r="L30" s="22">
        <f t="shared" ref="L30" si="289">IF(J30+K30=I30,H30-I30,"ERROR")</f>
        <v>3958291.0999999912</v>
      </c>
      <c r="M30" s="9">
        <f t="shared" ref="M30" si="290">ROUND(L30*0.465,2)</f>
        <v>1840605.36</v>
      </c>
      <c r="N30" s="9">
        <f>ROUND(L30*0.3,2)-0.04</f>
        <v>1187487.29</v>
      </c>
      <c r="O30" s="9">
        <f>ROUND(L30*0.1285,2)+0.02</f>
        <v>508640.43</v>
      </c>
      <c r="P30" s="9">
        <f t="shared" ref="P30" si="291">ROUND((L30*0.07)*0.9,2)</f>
        <v>249372.34</v>
      </c>
      <c r="Q30" s="9">
        <f>ROUND(L30*0.01,2)+0.01</f>
        <v>39582.920000000006</v>
      </c>
      <c r="R30" s="9">
        <f t="shared" si="240"/>
        <v>26718.46</v>
      </c>
      <c r="S30" s="9">
        <f t="shared" si="241"/>
        <v>26718.46</v>
      </c>
      <c r="T30" s="9">
        <f>ROUND(L30*0.01,2)+0.01</f>
        <v>39582.920000000006</v>
      </c>
      <c r="U30" s="9">
        <f>ROUND(L30*0.01,2)+0.01</f>
        <v>39582.920000000006</v>
      </c>
      <c r="V30" s="17">
        <f t="shared" ref="V30" si="292">E30/W30</f>
        <v>2444.1137522228755</v>
      </c>
      <c r="W30" s="10">
        <v>1687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</row>
    <row r="31" spans="1:96" ht="15" customHeight="1" x14ac:dyDescent="0.25">
      <c r="A31" s="8">
        <f>Mountaineer!A31</f>
        <v>44919</v>
      </c>
      <c r="B31" s="23">
        <v>46542270.660000004</v>
      </c>
      <c r="C31" s="9">
        <v>41982584.510000005</v>
      </c>
      <c r="D31" s="9">
        <v>640778</v>
      </c>
      <c r="E31" s="9">
        <f t="shared" ref="E31" si="293">B31-C31-D31</f>
        <v>3918908.1499999985</v>
      </c>
      <c r="F31" s="9">
        <f>ROUND(E31*0.04,2)</f>
        <v>156756.32999999999</v>
      </c>
      <c r="G31" s="9">
        <f t="shared" ref="G31" si="294">ROUND(E31*0,2)</f>
        <v>0</v>
      </c>
      <c r="H31" s="22">
        <f t="shared" ref="H31" si="295">E31-F31-G31</f>
        <v>3762151.8199999984</v>
      </c>
      <c r="I31" s="9">
        <f t="shared" ref="I31" si="296">ROUND(H31*0,2)</f>
        <v>0</v>
      </c>
      <c r="J31" s="9">
        <f t="shared" ref="J31" si="297">ROUND((I31*0.58)+((I31*0.42)*0.1),2)</f>
        <v>0</v>
      </c>
      <c r="K31" s="9">
        <f t="shared" ref="K31" si="298">ROUND((I31*0.42)*0.9,2)</f>
        <v>0</v>
      </c>
      <c r="L31" s="22">
        <f t="shared" ref="L31" si="299">IF(J31+K31=I31,H31-I31,"ERROR")</f>
        <v>3762151.8199999984</v>
      </c>
      <c r="M31" s="9">
        <f t="shared" ref="M31" si="300">ROUND(L31*0.465,2)</f>
        <v>1749400.6</v>
      </c>
      <c r="N31" s="9">
        <f>ROUND(L31*0.3,2)-0.02</f>
        <v>1128645.53</v>
      </c>
      <c r="O31" s="9">
        <f>ROUND(L31*0.1285,2)+0.02</f>
        <v>483436.53</v>
      </c>
      <c r="P31" s="9">
        <f t="shared" ref="P31" si="301">ROUND((L31*0.07)*0.9,2)</f>
        <v>237015.56</v>
      </c>
      <c r="Q31" s="9">
        <f>ROUND(L31*0.01,2)</f>
        <v>37621.519999999997</v>
      </c>
      <c r="R31" s="9">
        <f t="shared" ref="R31" si="302">ROUND((L31*0.0075)*0.9,2)</f>
        <v>25394.52</v>
      </c>
      <c r="S31" s="9">
        <f t="shared" ref="S31" si="303">ROUND((L31*0.0075)*0.9,2)</f>
        <v>25394.52</v>
      </c>
      <c r="T31" s="9">
        <f>ROUND(L31*0.01,2)</f>
        <v>37621.519999999997</v>
      </c>
      <c r="U31" s="9">
        <f>ROUND(L31*0.01,2)</f>
        <v>37621.519999999997</v>
      </c>
      <c r="V31" s="17">
        <f t="shared" ref="V31" si="304">E31/W31</f>
        <v>2329.909720570748</v>
      </c>
      <c r="W31" s="10">
        <v>1682</v>
      </c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</row>
    <row r="32" spans="1:96" ht="15" customHeight="1" x14ac:dyDescent="0.25">
      <c r="A32" s="8">
        <f>Mountaineer!A32</f>
        <v>44926</v>
      </c>
      <c r="B32" s="23">
        <v>85987671.210000008</v>
      </c>
      <c r="C32" s="9">
        <v>77603839.689999998</v>
      </c>
      <c r="D32" s="9">
        <v>1055355</v>
      </c>
      <c r="E32" s="9">
        <f t="shared" ref="E32" si="305">B32-C32-D32</f>
        <v>7328476.5200000107</v>
      </c>
      <c r="F32" s="9">
        <v>202065.14</v>
      </c>
      <c r="G32" s="9">
        <v>91073.919999999998</v>
      </c>
      <c r="H32" s="22">
        <f t="shared" ref="H32" si="306">E32-F32-G32</f>
        <v>7035337.4600000111</v>
      </c>
      <c r="I32" s="9">
        <f t="shared" ref="I32" si="307">ROUND(H32*0,2)</f>
        <v>0</v>
      </c>
      <c r="J32" s="9">
        <f t="shared" ref="J32" si="308">ROUND((I32*0.58)+((I32*0.42)*0.1),2)</f>
        <v>0</v>
      </c>
      <c r="K32" s="9">
        <f t="shared" ref="K32" si="309">ROUND((I32*0.42)*0.9,2)</f>
        <v>0</v>
      </c>
      <c r="L32" s="22">
        <f t="shared" ref="L32" si="310">IF(J32+K32=I32,H32-I32,"ERROR")</f>
        <v>7035337.4600000111</v>
      </c>
      <c r="M32" s="9">
        <f t="shared" ref="M32" si="311">ROUND(L32*0.465,2)</f>
        <v>3271431.92</v>
      </c>
      <c r="N32" s="9">
        <f>ROUND(L32*0.3,2)-0.04</f>
        <v>2110601.2000000002</v>
      </c>
      <c r="O32" s="9">
        <f>ROUND(L32*0.1285,2)+0.02</f>
        <v>904040.88</v>
      </c>
      <c r="P32" s="9">
        <f t="shared" ref="P32" si="312">ROUND((L32*0.07)*0.9,2)</f>
        <v>443226.26</v>
      </c>
      <c r="Q32" s="9">
        <f>ROUND(L32*0.01,2)+0.01</f>
        <v>70353.37999999999</v>
      </c>
      <c r="R32" s="9">
        <f t="shared" ref="R32" si="313">ROUND((L32*0.0075)*0.9,2)</f>
        <v>47488.53</v>
      </c>
      <c r="S32" s="9">
        <f t="shared" ref="S32" si="314">ROUND((L32*0.0075)*0.9,2)</f>
        <v>47488.53</v>
      </c>
      <c r="T32" s="9">
        <f>ROUND(L32*0.01,2)+0.01</f>
        <v>70353.37999999999</v>
      </c>
      <c r="U32" s="9">
        <f>ROUND(L32*0.01,2)+0.01</f>
        <v>70353.37999999999</v>
      </c>
      <c r="V32" s="17">
        <f t="shared" ref="V32" si="315">E32/W32</f>
        <v>4204.5189443488298</v>
      </c>
      <c r="W32" s="10">
        <v>1743</v>
      </c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</row>
    <row r="33" spans="1:96" ht="15" customHeight="1" x14ac:dyDescent="0.25">
      <c r="A33" s="8">
        <f>Mountaineer!A33</f>
        <v>44933</v>
      </c>
      <c r="B33" s="23">
        <v>67688696.810000002</v>
      </c>
      <c r="C33" s="9">
        <v>60842001.049999997</v>
      </c>
      <c r="D33" s="9">
        <v>836577</v>
      </c>
      <c r="E33" s="9">
        <f t="shared" ref="E33" si="316">B33-C33-D33</f>
        <v>6010118.7600000054</v>
      </c>
      <c r="F33" s="9">
        <v>0</v>
      </c>
      <c r="G33" s="9">
        <f>ROUND(E33*0.04,2)</f>
        <v>240404.75</v>
      </c>
      <c r="H33" s="22">
        <f t="shared" ref="H33" si="317">E33-F33-G33</f>
        <v>5769714.0100000054</v>
      </c>
      <c r="I33" s="9">
        <v>394454.53</v>
      </c>
      <c r="J33" s="9">
        <f t="shared" ref="J33" si="318">ROUND((I33*0.58)+((I33*0.42)*0.1),2)</f>
        <v>245350.72</v>
      </c>
      <c r="K33" s="9">
        <f t="shared" ref="K33" si="319">ROUND((I33*0.42)*0.9,2)</f>
        <v>149103.81</v>
      </c>
      <c r="L33" s="22">
        <f t="shared" ref="L33" si="320">IF(J33+K33=I33,H33-I33,"ERROR")</f>
        <v>5375259.4800000051</v>
      </c>
      <c r="M33" s="9">
        <v>2339741.5699999998</v>
      </c>
      <c r="N33" s="9">
        <v>547550.66</v>
      </c>
      <c r="O33" s="9">
        <v>2029105.06</v>
      </c>
      <c r="P33" s="9">
        <v>242788.9</v>
      </c>
      <c r="Q33" s="9">
        <v>36002.129999999997</v>
      </c>
      <c r="R33" s="9">
        <f t="shared" ref="R33:R34" si="321">ROUND((L33*0.0075)*0.9,2)</f>
        <v>36283</v>
      </c>
      <c r="S33" s="9">
        <f t="shared" ref="S33:S34" si="322">ROUND((L33*0.0075)*0.9,2)</f>
        <v>36283</v>
      </c>
      <c r="T33" s="9">
        <f>ROUND(L33*0.01,2)-0.01</f>
        <v>53752.579999999994</v>
      </c>
      <c r="U33" s="9">
        <f>ROUND(L33*0.01,2)-0.01</f>
        <v>53752.579999999994</v>
      </c>
      <c r="V33" s="17">
        <f t="shared" ref="V33" si="323">E33/W33</f>
        <v>3361.3639597315464</v>
      </c>
      <c r="W33" s="10">
        <v>1788</v>
      </c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</row>
    <row r="34" spans="1:96" ht="15" customHeight="1" x14ac:dyDescent="0.25">
      <c r="A34" s="8">
        <f>Mountaineer!A34</f>
        <v>44940</v>
      </c>
      <c r="B34" s="23">
        <v>57664403.560000002</v>
      </c>
      <c r="C34" s="9">
        <v>51733849.109999999</v>
      </c>
      <c r="D34" s="9">
        <v>837392</v>
      </c>
      <c r="E34" s="9">
        <f t="shared" ref="E34" si="324">B34-C34-D34</f>
        <v>5093162.450000003</v>
      </c>
      <c r="F34" s="9">
        <v>0</v>
      </c>
      <c r="G34" s="9">
        <f>ROUND(E34*0.04,2)</f>
        <v>203726.5</v>
      </c>
      <c r="H34" s="22">
        <f t="shared" ref="H34" si="325">E34-F34-G34</f>
        <v>4889435.950000003</v>
      </c>
      <c r="I34" s="9">
        <f>ROUND(H34*0.1,2)-0.01</f>
        <v>488943.58999999997</v>
      </c>
      <c r="J34" s="9">
        <f t="shared" ref="J34" si="326">ROUND((I34*0.58)+((I34*0.42)*0.1),2)</f>
        <v>304122.90999999997</v>
      </c>
      <c r="K34" s="9">
        <f t="shared" ref="K34" si="327">ROUND((I34*0.42)*0.9,2)</f>
        <v>184820.68</v>
      </c>
      <c r="L34" s="22">
        <f t="shared" ref="L34" si="328">IF(J34+K34=I34,H34-I34,"ERROR")</f>
        <v>4400492.3600000031</v>
      </c>
      <c r="M34" s="9">
        <f t="shared" ref="M34" si="329">ROUND(L34*0.42,2)</f>
        <v>1848206.79</v>
      </c>
      <c r="N34" s="9">
        <f t="shared" ref="N34" si="330">ROUND(L34*0,2)</f>
        <v>0</v>
      </c>
      <c r="O34" s="9">
        <f>ROUND((L34*0.0955)+(L34*0.41),2)+0.02</f>
        <v>2224448.91</v>
      </c>
      <c r="P34" s="9">
        <f t="shared" ref="P34" si="331">ROUND((L34*0.04)*0.9,2)</f>
        <v>158417.72</v>
      </c>
      <c r="Q34" s="9">
        <f t="shared" ref="Q34" si="332">ROUND(L34*0.005,2)</f>
        <v>22002.46</v>
      </c>
      <c r="R34" s="9">
        <f t="shared" si="321"/>
        <v>29703.32</v>
      </c>
      <c r="S34" s="9">
        <f t="shared" si="322"/>
        <v>29703.32</v>
      </c>
      <c r="T34" s="9">
        <f>ROUND(L34*0.01,2)</f>
        <v>44004.92</v>
      </c>
      <c r="U34" s="9">
        <f>ROUND(L34*0.01,2)</f>
        <v>44004.92</v>
      </c>
      <c r="V34" s="17">
        <f t="shared" ref="V34" si="333">E34/W34</f>
        <v>2829.5346944444459</v>
      </c>
      <c r="W34" s="10">
        <v>1800</v>
      </c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</row>
    <row r="35" spans="1:96" ht="15" customHeight="1" x14ac:dyDescent="0.25">
      <c r="A35" s="8">
        <f>Mountaineer!A35</f>
        <v>44947</v>
      </c>
      <c r="B35" s="23">
        <v>62649887.760000005</v>
      </c>
      <c r="C35" s="9">
        <v>56579850.010000005</v>
      </c>
      <c r="D35" s="9">
        <v>953617.99</v>
      </c>
      <c r="E35" s="9">
        <f t="shared" ref="E35" si="334">B35-C35-D35</f>
        <v>5116419.76</v>
      </c>
      <c r="F35" s="9">
        <v>0</v>
      </c>
      <c r="G35" s="9">
        <f>ROUND(E35*0.04,2)+0.01</f>
        <v>204656.80000000002</v>
      </c>
      <c r="H35" s="22">
        <f t="shared" ref="H35" si="335">E35-F35-G35</f>
        <v>4911762.96</v>
      </c>
      <c r="I35" s="9">
        <f>ROUND(H35*0.1,2)</f>
        <v>491176.3</v>
      </c>
      <c r="J35" s="9">
        <f t="shared" ref="J35" si="336">ROUND((I35*0.58)+((I35*0.42)*0.1),2)</f>
        <v>305511.65999999997</v>
      </c>
      <c r="K35" s="9">
        <f t="shared" ref="K35" si="337">ROUND((I35*0.42)*0.9,2)</f>
        <v>185664.64000000001</v>
      </c>
      <c r="L35" s="22">
        <f t="shared" ref="L35" si="338">IF(J35+K35=I35,H35-I35,"ERROR")</f>
        <v>4420586.66</v>
      </c>
      <c r="M35" s="9">
        <f t="shared" ref="M35" si="339">ROUND(L35*0.42,2)</f>
        <v>1856646.4</v>
      </c>
      <c r="N35" s="9">
        <f t="shared" ref="N35" si="340">ROUND(L35*0,2)</f>
        <v>0</v>
      </c>
      <c r="O35" s="9">
        <f>ROUND((L35*0.0955)+(L35*0.41),2)+0.01</f>
        <v>2234606.5699999998</v>
      </c>
      <c r="P35" s="9">
        <f t="shared" ref="P35" si="341">ROUND((L35*0.04)*0.9,2)</f>
        <v>159141.12</v>
      </c>
      <c r="Q35" s="9">
        <f t="shared" ref="Q35" si="342">ROUND(L35*0.005,2)</f>
        <v>22102.93</v>
      </c>
      <c r="R35" s="9">
        <f t="shared" ref="R35" si="343">ROUND((L35*0.0075)*0.9,2)</f>
        <v>29838.959999999999</v>
      </c>
      <c r="S35" s="9">
        <f t="shared" ref="S35" si="344">ROUND((L35*0.0075)*0.9,2)</f>
        <v>29838.959999999999</v>
      </c>
      <c r="T35" s="9">
        <f>ROUND(L35*0.01,2)-0.01</f>
        <v>44205.86</v>
      </c>
      <c r="U35" s="9">
        <f>ROUND(L35*0.01,2)-0.01</f>
        <v>44205.86</v>
      </c>
      <c r="V35" s="17">
        <f t="shared" ref="V35" si="345">E35/W35</f>
        <v>2892.2666817410964</v>
      </c>
      <c r="W35" s="10">
        <v>1769</v>
      </c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</row>
    <row r="36" spans="1:96" ht="15" customHeight="1" x14ac:dyDescent="0.25">
      <c r="A36" s="8">
        <f>Mountaineer!A36</f>
        <v>44954</v>
      </c>
      <c r="B36" s="23">
        <v>59259627.18</v>
      </c>
      <c r="C36" s="9">
        <v>53200145.57</v>
      </c>
      <c r="D36" s="9">
        <v>773041.88</v>
      </c>
      <c r="E36" s="9">
        <f t="shared" ref="E36" si="346">B36-C36-D36</f>
        <v>5286439.7299999995</v>
      </c>
      <c r="F36" s="9">
        <v>0</v>
      </c>
      <c r="G36" s="9">
        <f>ROUND(E36*0.04,2)-0.01</f>
        <v>211457.58</v>
      </c>
      <c r="H36" s="22">
        <f t="shared" ref="H36" si="347">E36-F36-G36</f>
        <v>5074982.1499999994</v>
      </c>
      <c r="I36" s="9">
        <f>ROUND(H36*0.1,2)</f>
        <v>507498.22</v>
      </c>
      <c r="J36" s="9">
        <f t="shared" ref="J36" si="348">ROUND((I36*0.58)+((I36*0.42)*0.1),2)</f>
        <v>315663.89</v>
      </c>
      <c r="K36" s="9">
        <f t="shared" ref="K36" si="349">ROUND((I36*0.42)*0.9,2)</f>
        <v>191834.33</v>
      </c>
      <c r="L36" s="22">
        <f t="shared" ref="L36" si="350">IF(J36+K36=I36,H36-I36,"ERROR")</f>
        <v>4567483.93</v>
      </c>
      <c r="M36" s="9">
        <f t="shared" ref="M36" si="351">ROUND(L36*0.42,2)</f>
        <v>1918343.25</v>
      </c>
      <c r="N36" s="9">
        <f t="shared" ref="N36" si="352">ROUND(L36*0,2)</f>
        <v>0</v>
      </c>
      <c r="O36" s="9">
        <f>ROUND((L36*0.0955)+(L36*0.41),2)-0.01</f>
        <v>2308863.12</v>
      </c>
      <c r="P36" s="9">
        <f t="shared" ref="P36" si="353">ROUND((L36*0.04)*0.9,2)</f>
        <v>164429.42000000001</v>
      </c>
      <c r="Q36" s="9">
        <f t="shared" ref="Q36" si="354">ROUND(L36*0.005,2)</f>
        <v>22837.42</v>
      </c>
      <c r="R36" s="9">
        <f t="shared" ref="R36" si="355">ROUND((L36*0.0075)*0.9,2)</f>
        <v>30830.52</v>
      </c>
      <c r="S36" s="9">
        <f t="shared" ref="S36" si="356">ROUND((L36*0.0075)*0.9,2)</f>
        <v>30830.52</v>
      </c>
      <c r="T36" s="9">
        <f>ROUND(L36*0.01,2)</f>
        <v>45674.84</v>
      </c>
      <c r="U36" s="9">
        <f>ROUND(L36*0.01,2)</f>
        <v>45674.84</v>
      </c>
      <c r="V36" s="17">
        <f t="shared" ref="V36" si="357">E36/W36</f>
        <v>3024.2790217391303</v>
      </c>
      <c r="W36" s="10">
        <v>1748</v>
      </c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</row>
    <row r="37" spans="1:96" ht="15" customHeight="1" x14ac:dyDescent="0.25">
      <c r="A37" s="8">
        <f>Mountaineer!A37</f>
        <v>44961</v>
      </c>
      <c r="B37" s="23">
        <v>60221298.990000002</v>
      </c>
      <c r="C37" s="9">
        <v>54081248.619999997</v>
      </c>
      <c r="D37" s="9">
        <v>876506.76</v>
      </c>
      <c r="E37" s="9">
        <f t="shared" ref="E37" si="358">B37-C37-D37</f>
        <v>5263543.610000005</v>
      </c>
      <c r="F37" s="9">
        <v>0</v>
      </c>
      <c r="G37" s="9">
        <f>ROUND(E37*0.04,2)</f>
        <v>210541.74</v>
      </c>
      <c r="H37" s="22">
        <f t="shared" ref="H37" si="359">E37-F37-G37</f>
        <v>5053001.8700000048</v>
      </c>
      <c r="I37" s="9">
        <f>ROUND(H37*0.1,2)</f>
        <v>505300.19</v>
      </c>
      <c r="J37" s="9">
        <f t="shared" ref="J37" si="360">ROUND((I37*0.58)+((I37*0.42)*0.1),2)</f>
        <v>314296.71999999997</v>
      </c>
      <c r="K37" s="9">
        <f t="shared" ref="K37" si="361">ROUND((I37*0.42)*0.9,2)</f>
        <v>191003.47</v>
      </c>
      <c r="L37" s="22">
        <f t="shared" ref="L37" si="362">IF(J37+K37=I37,H37-I37,"ERROR")</f>
        <v>4547701.6800000044</v>
      </c>
      <c r="M37" s="9">
        <f t="shared" ref="M37" si="363">ROUND(L37*0.42,2)</f>
        <v>1910034.71</v>
      </c>
      <c r="N37" s="9">
        <f t="shared" ref="N37" si="364">ROUND(L37*0,2)</f>
        <v>0</v>
      </c>
      <c r="O37" s="9">
        <f>ROUND((L37*0.0955)+(L37*0.41),2)-0.02</f>
        <v>2298863.1800000002</v>
      </c>
      <c r="P37" s="9">
        <f t="shared" ref="P37" si="365">ROUND((L37*0.04)*0.9,2)</f>
        <v>163717.26</v>
      </c>
      <c r="Q37" s="9">
        <f t="shared" ref="Q37" si="366">ROUND(L37*0.005,2)</f>
        <v>22738.51</v>
      </c>
      <c r="R37" s="9">
        <f t="shared" ref="R37" si="367">ROUND((L37*0.0075)*0.9,2)</f>
        <v>30696.99</v>
      </c>
      <c r="S37" s="9">
        <f t="shared" ref="S37" si="368">ROUND((L37*0.0075)*0.9,2)</f>
        <v>30696.99</v>
      </c>
      <c r="T37" s="9">
        <f>ROUND(L37*0.01,2)</f>
        <v>45477.02</v>
      </c>
      <c r="U37" s="9">
        <f>ROUND(L37*0.01,2)</f>
        <v>45477.02</v>
      </c>
      <c r="V37" s="17">
        <f t="shared" ref="V37" si="369">E37/W37</f>
        <v>3006.0214791547714</v>
      </c>
      <c r="W37" s="10">
        <v>1751</v>
      </c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</row>
    <row r="38" spans="1:96" ht="15" customHeight="1" x14ac:dyDescent="0.25">
      <c r="A38" s="8">
        <f>Mountaineer!A38</f>
        <v>44968</v>
      </c>
      <c r="B38" s="23">
        <v>62682051.019999996</v>
      </c>
      <c r="C38" s="9">
        <v>56527390.589999996</v>
      </c>
      <c r="D38" s="9">
        <v>956240.88</v>
      </c>
      <c r="E38" s="9">
        <f t="shared" ref="E38" si="370">B38-C38-D38</f>
        <v>5198419.55</v>
      </c>
      <c r="F38" s="9">
        <v>0</v>
      </c>
      <c r="G38" s="9">
        <f>ROUND(E38*0.04,2)+0.01</f>
        <v>207936.79</v>
      </c>
      <c r="H38" s="22">
        <f t="shared" ref="H38" si="371">E38-F38-G38</f>
        <v>4990482.76</v>
      </c>
      <c r="I38" s="9">
        <f>ROUND(H38*0.1,2)-0.01</f>
        <v>499048.27</v>
      </c>
      <c r="J38" s="9">
        <f t="shared" ref="J38" si="372">ROUND((I38*0.58)+((I38*0.42)*0.1),2)</f>
        <v>310408.02</v>
      </c>
      <c r="K38" s="9">
        <f t="shared" ref="K38" si="373">ROUND((I38*0.42)*0.9,2)</f>
        <v>188640.25</v>
      </c>
      <c r="L38" s="22">
        <f t="shared" ref="L38" si="374">IF(J38+K38=I38,H38-I38,"ERROR")</f>
        <v>4491434.49</v>
      </c>
      <c r="M38" s="9">
        <f t="shared" ref="M38" si="375">ROUND(L38*0.42,2)</f>
        <v>1886402.49</v>
      </c>
      <c r="N38" s="9">
        <f t="shared" ref="N38" si="376">ROUND(L38*0,2)</f>
        <v>0</v>
      </c>
      <c r="O38" s="9">
        <f>ROUND((L38*0.0955)+(L38*0.41),2)+0.02</f>
        <v>2270420.15</v>
      </c>
      <c r="P38" s="9">
        <f t="shared" ref="P38" si="377">ROUND((L38*0.04)*0.9,2)</f>
        <v>161691.64000000001</v>
      </c>
      <c r="Q38" s="9">
        <f t="shared" ref="Q38" si="378">ROUND(L38*0.005,2)</f>
        <v>22457.17</v>
      </c>
      <c r="R38" s="9">
        <f t="shared" ref="R38" si="379">ROUND((L38*0.0075)*0.9,2)</f>
        <v>30317.18</v>
      </c>
      <c r="S38" s="9">
        <f t="shared" ref="S38" si="380">ROUND((L38*0.0075)*0.9,2)</f>
        <v>30317.18</v>
      </c>
      <c r="T38" s="9">
        <f>ROUND(L38*0.01,2)</f>
        <v>44914.34</v>
      </c>
      <c r="U38" s="9">
        <f>ROUND(L38*0.01,2)</f>
        <v>44914.34</v>
      </c>
      <c r="V38" s="17">
        <f t="shared" ref="V38" si="381">E38/W38</f>
        <v>2899.2858616843278</v>
      </c>
      <c r="W38" s="10">
        <v>1793</v>
      </c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</row>
    <row r="39" spans="1:96" ht="15" customHeight="1" x14ac:dyDescent="0.25">
      <c r="A39" s="8">
        <f>Mountaineer!A39</f>
        <v>44975</v>
      </c>
      <c r="B39" s="23">
        <v>65177241.240000002</v>
      </c>
      <c r="C39" s="9">
        <v>58886567.200000003</v>
      </c>
      <c r="D39" s="9">
        <v>949539.41</v>
      </c>
      <c r="E39" s="9">
        <f t="shared" ref="E39" si="382">B39-C39-D39</f>
        <v>5341134.629999999</v>
      </c>
      <c r="F39" s="9">
        <v>0</v>
      </c>
      <c r="G39" s="9">
        <f>ROUND(E39*0.04,2)</f>
        <v>213645.39</v>
      </c>
      <c r="H39" s="22">
        <f t="shared" ref="H39" si="383">E39-F39-G39</f>
        <v>5127489.2399999993</v>
      </c>
      <c r="I39" s="9">
        <f>ROUND(H39*0.1,2)+0.01</f>
        <v>512748.93</v>
      </c>
      <c r="J39" s="9">
        <f t="shared" ref="J39:J45" si="384">ROUND((I39*0.58)+((I39*0.42)*0.1),2)</f>
        <v>318929.83</v>
      </c>
      <c r="K39" s="9">
        <f t="shared" ref="K39:K44" si="385">ROUND((I39*0.42)*0.9,2)</f>
        <v>193819.1</v>
      </c>
      <c r="L39" s="22">
        <f t="shared" ref="L39" si="386">IF(J39+K39=I39,H39-I39,"ERROR")</f>
        <v>4614740.3099999996</v>
      </c>
      <c r="M39" s="9">
        <f t="shared" ref="M39:M45" si="387">ROUND(L39*0.42,2)</f>
        <v>1938190.93</v>
      </c>
      <c r="N39" s="9">
        <f t="shared" ref="N39" si="388">ROUND(L39*0,2)</f>
        <v>0</v>
      </c>
      <c r="O39" s="9">
        <f>ROUND((L39*0.0955)+(L39*0.41),2)</f>
        <v>2332751.23</v>
      </c>
      <c r="P39" s="9">
        <f t="shared" ref="P39" si="389">ROUND((L39*0.04)*0.9,2)</f>
        <v>166130.65</v>
      </c>
      <c r="Q39" s="9">
        <f t="shared" ref="Q39" si="390">ROUND(L39*0.005,2)</f>
        <v>23073.7</v>
      </c>
      <c r="R39" s="9">
        <f t="shared" ref="R39" si="391">ROUND((L39*0.0075)*0.9,2)</f>
        <v>31149.5</v>
      </c>
      <c r="S39" s="9">
        <f t="shared" ref="S39" si="392">ROUND((L39*0.0075)*0.9,2)</f>
        <v>31149.5</v>
      </c>
      <c r="T39" s="9">
        <f>ROUND(L39*0.01,2)</f>
        <v>46147.4</v>
      </c>
      <c r="U39" s="9">
        <f>ROUND(L39*0.01,2)</f>
        <v>46147.4</v>
      </c>
      <c r="V39" s="17">
        <f t="shared" ref="V39" si="393">E39/W39</f>
        <v>2992.2322857142854</v>
      </c>
      <c r="W39" s="10">
        <v>1785</v>
      </c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</row>
    <row r="40" spans="1:96" ht="15" customHeight="1" x14ac:dyDescent="0.25">
      <c r="A40" s="8">
        <f>Mountaineer!A40</f>
        <v>44982</v>
      </c>
      <c r="B40" s="23">
        <v>73230025.299999997</v>
      </c>
      <c r="C40" s="9">
        <v>66224647.079999998</v>
      </c>
      <c r="D40" s="9">
        <v>1239552.3600000001</v>
      </c>
      <c r="E40" s="9">
        <f t="shared" ref="E40" si="394">B40-C40-D40</f>
        <v>5765825.8599999985</v>
      </c>
      <c r="F40" s="9">
        <v>0</v>
      </c>
      <c r="G40" s="9">
        <f>ROUND(E40*0.04,2)+0.01</f>
        <v>230633.04</v>
      </c>
      <c r="H40" s="22">
        <f t="shared" ref="H40" si="395">E40-F40-G40</f>
        <v>5535192.8199999984</v>
      </c>
      <c r="I40" s="9">
        <f>ROUND(H40*0.1,2)</f>
        <v>553519.28</v>
      </c>
      <c r="J40" s="9">
        <f t="shared" si="384"/>
        <v>344288.99</v>
      </c>
      <c r="K40" s="9">
        <f t="shared" si="385"/>
        <v>209230.29</v>
      </c>
      <c r="L40" s="22">
        <f t="shared" ref="L40" si="396">IF(J40+K40=I40,H40-I40,"ERROR")</f>
        <v>4981673.5399999982</v>
      </c>
      <c r="M40" s="9">
        <f t="shared" si="387"/>
        <v>2092302.89</v>
      </c>
      <c r="N40" s="9">
        <f t="shared" ref="N40" si="397">ROUND(L40*0,2)</f>
        <v>0</v>
      </c>
      <c r="O40" s="9">
        <f>ROUND((L40*0.0955)+(L40*0.41),2)-0.02</f>
        <v>2518235.9500000002</v>
      </c>
      <c r="P40" s="9">
        <f t="shared" ref="P40" si="398">ROUND((L40*0.04)*0.9,2)</f>
        <v>179340.25</v>
      </c>
      <c r="Q40" s="9">
        <f t="shared" ref="Q40" si="399">ROUND(L40*0.005,2)</f>
        <v>24908.37</v>
      </c>
      <c r="R40" s="9">
        <f t="shared" ref="R40" si="400">ROUND((L40*0.0075)*0.9,2)</f>
        <v>33626.300000000003</v>
      </c>
      <c r="S40" s="9">
        <f t="shared" ref="S40" si="401">ROUND((L40*0.0075)*0.9,2)</f>
        <v>33626.300000000003</v>
      </c>
      <c r="T40" s="9">
        <f>ROUND(L40*0.01,2)</f>
        <v>49816.74</v>
      </c>
      <c r="U40" s="9">
        <f>ROUND(L40*0.01,2)</f>
        <v>49816.74</v>
      </c>
      <c r="V40" s="17">
        <f t="shared" ref="V40" si="402">E40/W40</f>
        <v>3274.177092561044</v>
      </c>
      <c r="W40" s="10">
        <v>1761</v>
      </c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</row>
    <row r="41" spans="1:96" ht="15" customHeight="1" x14ac:dyDescent="0.25">
      <c r="A41" s="8">
        <f>Mountaineer!A41</f>
        <v>44989</v>
      </c>
      <c r="B41" s="23">
        <v>67066950.109999999</v>
      </c>
      <c r="C41" s="9">
        <v>60669411.57</v>
      </c>
      <c r="D41" s="9">
        <v>1009014.15</v>
      </c>
      <c r="E41" s="9">
        <f t="shared" ref="E41" si="403">B41-C41-D41</f>
        <v>5388524.3899999987</v>
      </c>
      <c r="F41" s="9">
        <v>0</v>
      </c>
      <c r="G41" s="9">
        <f>ROUND(E41*0.04,2)</f>
        <v>215540.98</v>
      </c>
      <c r="H41" s="22">
        <f t="shared" ref="H41" si="404">E41-F41-G41</f>
        <v>5172983.4099999983</v>
      </c>
      <c r="I41" s="9">
        <f>ROUND(H41*0.1,2)+0.01</f>
        <v>517298.35000000003</v>
      </c>
      <c r="J41" s="9">
        <f t="shared" si="384"/>
        <v>321759.57</v>
      </c>
      <c r="K41" s="9">
        <f t="shared" si="385"/>
        <v>195538.78</v>
      </c>
      <c r="L41" s="22">
        <f t="shared" ref="L41" si="405">IF(J41+K41=I41,H41-I41,"ERROR")</f>
        <v>4655685.0599999987</v>
      </c>
      <c r="M41" s="9">
        <f t="shared" si="387"/>
        <v>1955387.73</v>
      </c>
      <c r="N41" s="9">
        <f t="shared" ref="N41" si="406">ROUND(L41*0,2)</f>
        <v>0</v>
      </c>
      <c r="O41" s="9">
        <f>ROUND((L41*0.0955)+(L41*0.41),2)-0.02</f>
        <v>2353448.7799999998</v>
      </c>
      <c r="P41" s="9">
        <f t="shared" ref="P41" si="407">ROUND((L41*0.04)*0.9,2)</f>
        <v>167604.66</v>
      </c>
      <c r="Q41" s="9">
        <f t="shared" ref="Q41" si="408">ROUND(L41*0.005,2)</f>
        <v>23278.43</v>
      </c>
      <c r="R41" s="9">
        <f t="shared" ref="R41" si="409">ROUND((L41*0.0075)*0.9,2)</f>
        <v>31425.87</v>
      </c>
      <c r="S41" s="9">
        <f t="shared" ref="S41" si="410">ROUND((L41*0.0075)*0.9,2)</f>
        <v>31425.87</v>
      </c>
      <c r="T41" s="9">
        <f>ROUND(L41*0.01,2)+0.01</f>
        <v>46556.86</v>
      </c>
      <c r="U41" s="9">
        <f>ROUND(L41*0.01,2)+0.01</f>
        <v>46556.86</v>
      </c>
      <c r="V41" s="17">
        <f t="shared" ref="V41" si="411">E41/W41</f>
        <v>3010.3488212290495</v>
      </c>
      <c r="W41" s="10">
        <v>1790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</row>
    <row r="42" spans="1:96" ht="15" customHeight="1" x14ac:dyDescent="0.25">
      <c r="A42" s="8">
        <f>Mountaineer!A42</f>
        <v>44996</v>
      </c>
      <c r="B42" s="23">
        <v>66939800.57</v>
      </c>
      <c r="C42" s="9">
        <v>59853359.670000002</v>
      </c>
      <c r="D42" s="9">
        <v>983669.2</v>
      </c>
      <c r="E42" s="9">
        <f t="shared" ref="E42" si="412">B42-C42-D42</f>
        <v>6102771.6999999983</v>
      </c>
      <c r="F42" s="9">
        <v>0</v>
      </c>
      <c r="G42" s="9">
        <f>ROUND(E42*0.04,2)-0.01</f>
        <v>244110.86</v>
      </c>
      <c r="H42" s="22">
        <f t="shared" ref="H42" si="413">E42-F42-G42</f>
        <v>5858660.839999998</v>
      </c>
      <c r="I42" s="9">
        <f>ROUND(H42*0.1,2)</f>
        <v>585866.07999999996</v>
      </c>
      <c r="J42" s="9">
        <f t="shared" si="384"/>
        <v>364408.7</v>
      </c>
      <c r="K42" s="9">
        <f t="shared" si="385"/>
        <v>221457.38</v>
      </c>
      <c r="L42" s="22">
        <f t="shared" ref="L42" si="414">IF(J42+K42=I42,H42-I42,"ERROR")</f>
        <v>5272794.7599999979</v>
      </c>
      <c r="M42" s="9">
        <f t="shared" si="387"/>
        <v>2214573.7999999998</v>
      </c>
      <c r="N42" s="9">
        <f t="shared" ref="N42" si="415">ROUND(L42*0,2)</f>
        <v>0</v>
      </c>
      <c r="O42" s="9">
        <f>ROUND((L42*0.0955)+(L42*0.41),2)+0.03</f>
        <v>2665397.7799999998</v>
      </c>
      <c r="P42" s="9">
        <f t="shared" ref="P42" si="416">ROUND((L42*0.04)*0.9,2)</f>
        <v>189820.61</v>
      </c>
      <c r="Q42" s="9">
        <f t="shared" ref="Q42" si="417">ROUND(L42*0.005,2)</f>
        <v>26363.97</v>
      </c>
      <c r="R42" s="9">
        <f t="shared" ref="R42" si="418">ROUND((L42*0.0075)*0.9,2)</f>
        <v>35591.360000000001</v>
      </c>
      <c r="S42" s="9">
        <f t="shared" ref="S42" si="419">ROUND((L42*0.0075)*0.9,2)</f>
        <v>35591.360000000001</v>
      </c>
      <c r="T42" s="9">
        <f>ROUND(L42*0.01,2)-0.01</f>
        <v>52727.939999999995</v>
      </c>
      <c r="U42" s="9">
        <f>ROUND(L42*0.01,2)-0.01</f>
        <v>52727.939999999995</v>
      </c>
      <c r="V42" s="17">
        <f t="shared" ref="V42" si="420">E42/W42</f>
        <v>3351.3298736957709</v>
      </c>
      <c r="W42" s="10">
        <v>1821</v>
      </c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</row>
    <row r="43" spans="1:96" ht="15" customHeight="1" x14ac:dyDescent="0.25">
      <c r="A43" s="8">
        <f>Mountaineer!A43</f>
        <v>45003</v>
      </c>
      <c r="B43" s="23">
        <v>69612275.609999999</v>
      </c>
      <c r="C43" s="9">
        <v>63137939.809999995</v>
      </c>
      <c r="D43" s="9">
        <v>1195700.06</v>
      </c>
      <c r="E43" s="9">
        <f t="shared" ref="E43" si="421">B43-C43-D43</f>
        <v>5278635.7400000039</v>
      </c>
      <c r="F43" s="9">
        <v>0</v>
      </c>
      <c r="G43" s="9">
        <f>ROUND(E43*0.04,2)-0.01</f>
        <v>211145.41999999998</v>
      </c>
      <c r="H43" s="22">
        <f t="shared" ref="H43" si="422">E43-F43-G43</f>
        <v>5067490.320000004</v>
      </c>
      <c r="I43" s="9">
        <f>ROUND(H43*0.1,2)+0.01</f>
        <v>506749.04000000004</v>
      </c>
      <c r="J43" s="9">
        <f t="shared" si="384"/>
        <v>315197.90000000002</v>
      </c>
      <c r="K43" s="9">
        <f t="shared" si="385"/>
        <v>191551.14</v>
      </c>
      <c r="L43" s="22">
        <f t="shared" ref="L43" si="423">IF(J43+K43=I43,H43-I43,"ERROR")</f>
        <v>4560741.280000004</v>
      </c>
      <c r="M43" s="9">
        <f t="shared" si="387"/>
        <v>1915511.34</v>
      </c>
      <c r="N43" s="9">
        <f t="shared" ref="N43" si="424">ROUND(L43*0,2)</f>
        <v>0</v>
      </c>
      <c r="O43" s="9">
        <f>ROUND((L43*0.0955)+(L43*0.41),2)-0.02</f>
        <v>2305454.7000000002</v>
      </c>
      <c r="P43" s="9">
        <f t="shared" ref="P43" si="425">ROUND((L43*0.04)*0.9,2)</f>
        <v>164186.69</v>
      </c>
      <c r="Q43" s="9">
        <f t="shared" ref="Q43" si="426">ROUND(L43*0.005,2)</f>
        <v>22803.71</v>
      </c>
      <c r="R43" s="9">
        <f t="shared" ref="R43" si="427">ROUND((L43*0.0075)*0.9,2)</f>
        <v>30785</v>
      </c>
      <c r="S43" s="9">
        <f t="shared" ref="S43" si="428">ROUND((L43*0.0075)*0.9,2)</f>
        <v>30785</v>
      </c>
      <c r="T43" s="9">
        <f>ROUND(L43*0.01,2)+0.01</f>
        <v>45607.420000000006</v>
      </c>
      <c r="U43" s="9">
        <f>ROUND(L43*0.01,2)+0.01</f>
        <v>45607.420000000006</v>
      </c>
      <c r="V43" s="17">
        <f t="shared" ref="V43" si="429">E43/W43</f>
        <v>2905.1379966978557</v>
      </c>
      <c r="W43" s="10">
        <v>1817</v>
      </c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</row>
    <row r="44" spans="1:96" ht="15" customHeight="1" x14ac:dyDescent="0.25">
      <c r="A44" s="8">
        <f>Mountaineer!A44</f>
        <v>45010</v>
      </c>
      <c r="B44" s="23">
        <v>65772778.149999999</v>
      </c>
      <c r="C44" s="9">
        <v>59380227.079999998</v>
      </c>
      <c r="D44" s="9">
        <v>1009652.4</v>
      </c>
      <c r="E44" s="9">
        <f t="shared" ref="E44" si="430">B44-C44-D44</f>
        <v>5382898.6699999999</v>
      </c>
      <c r="F44" s="9">
        <v>0</v>
      </c>
      <c r="G44" s="9">
        <f>ROUND(E44*0.04,2)-0.01</f>
        <v>215315.94</v>
      </c>
      <c r="H44" s="22">
        <f t="shared" ref="H44" si="431">E44-F44-G44</f>
        <v>5167582.7299999995</v>
      </c>
      <c r="I44" s="9">
        <f>ROUND(H44*0.1,2)-0.01</f>
        <v>516758.26</v>
      </c>
      <c r="J44" s="9">
        <f t="shared" si="384"/>
        <v>321423.64</v>
      </c>
      <c r="K44" s="9">
        <f t="shared" si="385"/>
        <v>195334.62</v>
      </c>
      <c r="L44" s="22">
        <f t="shared" ref="L44" si="432">IF(J44+K44=I44,H44-I44,"ERROR")</f>
        <v>4650824.47</v>
      </c>
      <c r="M44" s="9">
        <f t="shared" si="387"/>
        <v>1953346.28</v>
      </c>
      <c r="N44" s="9">
        <f t="shared" ref="N44" si="433">ROUND(L44*0,2)</f>
        <v>0</v>
      </c>
      <c r="O44" s="9">
        <f>ROUND((L44*0.0955)+(L44*0.41),2)</f>
        <v>2350991.77</v>
      </c>
      <c r="P44" s="9">
        <f t="shared" ref="P44" si="434">ROUND((L44*0.04)*0.9,2)</f>
        <v>167429.68</v>
      </c>
      <c r="Q44" s="9">
        <f t="shared" ref="Q44" si="435">ROUND(L44*0.005,2)</f>
        <v>23254.12</v>
      </c>
      <c r="R44" s="9">
        <f t="shared" ref="R44" si="436">ROUND((L44*0.0075)*0.9,2)</f>
        <v>31393.07</v>
      </c>
      <c r="S44" s="9">
        <f t="shared" ref="S44" si="437">ROUND((L44*0.0075)*0.9,2)</f>
        <v>31393.07</v>
      </c>
      <c r="T44" s="9">
        <f>ROUND(L44*0.01,2)</f>
        <v>46508.24</v>
      </c>
      <c r="U44" s="9">
        <f>ROUND(L44*0.01,2)</f>
        <v>46508.24</v>
      </c>
      <c r="V44" s="17">
        <f t="shared" ref="V44" si="438">E44/W44</f>
        <v>2985.5233887964505</v>
      </c>
      <c r="W44" s="10">
        <v>1803</v>
      </c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</row>
    <row r="45" spans="1:96" ht="15" customHeight="1" x14ac:dyDescent="0.25">
      <c r="A45" s="8">
        <f>Mountaineer!A45</f>
        <v>45017</v>
      </c>
      <c r="B45" s="23">
        <v>68267180.969999999</v>
      </c>
      <c r="C45" s="9">
        <v>61715031.810000002</v>
      </c>
      <c r="D45" s="9">
        <v>935445.15</v>
      </c>
      <c r="E45" s="9">
        <f t="shared" ref="E45" si="439">B45-C45-D45</f>
        <v>5616704.0099999961</v>
      </c>
      <c r="F45" s="9">
        <v>0</v>
      </c>
      <c r="G45" s="9">
        <f>ROUND(E45*0.04,2)</f>
        <v>224668.16</v>
      </c>
      <c r="H45" s="22">
        <f t="shared" ref="H45" si="440">E45-F45-G45</f>
        <v>5392035.8499999959</v>
      </c>
      <c r="I45" s="9">
        <f>ROUND(H45*0.1,2)</f>
        <v>539203.59</v>
      </c>
      <c r="J45" s="9">
        <f t="shared" si="384"/>
        <v>335384.63</v>
      </c>
      <c r="K45" s="9">
        <f t="shared" ref="K45" si="441">ROUND((I45*0.42)*0.9,2)</f>
        <v>203818.96</v>
      </c>
      <c r="L45" s="22">
        <f t="shared" ref="L45" si="442">IF(J45+K45=I45,H45-I45,"ERROR")</f>
        <v>4852832.2599999961</v>
      </c>
      <c r="M45" s="9">
        <f t="shared" si="387"/>
        <v>2038189.55</v>
      </c>
      <c r="N45" s="9">
        <f t="shared" ref="N45" si="443">ROUND(L45*0,2)</f>
        <v>0</v>
      </c>
      <c r="O45" s="9">
        <f>ROUND((L45*0.0955)+(L45*0.41),2)</f>
        <v>2453106.71</v>
      </c>
      <c r="P45" s="9">
        <f t="shared" ref="P45" si="444">ROUND((L45*0.04)*0.9,2)</f>
        <v>174701.96</v>
      </c>
      <c r="Q45" s="9">
        <f t="shared" ref="Q45" si="445">ROUND(L45*0.005,2)</f>
        <v>24264.16</v>
      </c>
      <c r="R45" s="9">
        <f t="shared" ref="R45" si="446">ROUND((L45*0.0075)*0.9,2)</f>
        <v>32756.62</v>
      </c>
      <c r="S45" s="9">
        <f t="shared" ref="S45" si="447">ROUND((L45*0.0075)*0.9,2)</f>
        <v>32756.62</v>
      </c>
      <c r="T45" s="9">
        <f>ROUND(L45*0.01,2)</f>
        <v>48528.32</v>
      </c>
      <c r="U45" s="9">
        <f>ROUND(L45*0.01,2)</f>
        <v>48528.32</v>
      </c>
      <c r="V45" s="17">
        <f t="shared" ref="V45" si="448">E45/W45</f>
        <v>3182.2685609065134</v>
      </c>
      <c r="W45" s="10">
        <v>1765</v>
      </c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</row>
    <row r="46" spans="1:96" ht="15" customHeight="1" x14ac:dyDescent="0.25">
      <c r="A46" s="8">
        <f>Mountaineer!A46</f>
        <v>45024</v>
      </c>
      <c r="B46" s="23">
        <v>62091644.810000002</v>
      </c>
      <c r="C46" s="9">
        <v>55864809.549999997</v>
      </c>
      <c r="D46" s="9">
        <v>867562.52</v>
      </c>
      <c r="E46" s="9">
        <f t="shared" ref="E46" si="449">B46-C46-D46</f>
        <v>5359272.7400000058</v>
      </c>
      <c r="F46" s="9">
        <v>0</v>
      </c>
      <c r="G46" s="9">
        <f>ROUND(E46*0.04,2)</f>
        <v>214370.91</v>
      </c>
      <c r="H46" s="22">
        <f t="shared" ref="H46" si="450">E46-F46-G46</f>
        <v>5144901.8300000057</v>
      </c>
      <c r="I46" s="9">
        <f>ROUND(H46*0.1,2)+0.01</f>
        <v>514490.19</v>
      </c>
      <c r="J46" s="9">
        <f t="shared" ref="J46:J51" si="451">ROUND((I46*0.58)+((I46*0.42)*0.1),2)</f>
        <v>320012.90000000002</v>
      </c>
      <c r="K46" s="9">
        <f t="shared" ref="K46" si="452">ROUND((I46*0.42)*0.9,2)</f>
        <v>194477.29</v>
      </c>
      <c r="L46" s="22">
        <f t="shared" ref="L46" si="453">IF(J46+K46=I46,H46-I46,"ERROR")</f>
        <v>4630411.6400000053</v>
      </c>
      <c r="M46" s="9">
        <f t="shared" ref="M46" si="454">ROUND(L46*0.42,2)</f>
        <v>1944772.89</v>
      </c>
      <c r="N46" s="9">
        <f t="shared" ref="N46" si="455">ROUND(L46*0,2)</f>
        <v>0</v>
      </c>
      <c r="O46" s="9">
        <f>ROUND((L46*0.0955)+(L46*0.41),2)-0.01</f>
        <v>2340673.0700000003</v>
      </c>
      <c r="P46" s="9">
        <f t="shared" ref="P46" si="456">ROUND((L46*0.04)*0.9,2)</f>
        <v>166694.82</v>
      </c>
      <c r="Q46" s="9">
        <f t="shared" ref="Q46" si="457">ROUND(L46*0.005,2)</f>
        <v>23152.06</v>
      </c>
      <c r="R46" s="9">
        <f t="shared" ref="R46" si="458">ROUND((L46*0.0075)*0.9,2)</f>
        <v>31255.279999999999</v>
      </c>
      <c r="S46" s="9">
        <f t="shared" ref="S46" si="459">ROUND((L46*0.0075)*0.9,2)</f>
        <v>31255.279999999999</v>
      </c>
      <c r="T46" s="9">
        <f>ROUND(L46*0.01,2)</f>
        <v>46304.12</v>
      </c>
      <c r="U46" s="9">
        <f>ROUND(L46*0.01,2)</f>
        <v>46304.12</v>
      </c>
      <c r="V46" s="17">
        <f t="shared" ref="V46" si="460">E46/W46</f>
        <v>2997.3561185682361</v>
      </c>
      <c r="W46" s="10">
        <v>1788</v>
      </c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</row>
    <row r="47" spans="1:96" ht="15" customHeight="1" x14ac:dyDescent="0.25">
      <c r="A47" s="8">
        <f>Mountaineer!A47</f>
        <v>45031</v>
      </c>
      <c r="B47" s="23">
        <v>59629182.140000001</v>
      </c>
      <c r="C47" s="9">
        <v>53837830.289999999</v>
      </c>
      <c r="D47" s="9">
        <v>780590.65999999992</v>
      </c>
      <c r="E47" s="9">
        <f t="shared" ref="E47" si="461">B47-C47-D47</f>
        <v>5010761.1900000013</v>
      </c>
      <c r="F47" s="9">
        <v>0</v>
      </c>
      <c r="G47" s="9">
        <f>ROUND(E47*0.04,2)</f>
        <v>200430.45</v>
      </c>
      <c r="H47" s="22">
        <f t="shared" ref="H47" si="462">E47-F47-G47</f>
        <v>4810330.7400000012</v>
      </c>
      <c r="I47" s="9">
        <f>ROUND(H47*0.1,2)+0.01</f>
        <v>481033.08</v>
      </c>
      <c r="J47" s="9">
        <f t="shared" si="451"/>
        <v>299202.58</v>
      </c>
      <c r="K47" s="9">
        <f t="shared" ref="K47" si="463">ROUND((I47*0.42)*0.9,2)</f>
        <v>181830.5</v>
      </c>
      <c r="L47" s="22">
        <f t="shared" ref="L47:L52" si="464">IF(J47+K47=I47,H47-I47,"ERROR")</f>
        <v>4329297.6600000011</v>
      </c>
      <c r="M47" s="9">
        <f t="shared" ref="M47" si="465">ROUND(L47*0.42,2)</f>
        <v>1818305.02</v>
      </c>
      <c r="N47" s="9">
        <f t="shared" ref="N47" si="466">ROUND(L47*0,2)</f>
        <v>0</v>
      </c>
      <c r="O47" s="9">
        <f>ROUND((L47*0.0955)+(L47*0.41),2)-0.02</f>
        <v>2188459.9500000002</v>
      </c>
      <c r="P47" s="9">
        <f t="shared" ref="P47" si="467">ROUND((L47*0.04)*0.9,2)</f>
        <v>155854.72</v>
      </c>
      <c r="Q47" s="9">
        <f t="shared" ref="Q47" si="468">ROUND(L47*0.005,2)</f>
        <v>21646.49</v>
      </c>
      <c r="R47" s="9">
        <f t="shared" ref="R47" si="469">ROUND((L47*0.0075)*0.9,2)</f>
        <v>29222.76</v>
      </c>
      <c r="S47" s="9">
        <f t="shared" ref="S47" si="470">ROUND((L47*0.0075)*0.9,2)</f>
        <v>29222.76</v>
      </c>
      <c r="T47" s="9">
        <f>ROUND(L47*0.01,2)</f>
        <v>43292.98</v>
      </c>
      <c r="U47" s="9">
        <f>ROUND(L47*0.01,2)</f>
        <v>43292.98</v>
      </c>
      <c r="V47" s="17">
        <f t="shared" ref="V47" si="471">E47/W47</f>
        <v>2765.3207450331133</v>
      </c>
      <c r="W47" s="10">
        <v>1812</v>
      </c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</row>
    <row r="48" spans="1:96" ht="15" customHeight="1" x14ac:dyDescent="0.25">
      <c r="A48" s="8">
        <f>Mountaineer!A48</f>
        <v>45038</v>
      </c>
      <c r="B48" s="23">
        <v>63531789.459999993</v>
      </c>
      <c r="C48" s="9">
        <v>57236626.300000004</v>
      </c>
      <c r="D48" s="9">
        <v>964864.78</v>
      </c>
      <c r="E48" s="9">
        <f t="shared" ref="E48" si="472">B48-C48-D48</f>
        <v>5330298.3799999887</v>
      </c>
      <c r="F48" s="9">
        <v>0</v>
      </c>
      <c r="G48" s="9">
        <f>ROUND(E48*0.04,2)</f>
        <v>213211.94</v>
      </c>
      <c r="H48" s="22">
        <f t="shared" ref="H48" si="473">E48-F48-G48</f>
        <v>5117086.4399999883</v>
      </c>
      <c r="I48" s="9">
        <f>ROUND(H48*0.1,2)+0.01</f>
        <v>511708.65</v>
      </c>
      <c r="J48" s="9">
        <f t="shared" si="451"/>
        <v>318282.78000000003</v>
      </c>
      <c r="K48" s="9">
        <f t="shared" ref="K48" si="474">ROUND((I48*0.42)*0.9,2)</f>
        <v>193425.87</v>
      </c>
      <c r="L48" s="22">
        <f t="shared" si="464"/>
        <v>4605377.7899999879</v>
      </c>
      <c r="M48" s="9">
        <f t="shared" ref="M48" si="475">ROUND(L48*0.42,2)</f>
        <v>1934258.67</v>
      </c>
      <c r="N48" s="9">
        <f t="shared" ref="N48" si="476">ROUND(L48*0,2)</f>
        <v>0</v>
      </c>
      <c r="O48" s="9">
        <f>ROUND((L48*0.0955)+(L48*0.41),2)</f>
        <v>2328018.4700000002</v>
      </c>
      <c r="P48" s="9">
        <f t="shared" ref="P48" si="477">ROUND((L48*0.04)*0.9,2)</f>
        <v>165793.60000000001</v>
      </c>
      <c r="Q48" s="9">
        <f t="shared" ref="Q48" si="478">ROUND(L48*0.005,2)</f>
        <v>23026.89</v>
      </c>
      <c r="R48" s="9">
        <f t="shared" ref="R48" si="479">ROUND((L48*0.0075)*0.9,2)</f>
        <v>31086.3</v>
      </c>
      <c r="S48" s="9">
        <f t="shared" ref="S48" si="480">ROUND((L48*0.0075)*0.9,2)</f>
        <v>31086.3</v>
      </c>
      <c r="T48" s="9">
        <f>ROUND(L48*0.01,2)</f>
        <v>46053.78</v>
      </c>
      <c r="U48" s="9">
        <f>ROUND(L48*0.01,2)</f>
        <v>46053.78</v>
      </c>
      <c r="V48" s="17">
        <f t="shared" ref="V48" si="481">E48/W48</f>
        <v>2974.4968638392793</v>
      </c>
      <c r="W48" s="10">
        <v>1792</v>
      </c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</row>
    <row r="49" spans="1:96" ht="15" customHeight="1" x14ac:dyDescent="0.25">
      <c r="A49" s="8">
        <f>Mountaineer!A49</f>
        <v>45045</v>
      </c>
      <c r="B49" s="23">
        <v>67282837.849999994</v>
      </c>
      <c r="C49" s="9">
        <v>60868530.750000007</v>
      </c>
      <c r="D49" s="9">
        <v>827062.38</v>
      </c>
      <c r="E49" s="9">
        <f t="shared" ref="E49" si="482">B49-C49-D49</f>
        <v>5587244.7199999867</v>
      </c>
      <c r="F49" s="9">
        <v>0</v>
      </c>
      <c r="G49" s="9">
        <f>ROUND(E49*0.04,2)</f>
        <v>223489.79</v>
      </c>
      <c r="H49" s="22">
        <f t="shared" ref="H49" si="483">E49-F49-G49</f>
        <v>5363754.9299999867</v>
      </c>
      <c r="I49" s="9">
        <f>ROUND(H49*0.1,2)+0.01</f>
        <v>536375.5</v>
      </c>
      <c r="J49" s="9">
        <f t="shared" si="451"/>
        <v>333625.56</v>
      </c>
      <c r="K49" s="9">
        <f t="shared" ref="K49" si="484">ROUND((I49*0.42)*0.9,2)</f>
        <v>202749.94</v>
      </c>
      <c r="L49" s="22">
        <f t="shared" si="464"/>
        <v>4827379.4299999867</v>
      </c>
      <c r="M49" s="9">
        <f t="shared" ref="M49" si="485">ROUND(L49*0.42,2)</f>
        <v>2027499.36</v>
      </c>
      <c r="N49" s="9">
        <f t="shared" ref="N49" si="486">ROUND(L49*0,2)</f>
        <v>0</v>
      </c>
      <c r="O49" s="9">
        <f>ROUND((L49*0.0955)+(L49*0.41),2)-0.01</f>
        <v>2440240.29</v>
      </c>
      <c r="P49" s="9">
        <f t="shared" ref="P49" si="487">ROUND((L49*0.04)*0.9,2)</f>
        <v>173785.66</v>
      </c>
      <c r="Q49" s="9">
        <f t="shared" ref="Q49" si="488">ROUND(L49*0.005,2)</f>
        <v>24136.9</v>
      </c>
      <c r="R49" s="9">
        <f t="shared" ref="R49" si="489">ROUND((L49*0.0075)*0.9,2)</f>
        <v>32584.81</v>
      </c>
      <c r="S49" s="9">
        <f t="shared" ref="S49" si="490">ROUND((L49*0.0075)*0.9,2)</f>
        <v>32584.81</v>
      </c>
      <c r="T49" s="9">
        <f>ROUND(L49*0.01,2)+0.01</f>
        <v>48273.8</v>
      </c>
      <c r="U49" s="9">
        <f>ROUND(L49*0.01,2)+0.01</f>
        <v>48273.8</v>
      </c>
      <c r="V49" s="17">
        <f t="shared" ref="V49" si="491">E49/W49</f>
        <v>3138.9015280898802</v>
      </c>
      <c r="W49" s="10">
        <v>1780</v>
      </c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</row>
    <row r="50" spans="1:96" ht="15" customHeight="1" x14ac:dyDescent="0.25">
      <c r="A50" s="8">
        <f>Mountaineer!A50</f>
        <v>45052</v>
      </c>
      <c r="B50" s="23">
        <v>62906189.619999997</v>
      </c>
      <c r="C50" s="9">
        <v>56579048.859999999</v>
      </c>
      <c r="D50" s="9">
        <v>907543.53</v>
      </c>
      <c r="E50" s="9">
        <f t="shared" ref="E50" si="492">B50-C50-D50</f>
        <v>5419597.2299999977</v>
      </c>
      <c r="F50" s="9">
        <v>0</v>
      </c>
      <c r="G50" s="9">
        <f>ROUND(E50*0.04,2)-0.01</f>
        <v>216783.88</v>
      </c>
      <c r="H50" s="22">
        <f t="shared" ref="H50" si="493">E50-F50-G50</f>
        <v>5202813.3499999978</v>
      </c>
      <c r="I50" s="9">
        <f>ROUND(H50*0.1,2)-0.01</f>
        <v>520281.33</v>
      </c>
      <c r="J50" s="9">
        <f t="shared" si="451"/>
        <v>323614.99</v>
      </c>
      <c r="K50" s="9">
        <f t="shared" ref="K50" si="494">ROUND((I50*0.42)*0.9,2)</f>
        <v>196666.34</v>
      </c>
      <c r="L50" s="22">
        <f t="shared" si="464"/>
        <v>4682532.0199999977</v>
      </c>
      <c r="M50" s="9">
        <f t="shared" ref="M50" si="495">ROUND(L50*0.42,2)</f>
        <v>1966663.45</v>
      </c>
      <c r="N50" s="9">
        <f t="shared" ref="N50" si="496">ROUND(L50*0,2)</f>
        <v>0</v>
      </c>
      <c r="O50" s="9">
        <f>ROUND((L50*0.0955)+(L50*0.41),2)</f>
        <v>2367019.94</v>
      </c>
      <c r="P50" s="9">
        <f t="shared" ref="P50" si="497">ROUND((L50*0.04)*0.9,2)</f>
        <v>168571.15</v>
      </c>
      <c r="Q50" s="9">
        <f t="shared" ref="Q50" si="498">ROUND(L50*0.005,2)</f>
        <v>23412.66</v>
      </c>
      <c r="R50" s="9">
        <f t="shared" ref="R50" si="499">ROUND((L50*0.0075)*0.9,2)</f>
        <v>31607.09</v>
      </c>
      <c r="S50" s="9">
        <f t="shared" ref="S50" si="500">ROUND((L50*0.0075)*0.9,2)</f>
        <v>31607.09</v>
      </c>
      <c r="T50" s="9">
        <f>ROUND(L50*0.01,2)</f>
        <v>46825.32</v>
      </c>
      <c r="U50" s="9">
        <f>ROUND(L50*0.01,2)</f>
        <v>46825.32</v>
      </c>
      <c r="V50" s="17">
        <f t="shared" ref="V50" si="501">E50/W50</f>
        <v>2999.2237022689528</v>
      </c>
      <c r="W50" s="10">
        <v>1807</v>
      </c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</row>
    <row r="51" spans="1:96" ht="15" customHeight="1" x14ac:dyDescent="0.25">
      <c r="A51" s="8">
        <f>Mountaineer!A51</f>
        <v>45059</v>
      </c>
      <c r="B51" s="23">
        <v>58622679.129999995</v>
      </c>
      <c r="C51" s="9">
        <v>52465337.130000003</v>
      </c>
      <c r="D51" s="9">
        <v>845747.76000000013</v>
      </c>
      <c r="E51" s="9">
        <f t="shared" ref="E51" si="502">B51-C51-D51</f>
        <v>5311594.2399999928</v>
      </c>
      <c r="F51" s="9">
        <v>0</v>
      </c>
      <c r="G51" s="9">
        <f>ROUND(E51*0.04,2)</f>
        <v>212463.77</v>
      </c>
      <c r="H51" s="22">
        <f t="shared" ref="H51" si="503">E51-F51-G51</f>
        <v>5099130.4699999932</v>
      </c>
      <c r="I51" s="9">
        <f>ROUND(H51*0.1,2)</f>
        <v>509913.05</v>
      </c>
      <c r="J51" s="9">
        <f t="shared" si="451"/>
        <v>317165.92</v>
      </c>
      <c r="K51" s="9">
        <f t="shared" ref="K51" si="504">ROUND((I51*0.42)*0.9,2)</f>
        <v>192747.13</v>
      </c>
      <c r="L51" s="22">
        <f t="shared" si="464"/>
        <v>4589217.4199999934</v>
      </c>
      <c r="M51" s="9">
        <f t="shared" ref="M51" si="505">ROUND(L51*0.42,2)</f>
        <v>1927471.32</v>
      </c>
      <c r="N51" s="9">
        <f t="shared" ref="N51" si="506">ROUND(L51*0,2)</f>
        <v>0</v>
      </c>
      <c r="O51" s="9">
        <f>ROUND((L51*0.0955)+(L51*0.41),2)-0.03</f>
        <v>2319849.3800000004</v>
      </c>
      <c r="P51" s="9">
        <f t="shared" ref="P51" si="507">ROUND((L51*0.04)*0.9,2)</f>
        <v>165211.82999999999</v>
      </c>
      <c r="Q51" s="9">
        <f t="shared" ref="Q51" si="508">ROUND(L51*0.005,2)</f>
        <v>22946.09</v>
      </c>
      <c r="R51" s="9">
        <f t="shared" ref="R51" si="509">ROUND((L51*0.0075)*0.9,2)</f>
        <v>30977.22</v>
      </c>
      <c r="S51" s="9">
        <f t="shared" ref="S51" si="510">ROUND((L51*0.0075)*0.9,2)</f>
        <v>30977.22</v>
      </c>
      <c r="T51" s="9">
        <f>ROUND(L51*0.01,2)+0.01</f>
        <v>45892.18</v>
      </c>
      <c r="U51" s="9">
        <f>ROUND(L51*0.01,2)+0.01</f>
        <v>45892.18</v>
      </c>
      <c r="V51" s="17">
        <f t="shared" ref="V51:V56" si="511">E51/W51</f>
        <v>2931.3433995584951</v>
      </c>
      <c r="W51" s="10">
        <v>1812</v>
      </c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</row>
    <row r="52" spans="1:96" ht="15" customHeight="1" x14ac:dyDescent="0.25">
      <c r="A52" s="8">
        <f>Mountaineer!A52</f>
        <v>45066</v>
      </c>
      <c r="B52" s="23">
        <v>60178246.140000001</v>
      </c>
      <c r="C52" s="9">
        <v>54018302.439999998</v>
      </c>
      <c r="D52" s="9">
        <v>875639.98</v>
      </c>
      <c r="E52" s="9">
        <f t="shared" ref="E52" si="512">B52-C52-D52</f>
        <v>5284303.7200000025</v>
      </c>
      <c r="F52" s="9">
        <v>0</v>
      </c>
      <c r="G52" s="9">
        <f>ROUND(E52*0.04,2)+0.01</f>
        <v>211372.16</v>
      </c>
      <c r="H52" s="22">
        <f t="shared" ref="H52" si="513">E52-F52-G52</f>
        <v>5072931.5600000024</v>
      </c>
      <c r="I52" s="9">
        <f>ROUND(H52*0.1,2)-0.02</f>
        <v>507293.13999999996</v>
      </c>
      <c r="J52" s="9">
        <f t="shared" ref="J52" si="514">ROUND((I52*0.58)+((I52*0.42)*0.1),2)</f>
        <v>315536.33</v>
      </c>
      <c r="K52" s="9">
        <f t="shared" ref="K52" si="515">ROUND((I52*0.42)*0.9,2)</f>
        <v>191756.81</v>
      </c>
      <c r="L52" s="22">
        <f t="shared" si="464"/>
        <v>4565638.4200000027</v>
      </c>
      <c r="M52" s="9">
        <f t="shared" ref="M52" si="516">ROUND(L52*0.42,2)</f>
        <v>1917568.14</v>
      </c>
      <c r="N52" s="9">
        <f t="shared" ref="N52" si="517">ROUND(L52*0,2)</f>
        <v>0</v>
      </c>
      <c r="O52" s="9">
        <f>ROUND((L52*0.0955)+(L52*0.41),2)+0.01</f>
        <v>2307930.23</v>
      </c>
      <c r="P52" s="9">
        <f t="shared" ref="P52" si="518">ROUND((L52*0.04)*0.9,2)</f>
        <v>164362.98000000001</v>
      </c>
      <c r="Q52" s="9">
        <f t="shared" ref="Q52" si="519">ROUND(L52*0.005,2)</f>
        <v>22828.19</v>
      </c>
      <c r="R52" s="9">
        <f t="shared" ref="R52" si="520">ROUND((L52*0.0075)*0.9,2)</f>
        <v>30818.06</v>
      </c>
      <c r="S52" s="9">
        <f t="shared" ref="S52" si="521">ROUND((L52*0.0075)*0.9,2)</f>
        <v>30818.06</v>
      </c>
      <c r="T52" s="9">
        <f>ROUND(L52*0.01,2)</f>
        <v>45656.38</v>
      </c>
      <c r="U52" s="9">
        <f>ROUND(L52*0.01,2)</f>
        <v>45656.38</v>
      </c>
      <c r="V52" s="17">
        <f t="shared" si="511"/>
        <v>3031.7290418818143</v>
      </c>
      <c r="W52" s="10">
        <v>1743</v>
      </c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</row>
    <row r="53" spans="1:96" ht="15" customHeight="1" x14ac:dyDescent="0.25">
      <c r="A53" s="8">
        <f>Mountaineer!A53</f>
        <v>45073</v>
      </c>
      <c r="B53" s="23">
        <v>61570161.010000005</v>
      </c>
      <c r="C53" s="9">
        <v>55420573.060000002</v>
      </c>
      <c r="D53" s="9">
        <v>810041.3</v>
      </c>
      <c r="E53" s="9">
        <f t="shared" ref="E53" si="522">B53-C53-D53</f>
        <v>5339546.6500000032</v>
      </c>
      <c r="F53" s="9">
        <v>0</v>
      </c>
      <c r="G53" s="9">
        <f>ROUND(E53*0.04,2)</f>
        <v>213581.87</v>
      </c>
      <c r="H53" s="22">
        <f t="shared" ref="H53" si="523">E53-F53-G53</f>
        <v>5125964.7800000031</v>
      </c>
      <c r="I53" s="9">
        <f>ROUND(H53*0.1,2)+0.01</f>
        <v>512596.49</v>
      </c>
      <c r="J53" s="9">
        <f t="shared" ref="J53" si="524">ROUND((I53*0.58)+((I53*0.42)*0.1),2)</f>
        <v>318835.02</v>
      </c>
      <c r="K53" s="9">
        <f t="shared" ref="K53" si="525">ROUND((I53*0.42)*0.9,2)</f>
        <v>193761.47</v>
      </c>
      <c r="L53" s="22">
        <f t="shared" ref="L53" si="526">IF(J53+K53=I53,H53-I53,"ERROR")</f>
        <v>4613368.2900000028</v>
      </c>
      <c r="M53" s="9">
        <f t="shared" ref="M53" si="527">ROUND(L53*0.42,2)</f>
        <v>1937614.68</v>
      </c>
      <c r="N53" s="9">
        <f t="shared" ref="N53" si="528">ROUND(L53*0,2)</f>
        <v>0</v>
      </c>
      <c r="O53" s="9">
        <f>ROUND((L53*0.0955)+(L53*0.41),2)</f>
        <v>2332057.67</v>
      </c>
      <c r="P53" s="9">
        <f t="shared" ref="P53" si="529">ROUND((L53*0.04)*0.9,2)</f>
        <v>166081.26</v>
      </c>
      <c r="Q53" s="9">
        <f t="shared" ref="Q53" si="530">ROUND(L53*0.005,2)</f>
        <v>23066.84</v>
      </c>
      <c r="R53" s="9">
        <f t="shared" ref="R53" si="531">ROUND((L53*0.0075)*0.9,2)</f>
        <v>31140.240000000002</v>
      </c>
      <c r="S53" s="9">
        <f t="shared" ref="S53" si="532">ROUND((L53*0.0075)*0.9,2)</f>
        <v>31140.240000000002</v>
      </c>
      <c r="T53" s="9">
        <f>ROUND(L53*0.01,2)</f>
        <v>46133.68</v>
      </c>
      <c r="U53" s="9">
        <f>ROUND(L53*0.01,2)</f>
        <v>46133.68</v>
      </c>
      <c r="V53" s="17">
        <f t="shared" si="511"/>
        <v>3052.9140365923404</v>
      </c>
      <c r="W53" s="10">
        <v>1749</v>
      </c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</row>
    <row r="54" spans="1:96" ht="15" customHeight="1" x14ac:dyDescent="0.25">
      <c r="A54" s="8">
        <f>Mountaineer!A54</f>
        <v>45080</v>
      </c>
      <c r="B54" s="23">
        <v>68625800.640000001</v>
      </c>
      <c r="C54" s="9">
        <v>61980336.75</v>
      </c>
      <c r="D54" s="9">
        <v>971280.41</v>
      </c>
      <c r="E54" s="9">
        <f t="shared" ref="E54" si="533">B54-C54-D54</f>
        <v>5674183.4800000004</v>
      </c>
      <c r="F54" s="9">
        <v>0</v>
      </c>
      <c r="G54" s="9">
        <f>ROUND(E54*0.04,2)-0.01</f>
        <v>226967.33</v>
      </c>
      <c r="H54" s="22">
        <f t="shared" ref="H54" si="534">E54-F54-G54</f>
        <v>5447216.1500000004</v>
      </c>
      <c r="I54" s="9">
        <f>ROUND(H54*0.1,2)-0.01</f>
        <v>544721.61</v>
      </c>
      <c r="J54" s="9">
        <f t="shared" ref="J54" si="535">ROUND((I54*0.58)+((I54*0.42)*0.1),2)</f>
        <v>338816.84</v>
      </c>
      <c r="K54" s="9">
        <f t="shared" ref="K54" si="536">ROUND((I54*0.42)*0.9,2)</f>
        <v>205904.77</v>
      </c>
      <c r="L54" s="22">
        <f t="shared" ref="L54" si="537">IF(J54+K54=I54,H54-I54,"ERROR")</f>
        <v>4902494.54</v>
      </c>
      <c r="M54" s="9">
        <f t="shared" ref="M54" si="538">ROUND(L54*0.42,2)</f>
        <v>2059047.71</v>
      </c>
      <c r="N54" s="9">
        <f t="shared" ref="N54" si="539">ROUND(L54*0,2)</f>
        <v>0</v>
      </c>
      <c r="O54" s="9">
        <f>ROUND((L54*0.0955)+(L54*0.41),2)+0.01</f>
        <v>2478211</v>
      </c>
      <c r="P54" s="9">
        <f t="shared" ref="P54" si="540">ROUND((L54*0.04)*0.9,2)</f>
        <v>176489.8</v>
      </c>
      <c r="Q54" s="9">
        <f t="shared" ref="Q54" si="541">ROUND(L54*0.005,2)</f>
        <v>24512.47</v>
      </c>
      <c r="R54" s="9">
        <f t="shared" ref="R54" si="542">ROUND((L54*0.0075)*0.9,2)</f>
        <v>33091.839999999997</v>
      </c>
      <c r="S54" s="9">
        <f t="shared" ref="S54" si="543">ROUND((L54*0.0075)*0.9,2)</f>
        <v>33091.839999999997</v>
      </c>
      <c r="T54" s="9">
        <f>ROUND(L54*0.01,2)-0.01</f>
        <v>49024.939999999995</v>
      </c>
      <c r="U54" s="9">
        <f>ROUND(L54*0.01,2)-0.01</f>
        <v>49024.939999999995</v>
      </c>
      <c r="V54" s="17">
        <f t="shared" si="511"/>
        <v>3168.1649804578451</v>
      </c>
      <c r="W54" s="10">
        <v>1791</v>
      </c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</row>
    <row r="55" spans="1:96" ht="15" customHeight="1" x14ac:dyDescent="0.25">
      <c r="A55" s="8">
        <f>Mountaineer!A55</f>
        <v>45087</v>
      </c>
      <c r="B55" s="23">
        <v>59234035.259999998</v>
      </c>
      <c r="C55" s="9">
        <v>53552130.369999997</v>
      </c>
      <c r="D55" s="9">
        <v>878036.82000000007</v>
      </c>
      <c r="E55" s="9">
        <f t="shared" ref="E55" si="544">B55-C55-D55</f>
        <v>4803868.07</v>
      </c>
      <c r="F55" s="9">
        <v>0</v>
      </c>
      <c r="G55" s="9">
        <f>ROUND(E55*0.04,2)+0.01</f>
        <v>192154.73</v>
      </c>
      <c r="H55" s="22">
        <f t="shared" ref="H55" si="545">E55-F55-G55</f>
        <v>4611713.34</v>
      </c>
      <c r="I55" s="9">
        <f>ROUND(H55*0.1,2)</f>
        <v>461171.33</v>
      </c>
      <c r="J55" s="9">
        <f t="shared" ref="J55" si="546">ROUND((I55*0.58)+((I55*0.42)*0.1),2)</f>
        <v>286848.57</v>
      </c>
      <c r="K55" s="9">
        <f t="shared" ref="K55" si="547">ROUND((I55*0.42)*0.9,2)</f>
        <v>174322.76</v>
      </c>
      <c r="L55" s="22">
        <f t="shared" ref="L55" si="548">IF(J55+K55=I55,H55-I55,"ERROR")</f>
        <v>4150542.01</v>
      </c>
      <c r="M55" s="9">
        <f t="shared" ref="M55" si="549">ROUND(L55*0.42,2)</f>
        <v>1743227.64</v>
      </c>
      <c r="N55" s="9">
        <f t="shared" ref="N55" si="550">ROUND(L55*0,2)</f>
        <v>0</v>
      </c>
      <c r="O55" s="9">
        <f>ROUND((L55*0.0955)+(L55*0.41),2)</f>
        <v>2098098.9900000002</v>
      </c>
      <c r="P55" s="9">
        <f t="shared" ref="P55" si="551">ROUND((L55*0.04)*0.9,2)</f>
        <v>149419.51</v>
      </c>
      <c r="Q55" s="9">
        <f t="shared" ref="Q55" si="552">ROUND(L55*0.005,2)</f>
        <v>20752.71</v>
      </c>
      <c r="R55" s="9">
        <f t="shared" ref="R55" si="553">ROUND((L55*0.0075)*0.9,2)</f>
        <v>28016.16</v>
      </c>
      <c r="S55" s="9">
        <f t="shared" ref="S55" si="554">ROUND((L55*0.0075)*0.9,2)</f>
        <v>28016.16</v>
      </c>
      <c r="T55" s="9">
        <f>ROUND(L55*0.01,2)</f>
        <v>41505.42</v>
      </c>
      <c r="U55" s="9">
        <f>ROUND(L55*0.01,2)</f>
        <v>41505.42</v>
      </c>
      <c r="V55" s="17">
        <f t="shared" si="511"/>
        <v>2718.6576513865311</v>
      </c>
      <c r="W55" s="10">
        <v>1767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</row>
    <row r="56" spans="1:96" ht="15" customHeight="1" x14ac:dyDescent="0.25">
      <c r="A56" s="8">
        <f>Mountaineer!A56</f>
        <v>45094</v>
      </c>
      <c r="B56" s="23">
        <v>59500829.870000005</v>
      </c>
      <c r="C56" s="9">
        <v>53531317.640000008</v>
      </c>
      <c r="D56" s="9">
        <v>851149.29</v>
      </c>
      <c r="E56" s="9">
        <f t="shared" ref="E56" si="555">B56-C56-D56</f>
        <v>5118362.9399999967</v>
      </c>
      <c r="F56" s="9">
        <v>0</v>
      </c>
      <c r="G56" s="9">
        <f>ROUND(E56*0.04,2)+0.01</f>
        <v>204734.53</v>
      </c>
      <c r="H56" s="22">
        <f t="shared" ref="H56" si="556">E56-F56-G56</f>
        <v>4913628.4099999964</v>
      </c>
      <c r="I56" s="9">
        <f>ROUND(H56*0.1,2)+0.01</f>
        <v>491362.85000000003</v>
      </c>
      <c r="J56" s="9">
        <f t="shared" ref="J56" si="557">ROUND((I56*0.58)+((I56*0.42)*0.1),2)</f>
        <v>305627.69</v>
      </c>
      <c r="K56" s="9">
        <f>ROUND((I56*0.42)*0.9,2)</f>
        <v>185735.16</v>
      </c>
      <c r="L56" s="22">
        <f t="shared" ref="L56" si="558">IF(J56+K56=I56,H56-I56,"ERROR")</f>
        <v>4422265.5599999968</v>
      </c>
      <c r="M56" s="9">
        <f t="shared" ref="M56" si="559">ROUND(L56*0.42,2)</f>
        <v>1857351.54</v>
      </c>
      <c r="N56" s="9">
        <f t="shared" ref="N56" si="560">ROUND(L56*0,2)</f>
        <v>0</v>
      </c>
      <c r="O56" s="9">
        <f>ROUND((L56*0.0955)+(L56*0.41),2)-0.01</f>
        <v>2235455.2300000004</v>
      </c>
      <c r="P56" s="9">
        <f t="shared" ref="P56" si="561">ROUND((L56*0.04)*0.9,2)</f>
        <v>159201.56</v>
      </c>
      <c r="Q56" s="9">
        <f t="shared" ref="Q56" si="562">ROUND(L56*0.005,2)</f>
        <v>22111.33</v>
      </c>
      <c r="R56" s="9">
        <f t="shared" ref="R56" si="563">ROUND((L56*0.0075)*0.9,2)</f>
        <v>29850.29</v>
      </c>
      <c r="S56" s="9">
        <f t="shared" ref="S56" si="564">ROUND((L56*0.0075)*0.9,2)</f>
        <v>29850.29</v>
      </c>
      <c r="T56" s="9">
        <f>ROUND(L56*0.01,2)</f>
        <v>44222.66</v>
      </c>
      <c r="U56" s="9">
        <f>ROUND(L56*0.01,2)</f>
        <v>44222.66</v>
      </c>
      <c r="V56" s="17">
        <f t="shared" si="511"/>
        <v>2943.2794364577326</v>
      </c>
      <c r="W56" s="10">
        <v>1739</v>
      </c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</row>
    <row r="57" spans="1:96" ht="15" customHeight="1" x14ac:dyDescent="0.25">
      <c r="A57" s="8">
        <f>Mountaineer!A57</f>
        <v>45101</v>
      </c>
      <c r="B57" s="23">
        <v>64951241.859999999</v>
      </c>
      <c r="C57" s="9">
        <v>58536034.409999996</v>
      </c>
      <c r="D57" s="9">
        <v>860273.6399999999</v>
      </c>
      <c r="E57" s="9">
        <f t="shared" ref="E57" si="565">B57-C57-D57</f>
        <v>5554933.8100000033</v>
      </c>
      <c r="F57" s="9">
        <v>0</v>
      </c>
      <c r="G57" s="9">
        <f>ROUND(E57*0.04,2)</f>
        <v>222197.35</v>
      </c>
      <c r="H57" s="22">
        <f t="shared" ref="H57" si="566">E57-F57-G57</f>
        <v>5332736.4600000037</v>
      </c>
      <c r="I57" s="9">
        <f>ROUND(H57*0.1,2)+0.01</f>
        <v>533273.66</v>
      </c>
      <c r="J57" s="9">
        <f>ROUND((I57*0.58)+((I57*0.42)*0.1),2)</f>
        <v>331696.21999999997</v>
      </c>
      <c r="K57" s="9">
        <f>ROUND((I57*0.42)*0.9,2)</f>
        <v>201577.44</v>
      </c>
      <c r="L57" s="22">
        <f t="shared" ref="L57" si="567">IF(J57+K57=I57,H57-I57,"ERROR")</f>
        <v>4799462.8000000035</v>
      </c>
      <c r="M57" s="9">
        <f t="shared" ref="M57" si="568">ROUND(L57*0.42,2)</f>
        <v>2015774.38</v>
      </c>
      <c r="N57" s="9">
        <f t="shared" ref="N57" si="569">ROUND(L57*0,2)</f>
        <v>0</v>
      </c>
      <c r="O57" s="9">
        <f>ROUND((L57*0.0955)+(L57*0.41),2)+0.02</f>
        <v>2426128.4700000002</v>
      </c>
      <c r="P57" s="9">
        <f t="shared" ref="P57" si="570">ROUND((L57*0.04)*0.9,2)</f>
        <v>172780.66</v>
      </c>
      <c r="Q57" s="9">
        <f t="shared" ref="Q57" si="571">ROUND(L57*0.005,2)</f>
        <v>23997.31</v>
      </c>
      <c r="R57" s="9">
        <f t="shared" ref="R57" si="572">ROUND((L57*0.0075)*0.9,2)</f>
        <v>32396.37</v>
      </c>
      <c r="S57" s="9">
        <f t="shared" ref="S57" si="573">ROUND((L57*0.0075)*0.9,2)</f>
        <v>32396.37</v>
      </c>
      <c r="T57" s="9">
        <f>ROUND(L57*0.01,2)-0.01</f>
        <v>47994.619999999995</v>
      </c>
      <c r="U57" s="9">
        <f>ROUND(L57*0.01,2)-0.01</f>
        <v>47994.619999999995</v>
      </c>
      <c r="V57" s="17">
        <f t="shared" ref="V57" si="574">E57/W57</f>
        <v>3141.9308880090516</v>
      </c>
      <c r="W57" s="10">
        <v>1768</v>
      </c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</row>
    <row r="58" spans="1:96" ht="15" customHeight="1" x14ac:dyDescent="0.25">
      <c r="A58" s="8" t="str">
        <f>Mountaineer!A58</f>
        <v>6/30/2023 ***</v>
      </c>
      <c r="B58" s="23">
        <v>49076819.460000008</v>
      </c>
      <c r="C58" s="9">
        <v>44470945.600000001</v>
      </c>
      <c r="D58" s="9">
        <v>704393.68</v>
      </c>
      <c r="E58" s="9">
        <f t="shared" ref="E58" si="575">B58-C58-D58</f>
        <v>3901480.1800000067</v>
      </c>
      <c r="F58" s="9">
        <v>0</v>
      </c>
      <c r="G58" s="9">
        <f>ROUND(E58*0.04,2)-0.01</f>
        <v>156059.19999999998</v>
      </c>
      <c r="H58" s="22">
        <f t="shared" ref="H58" si="576">E58-F58-G58</f>
        <v>3745420.9800000065</v>
      </c>
      <c r="I58" s="9">
        <f>ROUND(H58*0.1,2)</f>
        <v>374542.1</v>
      </c>
      <c r="J58" s="9">
        <f>ROUND((I58*0.58)+((I58*0.42)*0.1),2)</f>
        <v>232965.19</v>
      </c>
      <c r="K58" s="9">
        <f>ROUND((I58*0.42)*0.9,2)</f>
        <v>141576.91</v>
      </c>
      <c r="L58" s="22">
        <f t="shared" ref="L58" si="577">IF(J58+K58=I58,H58-I58,"ERROR")</f>
        <v>3370878.8800000064</v>
      </c>
      <c r="M58" s="9">
        <f t="shared" ref="M58" si="578">ROUND(L58*0.42,2)</f>
        <v>1415769.13</v>
      </c>
      <c r="N58" s="9">
        <f t="shared" ref="N58" si="579">ROUND(L58*0,2)</f>
        <v>0</v>
      </c>
      <c r="O58" s="9">
        <f>ROUND((L58*0.0955)+(L58*0.41),2)+0.03</f>
        <v>1703979.3</v>
      </c>
      <c r="P58" s="9">
        <f t="shared" ref="P58" si="580">ROUND((L58*0.04)*0.9,2)</f>
        <v>121351.64</v>
      </c>
      <c r="Q58" s="9">
        <f t="shared" ref="Q58" si="581">ROUND(L58*0.005,2)</f>
        <v>16854.39</v>
      </c>
      <c r="R58" s="9">
        <f t="shared" ref="R58" si="582">ROUND((L58*0.0075)*0.9,2)</f>
        <v>22753.43</v>
      </c>
      <c r="S58" s="9">
        <f t="shared" ref="S58" si="583">ROUND((L58*0.0075)*0.9,2)</f>
        <v>22753.43</v>
      </c>
      <c r="T58" s="9">
        <f>ROUND(L58*0.01,2)-0.01</f>
        <v>33708.78</v>
      </c>
      <c r="U58" s="9">
        <f>ROUND(L58*0.01,2)-0.01</f>
        <v>33708.78</v>
      </c>
      <c r="V58" s="17">
        <f t="shared" ref="V58" si="584">E58/W58</f>
        <v>2166.2854969461446</v>
      </c>
      <c r="W58" s="10">
        <v>1801</v>
      </c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</row>
    <row r="59" spans="1:96" ht="15" customHeight="1" x14ac:dyDescent="0.25">
      <c r="A59" s="8"/>
      <c r="B59" s="23"/>
      <c r="C59" s="9"/>
      <c r="D59" s="9"/>
      <c r="E59" s="9"/>
      <c r="F59" s="9"/>
      <c r="G59" s="9"/>
      <c r="H59" s="22"/>
      <c r="I59" s="9"/>
      <c r="J59" s="9"/>
      <c r="K59" s="9"/>
      <c r="L59" s="22"/>
      <c r="M59" s="9"/>
      <c r="N59" s="9"/>
      <c r="O59" s="9"/>
      <c r="P59" s="9"/>
      <c r="Q59" s="9"/>
      <c r="R59" s="9"/>
      <c r="S59" s="9"/>
      <c r="T59" s="9"/>
      <c r="U59" s="9"/>
      <c r="V59" s="17"/>
      <c r="W59" s="10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</row>
    <row r="60" spans="1:96" ht="15" customHeight="1" thickBot="1" x14ac:dyDescent="0.3">
      <c r="B60" s="11">
        <f>SUM(B6:B59)</f>
        <v>3229225589.2400002</v>
      </c>
      <c r="C60" s="11">
        <f t="shared" ref="C60:U60" si="585">SUM(C6:C59)</f>
        <v>2909237602.9707994</v>
      </c>
      <c r="D60" s="11">
        <f t="shared" si="585"/>
        <v>45654270.989999987</v>
      </c>
      <c r="E60" s="11">
        <f t="shared" si="585"/>
        <v>274333715.2791999</v>
      </c>
      <c r="F60" s="11">
        <f t="shared" si="585"/>
        <v>5340672.8699999992</v>
      </c>
      <c r="G60" s="11">
        <f t="shared" si="585"/>
        <v>5632675.7800000012</v>
      </c>
      <c r="H60" s="11">
        <f t="shared" si="585"/>
        <v>263360366.62920001</v>
      </c>
      <c r="I60" s="11">
        <f t="shared" si="585"/>
        <v>13117327.610000001</v>
      </c>
      <c r="J60" s="11">
        <f t="shared" si="585"/>
        <v>8158977.7700000005</v>
      </c>
      <c r="K60" s="11">
        <f t="shared" si="585"/>
        <v>4958349.8400000008</v>
      </c>
      <c r="L60" s="11">
        <f t="shared" si="585"/>
        <v>250243039.0192</v>
      </c>
      <c r="M60" s="11">
        <f t="shared" si="585"/>
        <v>111050495.52999999</v>
      </c>
      <c r="N60" s="11">
        <f t="shared" si="585"/>
        <v>39656127.189999998</v>
      </c>
      <c r="O60" s="11">
        <f t="shared" si="585"/>
        <v>76663322.989999995</v>
      </c>
      <c r="P60" s="11">
        <f t="shared" si="585"/>
        <v>12577800.840000002</v>
      </c>
      <c r="Q60" s="11">
        <f t="shared" si="585"/>
        <v>1912150.6699999992</v>
      </c>
      <c r="R60" s="11">
        <f t="shared" si="585"/>
        <v>1689140.5000000005</v>
      </c>
      <c r="S60" s="11">
        <f t="shared" si="585"/>
        <v>1689140.5000000005</v>
      </c>
      <c r="T60" s="11">
        <f t="shared" si="585"/>
        <v>2958462.1399999992</v>
      </c>
      <c r="U60" s="11">
        <f t="shared" si="585"/>
        <v>2046398.66</v>
      </c>
      <c r="V60" s="12">
        <f>AVERAGE(V6:V59)</f>
        <v>2979.9858763522325</v>
      </c>
      <c r="W60" s="13">
        <f>AVERAGE(W6:W59)</f>
        <v>1737.5471698113208</v>
      </c>
    </row>
    <row r="61" spans="1:96" ht="15" customHeight="1" thickTop="1" x14ac:dyDescent="0.25"/>
    <row r="62" spans="1:96" ht="15" customHeight="1" x14ac:dyDescent="0.25">
      <c r="A62" s="1" t="s">
        <v>32</v>
      </c>
    </row>
    <row r="63" spans="1:96" ht="15" customHeight="1" x14ac:dyDescent="0.25">
      <c r="A63" s="1" t="s">
        <v>4</v>
      </c>
    </row>
    <row r="64" spans="1:96" ht="15" customHeight="1" x14ac:dyDescent="0.25">
      <c r="A64" s="1" t="s">
        <v>40</v>
      </c>
    </row>
  </sheetData>
  <mergeCells count="1">
    <mergeCell ref="A4:W4"/>
  </mergeCells>
  <pageMargins left="0.25" right="0.25" top="0.5" bottom="0.25" header="0" footer="0"/>
  <pageSetup paperSize="5" scale="33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2023-07-07T14:56:16Z</cp:lastPrinted>
  <dcterms:created xsi:type="dcterms:W3CDTF">2017-06-07T17:06:12Z</dcterms:created>
  <dcterms:modified xsi:type="dcterms:W3CDTF">2023-07-07T16:03:34Z</dcterms:modified>
</cp:coreProperties>
</file>