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872266C6-18D3-4E84-8E56-A6C505768380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Town'!$A$1:$W$67</definedName>
    <definedName name="_xlnm.Print_Area" localSheetId="3">'Mardi Gras'!$A$1:$W$67</definedName>
    <definedName name="_xlnm.Print_Area" localSheetId="1">Mountaineer!$A$1:$W$20</definedName>
    <definedName name="_xlnm.Print_Area" localSheetId="0">Total!$A$1:$W$23</definedName>
    <definedName name="_xlnm.Print_Area" localSheetId="2">Wheeling!$A$1:$W$67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5" l="1"/>
  <c r="N13" i="5"/>
  <c r="F13" i="5"/>
  <c r="F13" i="4"/>
  <c r="T13" i="3"/>
  <c r="N13" i="3"/>
  <c r="F13" i="3"/>
  <c r="N13" i="2"/>
  <c r="W18" i="6" l="1"/>
  <c r="W16" i="6" l="1"/>
  <c r="D16" i="6"/>
  <c r="C16" i="6"/>
  <c r="B16" i="6"/>
  <c r="A16" i="6"/>
  <c r="E13" i="5"/>
  <c r="V13" i="5" s="1"/>
  <c r="A13" i="5"/>
  <c r="E13" i="4"/>
  <c r="V13" i="4" s="1"/>
  <c r="A13" i="4"/>
  <c r="E13" i="3"/>
  <c r="V13" i="3" s="1"/>
  <c r="A13" i="3"/>
  <c r="E13" i="2"/>
  <c r="G13" i="2" s="1"/>
  <c r="F13" i="2" l="1"/>
  <c r="E16" i="6"/>
  <c r="G13" i="5"/>
  <c r="G16" i="6" s="1"/>
  <c r="G13" i="4"/>
  <c r="G13" i="3"/>
  <c r="V13" i="2"/>
  <c r="V16" i="6" s="1"/>
  <c r="W15" i="6"/>
  <c r="D15" i="6"/>
  <c r="C15" i="6"/>
  <c r="B15" i="6"/>
  <c r="E12" i="5"/>
  <c r="E12" i="4"/>
  <c r="E12" i="3"/>
  <c r="V12" i="3" s="1"/>
  <c r="E12" i="2"/>
  <c r="F16" i="6" l="1"/>
  <c r="H13" i="2"/>
  <c r="H13" i="5"/>
  <c r="I13" i="5" s="1"/>
  <c r="K13" i="5" s="1"/>
  <c r="V12" i="5"/>
  <c r="F12" i="5"/>
  <c r="H13" i="4"/>
  <c r="I13" i="4" s="1"/>
  <c r="K13" i="4" s="1"/>
  <c r="V12" i="4"/>
  <c r="F12" i="4"/>
  <c r="H13" i="3"/>
  <c r="I13" i="3" s="1"/>
  <c r="K13" i="3" s="1"/>
  <c r="V12" i="2"/>
  <c r="F12" i="2"/>
  <c r="F12" i="3"/>
  <c r="E15" i="6"/>
  <c r="G12" i="5"/>
  <c r="G12" i="4"/>
  <c r="G12" i="3"/>
  <c r="G12" i="2"/>
  <c r="I13" i="2" l="1"/>
  <c r="H16" i="6"/>
  <c r="J13" i="5"/>
  <c r="L13" i="5" s="1"/>
  <c r="H12" i="5"/>
  <c r="I12" i="5" s="1"/>
  <c r="V15" i="6"/>
  <c r="J13" i="4"/>
  <c r="L13" i="4" s="1"/>
  <c r="J13" i="3"/>
  <c r="L13" i="3" s="1"/>
  <c r="F15" i="6"/>
  <c r="H12" i="4"/>
  <c r="I12" i="4" s="1"/>
  <c r="H12" i="2"/>
  <c r="G15" i="6"/>
  <c r="K12" i="5"/>
  <c r="J12" i="5"/>
  <c r="K12" i="4"/>
  <c r="J12" i="4"/>
  <c r="H12" i="3"/>
  <c r="I12" i="3" s="1"/>
  <c r="K12" i="3"/>
  <c r="J12" i="3"/>
  <c r="T13" i="4" l="1"/>
  <c r="N13" i="4"/>
  <c r="J13" i="2"/>
  <c r="J16" i="6" s="1"/>
  <c r="I16" i="6"/>
  <c r="K13" i="2"/>
  <c r="M13" i="5"/>
  <c r="U13" i="5" s="1"/>
  <c r="O13" i="5"/>
  <c r="P13" i="5"/>
  <c r="Q13" i="5"/>
  <c r="R13" i="5"/>
  <c r="S13" i="5"/>
  <c r="R13" i="4"/>
  <c r="S13" i="4"/>
  <c r="M13" i="4"/>
  <c r="U13" i="4" s="1"/>
  <c r="O13" i="4"/>
  <c r="Q13" i="4"/>
  <c r="P13" i="4"/>
  <c r="M13" i="3"/>
  <c r="U13" i="3" s="1"/>
  <c r="O13" i="3"/>
  <c r="P13" i="3"/>
  <c r="Q13" i="3"/>
  <c r="S13" i="3"/>
  <c r="R13" i="3"/>
  <c r="I12" i="2"/>
  <c r="H15" i="6"/>
  <c r="L12" i="5"/>
  <c r="L12" i="4"/>
  <c r="Q12" i="4"/>
  <c r="L12" i="3"/>
  <c r="L13" i="2" l="1"/>
  <c r="K16" i="6"/>
  <c r="S12" i="5"/>
  <c r="T12" i="5"/>
  <c r="N12" i="5"/>
  <c r="N12" i="4"/>
  <c r="T12" i="4"/>
  <c r="N12" i="3"/>
  <c r="T12" i="3"/>
  <c r="M12" i="5"/>
  <c r="U12" i="5" s="1"/>
  <c r="O12" i="5"/>
  <c r="Q12" i="5"/>
  <c r="O12" i="4"/>
  <c r="P12" i="4"/>
  <c r="M12" i="4"/>
  <c r="U12" i="4" s="1"/>
  <c r="S12" i="4"/>
  <c r="R12" i="4"/>
  <c r="I15" i="6"/>
  <c r="K12" i="2"/>
  <c r="K15" i="6" s="1"/>
  <c r="J12" i="2"/>
  <c r="R12" i="5"/>
  <c r="P12" i="5"/>
  <c r="S12" i="3"/>
  <c r="Q12" i="3"/>
  <c r="P12" i="3"/>
  <c r="O12" i="3"/>
  <c r="M12" i="3"/>
  <c r="U12" i="3" s="1"/>
  <c r="R12" i="3"/>
  <c r="L16" i="6" l="1"/>
  <c r="N16" i="6"/>
  <c r="M13" i="2"/>
  <c r="M16" i="6" s="1"/>
  <c r="P13" i="2"/>
  <c r="P16" i="6" s="1"/>
  <c r="T13" i="2"/>
  <c r="T16" i="6" s="1"/>
  <c r="R13" i="2"/>
  <c r="R16" i="6" s="1"/>
  <c r="S13" i="2"/>
  <c r="S16" i="6" s="1"/>
  <c r="U13" i="2"/>
  <c r="U16" i="6" s="1"/>
  <c r="O13" i="2"/>
  <c r="O16" i="6" s="1"/>
  <c r="Q13" i="2"/>
  <c r="Q16" i="6" s="1"/>
  <c r="J15" i="6"/>
  <c r="L12" i="2"/>
  <c r="U12" i="2" l="1"/>
  <c r="U15" i="6" s="1"/>
  <c r="N12" i="2"/>
  <c r="N15" i="6" s="1"/>
  <c r="L15" i="6"/>
  <c r="T12" i="2"/>
  <c r="T15" i="6" s="1"/>
  <c r="R12" i="2"/>
  <c r="R15" i="6" s="1"/>
  <c r="Q12" i="2"/>
  <c r="Q15" i="6" s="1"/>
  <c r="P12" i="2"/>
  <c r="P15" i="6" s="1"/>
  <c r="O12" i="2"/>
  <c r="O15" i="6" s="1"/>
  <c r="M12" i="2"/>
  <c r="M15" i="6" s="1"/>
  <c r="S12" i="2"/>
  <c r="S15" i="6" s="1"/>
  <c r="W14" i="6" l="1"/>
  <c r="D14" i="6"/>
  <c r="C14" i="6"/>
  <c r="B14" i="6"/>
  <c r="E11" i="5"/>
  <c r="V11" i="5" s="1"/>
  <c r="E11" i="4"/>
  <c r="E11" i="3"/>
  <c r="E11" i="2"/>
  <c r="V11" i="2" s="1"/>
  <c r="G11" i="4" l="1"/>
  <c r="F11" i="4"/>
  <c r="H11" i="4" s="1"/>
  <c r="I11" i="4" s="1"/>
  <c r="V11" i="3"/>
  <c r="F11" i="3"/>
  <c r="F11" i="5"/>
  <c r="F11" i="2"/>
  <c r="E14" i="6"/>
  <c r="G11" i="5"/>
  <c r="V11" i="4"/>
  <c r="V14" i="6" s="1"/>
  <c r="G11" i="3"/>
  <c r="G11" i="2"/>
  <c r="H11" i="5" l="1"/>
  <c r="I11" i="5" s="1"/>
  <c r="G14" i="6"/>
  <c r="F14" i="6"/>
  <c r="H11" i="2"/>
  <c r="K11" i="5"/>
  <c r="J11" i="5"/>
  <c r="K11" i="4"/>
  <c r="J11" i="4"/>
  <c r="H11" i="3"/>
  <c r="I11" i="3" s="1"/>
  <c r="K11" i="3" s="1"/>
  <c r="W13" i="6"/>
  <c r="D13" i="6"/>
  <c r="C13" i="6"/>
  <c r="B13" i="6"/>
  <c r="E10" i="5"/>
  <c r="E10" i="4"/>
  <c r="E10" i="3"/>
  <c r="V10" i="3" s="1"/>
  <c r="E10" i="2"/>
  <c r="L11" i="4" l="1"/>
  <c r="I11" i="2"/>
  <c r="H14" i="6"/>
  <c r="L11" i="5"/>
  <c r="S11" i="5" s="1"/>
  <c r="V10" i="5"/>
  <c r="F10" i="5"/>
  <c r="V10" i="4"/>
  <c r="F10" i="4"/>
  <c r="R11" i="4"/>
  <c r="S11" i="4"/>
  <c r="P11" i="4"/>
  <c r="O11" i="4"/>
  <c r="M11" i="4"/>
  <c r="U11" i="4" s="1"/>
  <c r="Q11" i="4"/>
  <c r="J11" i="3"/>
  <c r="L11" i="3" s="1"/>
  <c r="N11" i="3" s="1"/>
  <c r="V10" i="2"/>
  <c r="F10" i="2"/>
  <c r="F10" i="3"/>
  <c r="E13" i="6"/>
  <c r="G10" i="5"/>
  <c r="G10" i="4"/>
  <c r="G10" i="3"/>
  <c r="G10" i="2"/>
  <c r="V13" i="6" l="1"/>
  <c r="T11" i="4"/>
  <c r="N11" i="4"/>
  <c r="T11" i="3"/>
  <c r="I14" i="6"/>
  <c r="K11" i="2"/>
  <c r="K14" i="6" s="1"/>
  <c r="J11" i="2"/>
  <c r="M11" i="5"/>
  <c r="U11" i="5" s="1"/>
  <c r="N11" i="5"/>
  <c r="O11" i="5"/>
  <c r="P11" i="5"/>
  <c r="R11" i="5"/>
  <c r="T11" i="5"/>
  <c r="Q11" i="5"/>
  <c r="S11" i="3"/>
  <c r="P11" i="3"/>
  <c r="O11" i="3"/>
  <c r="M11" i="3"/>
  <c r="U11" i="3" s="1"/>
  <c r="R11" i="3"/>
  <c r="Q11" i="3"/>
  <c r="F13" i="6"/>
  <c r="G13" i="6"/>
  <c r="H10" i="5"/>
  <c r="I10" i="5" s="1"/>
  <c r="K10" i="5" s="1"/>
  <c r="H10" i="4"/>
  <c r="I10" i="4" s="1"/>
  <c r="J10" i="4" s="1"/>
  <c r="K10" i="4"/>
  <c r="H10" i="3"/>
  <c r="I10" i="3" s="1"/>
  <c r="K10" i="3" s="1"/>
  <c r="H10" i="2"/>
  <c r="W12" i="6"/>
  <c r="D12" i="6"/>
  <c r="C12" i="6"/>
  <c r="B12" i="6"/>
  <c r="E9" i="5"/>
  <c r="F9" i="5" s="1"/>
  <c r="E9" i="4"/>
  <c r="E9" i="3"/>
  <c r="E9" i="2"/>
  <c r="V9" i="2" s="1"/>
  <c r="A8" i="2"/>
  <c r="A9" i="2" s="1"/>
  <c r="A10" i="2" s="1"/>
  <c r="J14" i="6" l="1"/>
  <c r="L11" i="2"/>
  <c r="N11" i="2" s="1"/>
  <c r="A11" i="2"/>
  <c r="A13" i="6"/>
  <c r="A10" i="4"/>
  <c r="A10" i="3"/>
  <c r="A10" i="5"/>
  <c r="A9" i="3"/>
  <c r="A12" i="6"/>
  <c r="A9" i="4"/>
  <c r="A9" i="5"/>
  <c r="J10" i="3"/>
  <c r="L10" i="3" s="1"/>
  <c r="I10" i="2"/>
  <c r="H13" i="6"/>
  <c r="J10" i="5"/>
  <c r="L10" i="5" s="1"/>
  <c r="V9" i="4"/>
  <c r="F9" i="4"/>
  <c r="L10" i="4"/>
  <c r="N10" i="4" s="1"/>
  <c r="V9" i="3"/>
  <c r="F9" i="3"/>
  <c r="E12" i="6"/>
  <c r="G9" i="5"/>
  <c r="H9" i="5" s="1"/>
  <c r="I9" i="5" s="1"/>
  <c r="V9" i="5"/>
  <c r="G9" i="4"/>
  <c r="G9" i="3"/>
  <c r="F9" i="2"/>
  <c r="G9" i="2"/>
  <c r="E8" i="2"/>
  <c r="F8" i="2" s="1"/>
  <c r="A12" i="2" l="1"/>
  <c r="A14" i="6"/>
  <c r="A11" i="3"/>
  <c r="A11" i="4"/>
  <c r="A11" i="5"/>
  <c r="U11" i="2"/>
  <c r="U14" i="6" s="1"/>
  <c r="N14" i="6"/>
  <c r="L14" i="6"/>
  <c r="M11" i="2"/>
  <c r="M14" i="6" s="1"/>
  <c r="P11" i="2"/>
  <c r="P14" i="6" s="1"/>
  <c r="R11" i="2"/>
  <c r="R14" i="6" s="1"/>
  <c r="O11" i="2"/>
  <c r="O14" i="6" s="1"/>
  <c r="T11" i="2"/>
  <c r="T14" i="6" s="1"/>
  <c r="Q11" i="2"/>
  <c r="Q14" i="6" s="1"/>
  <c r="S11" i="2"/>
  <c r="S14" i="6" s="1"/>
  <c r="T10" i="3"/>
  <c r="N10" i="3"/>
  <c r="T10" i="4"/>
  <c r="S10" i="3"/>
  <c r="I13" i="6"/>
  <c r="K10" i="2"/>
  <c r="K13" i="6" s="1"/>
  <c r="J10" i="2"/>
  <c r="M10" i="5"/>
  <c r="U10" i="5" s="1"/>
  <c r="T10" i="5"/>
  <c r="S10" i="5"/>
  <c r="Q10" i="5"/>
  <c r="P10" i="5"/>
  <c r="O10" i="5"/>
  <c r="N10" i="5"/>
  <c r="R10" i="5"/>
  <c r="Q10" i="4"/>
  <c r="S10" i="4"/>
  <c r="R10" i="4"/>
  <c r="P10" i="4"/>
  <c r="O10" i="4"/>
  <c r="M10" i="4"/>
  <c r="U10" i="4" s="1"/>
  <c r="R10" i="3"/>
  <c r="M10" i="3"/>
  <c r="U10" i="3" s="1"/>
  <c r="O10" i="3"/>
  <c r="P10" i="3"/>
  <c r="Q10" i="3"/>
  <c r="V12" i="6"/>
  <c r="G12" i="6"/>
  <c r="F12" i="6"/>
  <c r="K9" i="5"/>
  <c r="J9" i="5"/>
  <c r="H9" i="4"/>
  <c r="I9" i="4" s="1"/>
  <c r="K9" i="4" s="1"/>
  <c r="H9" i="3"/>
  <c r="I9" i="3" s="1"/>
  <c r="K9" i="3" s="1"/>
  <c r="H9" i="2"/>
  <c r="G8" i="2"/>
  <c r="H8" i="2" s="1"/>
  <c r="I8" i="2" s="1"/>
  <c r="A13" i="2" l="1"/>
  <c r="A15" i="6"/>
  <c r="A12" i="5"/>
  <c r="A12" i="4"/>
  <c r="A12" i="3"/>
  <c r="L10" i="2"/>
  <c r="N10" i="2" s="1"/>
  <c r="J13" i="6"/>
  <c r="L9" i="5"/>
  <c r="N9" i="5" s="1"/>
  <c r="J9" i="3"/>
  <c r="L9" i="3" s="1"/>
  <c r="I9" i="2"/>
  <c r="H12" i="6"/>
  <c r="R9" i="5"/>
  <c r="Q9" i="5"/>
  <c r="P9" i="5"/>
  <c r="J9" i="4"/>
  <c r="L9" i="4" s="1"/>
  <c r="J8" i="2"/>
  <c r="K8" i="2"/>
  <c r="S9" i="5" l="1"/>
  <c r="T9" i="5"/>
  <c r="M9" i="5"/>
  <c r="U9" i="5" s="1"/>
  <c r="O9" i="5"/>
  <c r="L13" i="6"/>
  <c r="N13" i="6"/>
  <c r="P10" i="2"/>
  <c r="P13" i="6" s="1"/>
  <c r="M10" i="2"/>
  <c r="M13" i="6" s="1"/>
  <c r="U10" i="2"/>
  <c r="U13" i="6" s="1"/>
  <c r="T10" i="2"/>
  <c r="T13" i="6" s="1"/>
  <c r="S10" i="2"/>
  <c r="S13" i="6" s="1"/>
  <c r="R10" i="2"/>
  <c r="R13" i="6" s="1"/>
  <c r="Q10" i="2"/>
  <c r="Q13" i="6" s="1"/>
  <c r="O10" i="2"/>
  <c r="O13" i="6" s="1"/>
  <c r="N9" i="4"/>
  <c r="T9" i="4"/>
  <c r="T9" i="3"/>
  <c r="N9" i="3"/>
  <c r="R9" i="4"/>
  <c r="S9" i="4"/>
  <c r="I12" i="6"/>
  <c r="J9" i="2"/>
  <c r="K9" i="2"/>
  <c r="K12" i="6" s="1"/>
  <c r="M9" i="4"/>
  <c r="U9" i="4" s="1"/>
  <c r="O9" i="4"/>
  <c r="P9" i="4"/>
  <c r="Q9" i="4"/>
  <c r="M9" i="3"/>
  <c r="U9" i="3" s="1"/>
  <c r="S9" i="3"/>
  <c r="R9" i="3"/>
  <c r="Q9" i="3"/>
  <c r="P9" i="3"/>
  <c r="O9" i="3"/>
  <c r="L8" i="2"/>
  <c r="J12" i="6" l="1"/>
  <c r="L9" i="2"/>
  <c r="N9" i="2" s="1"/>
  <c r="R8" i="2"/>
  <c r="S8" i="2"/>
  <c r="P8" i="2"/>
  <c r="N8" i="2"/>
  <c r="Q8" i="2"/>
  <c r="O8" i="2"/>
  <c r="M8" i="2"/>
  <c r="U9" i="2" l="1"/>
  <c r="U12" i="6" s="1"/>
  <c r="N12" i="6"/>
  <c r="L12" i="6"/>
  <c r="P9" i="2"/>
  <c r="P12" i="6" s="1"/>
  <c r="Q9" i="2"/>
  <c r="Q12" i="6" s="1"/>
  <c r="R9" i="2"/>
  <c r="R12" i="6" s="1"/>
  <c r="M9" i="2"/>
  <c r="M12" i="6" s="1"/>
  <c r="O9" i="2"/>
  <c r="O12" i="6" s="1"/>
  <c r="S9" i="2"/>
  <c r="S12" i="6" s="1"/>
  <c r="T9" i="2"/>
  <c r="T12" i="6" s="1"/>
  <c r="W11" i="6"/>
  <c r="D11" i="6"/>
  <c r="C11" i="6"/>
  <c r="B11" i="6"/>
  <c r="A11" i="6"/>
  <c r="E8" i="5"/>
  <c r="A8" i="5"/>
  <c r="E8" i="4"/>
  <c r="V8" i="4" s="1"/>
  <c r="A8" i="4"/>
  <c r="E8" i="3"/>
  <c r="V8" i="3" s="1"/>
  <c r="A8" i="3"/>
  <c r="U8" i="2"/>
  <c r="T8" i="2"/>
  <c r="V8" i="2"/>
  <c r="V8" i="5" l="1"/>
  <c r="F8" i="5"/>
  <c r="E11" i="6"/>
  <c r="V11" i="6"/>
  <c r="G8" i="5"/>
  <c r="F8" i="4"/>
  <c r="G8" i="4"/>
  <c r="F8" i="3"/>
  <c r="G8" i="3"/>
  <c r="F11" i="6" l="1"/>
  <c r="G11" i="6"/>
  <c r="H8" i="3"/>
  <c r="H8" i="5"/>
  <c r="I8" i="5" s="1"/>
  <c r="K8" i="5" s="1"/>
  <c r="H8" i="4"/>
  <c r="I8" i="4" s="1"/>
  <c r="J8" i="4" s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J8" i="5" l="1"/>
  <c r="L8" i="5" s="1"/>
  <c r="I8" i="3"/>
  <c r="H11" i="6"/>
  <c r="K8" i="4"/>
  <c r="L8" i="4" s="1"/>
  <c r="F7" i="4"/>
  <c r="F7" i="3"/>
  <c r="E10" i="6"/>
  <c r="V10" i="6"/>
  <c r="F7" i="5"/>
  <c r="G7" i="5"/>
  <c r="G7" i="4"/>
  <c r="H7" i="4" s="1"/>
  <c r="I7" i="4" s="1"/>
  <c r="G7" i="3"/>
  <c r="F7" i="2"/>
  <c r="G7" i="2"/>
  <c r="A6" i="5"/>
  <c r="T8" i="5" l="1"/>
  <c r="S8" i="5"/>
  <c r="R8" i="5"/>
  <c r="P8" i="5"/>
  <c r="N8" i="5"/>
  <c r="O8" i="5"/>
  <c r="P8" i="4"/>
  <c r="R8" i="4"/>
  <c r="S8" i="4"/>
  <c r="Q8" i="4"/>
  <c r="O8" i="4"/>
  <c r="N8" i="4"/>
  <c r="M8" i="5"/>
  <c r="U8" i="5" s="1"/>
  <c r="Q8" i="5"/>
  <c r="T8" i="4"/>
  <c r="I11" i="6"/>
  <c r="K8" i="3"/>
  <c r="K11" i="6" s="1"/>
  <c r="J8" i="3"/>
  <c r="M8" i="4"/>
  <c r="U8" i="4" s="1"/>
  <c r="F10" i="6"/>
  <c r="G10" i="6"/>
  <c r="H7" i="5"/>
  <c r="I7" i="5" s="1"/>
  <c r="K7" i="5" s="1"/>
  <c r="K7" i="4"/>
  <c r="J7" i="4"/>
  <c r="H7" i="3"/>
  <c r="I7" i="3" s="1"/>
  <c r="K7" i="3" s="1"/>
  <c r="H7" i="2"/>
  <c r="B9" i="6"/>
  <c r="C9" i="6"/>
  <c r="D9" i="6"/>
  <c r="J7" i="5" l="1"/>
  <c r="J11" i="6"/>
  <c r="L8" i="3"/>
  <c r="I7" i="2"/>
  <c r="H10" i="6"/>
  <c r="L7" i="5"/>
  <c r="L7" i="4"/>
  <c r="J7" i="3"/>
  <c r="L7" i="3" s="1"/>
  <c r="N7" i="3" s="1"/>
  <c r="W15" i="2"/>
  <c r="P8" i="3" l="1"/>
  <c r="P11" i="6" s="1"/>
  <c r="R8" i="3"/>
  <c r="R11" i="6" s="1"/>
  <c r="S8" i="3"/>
  <c r="S11" i="6" s="1"/>
  <c r="O8" i="3"/>
  <c r="O11" i="6" s="1"/>
  <c r="Q8" i="3"/>
  <c r="Q11" i="6" s="1"/>
  <c r="N8" i="3"/>
  <c r="N11" i="6" s="1"/>
  <c r="L11" i="6"/>
  <c r="M8" i="3"/>
  <c r="T8" i="3"/>
  <c r="T11" i="6" s="1"/>
  <c r="N7" i="5"/>
  <c r="T7" i="5"/>
  <c r="N7" i="4"/>
  <c r="T7" i="4"/>
  <c r="Q7" i="5"/>
  <c r="T7" i="3"/>
  <c r="I10" i="6"/>
  <c r="J7" i="2"/>
  <c r="K7" i="2"/>
  <c r="K10" i="6" s="1"/>
  <c r="M7" i="5"/>
  <c r="U7" i="5" s="1"/>
  <c r="M7" i="4"/>
  <c r="U7" i="4" s="1"/>
  <c r="M7" i="3"/>
  <c r="U7" i="3" s="1"/>
  <c r="W15" i="5"/>
  <c r="U8" i="3" l="1"/>
  <c r="U11" i="6" s="1"/>
  <c r="M11" i="6"/>
  <c r="J10" i="6"/>
  <c r="L7" i="2"/>
  <c r="B15" i="3"/>
  <c r="U7" i="2" l="1"/>
  <c r="U10" i="6" s="1"/>
  <c r="T7" i="2"/>
  <c r="T10" i="6" s="1"/>
  <c r="N7" i="2"/>
  <c r="N10" i="6" s="1"/>
  <c r="L10" i="6"/>
  <c r="R10" i="6"/>
  <c r="Q10" i="6"/>
  <c r="O10" i="6"/>
  <c r="P10" i="6"/>
  <c r="M7" i="2"/>
  <c r="M10" i="6" s="1"/>
  <c r="S10" i="6"/>
  <c r="A9" i="6"/>
  <c r="D15" i="5" l="1"/>
  <c r="C15" i="5"/>
  <c r="B15" i="5"/>
  <c r="E6" i="5"/>
  <c r="E15" i="5" s="1"/>
  <c r="A6" i="3"/>
  <c r="A6" i="4"/>
  <c r="W15" i="4"/>
  <c r="D15" i="4"/>
  <c r="C15" i="4"/>
  <c r="B15" i="4"/>
  <c r="E6" i="4"/>
  <c r="F6" i="4" s="1"/>
  <c r="W15" i="3"/>
  <c r="D15" i="3"/>
  <c r="C15" i="3"/>
  <c r="E6" i="3"/>
  <c r="E15" i="3" l="1"/>
  <c r="F6" i="3"/>
  <c r="E15" i="4"/>
  <c r="F15" i="4"/>
  <c r="G6" i="5"/>
  <c r="G15" i="5" s="1"/>
  <c r="V6" i="5"/>
  <c r="V15" i="5" s="1"/>
  <c r="F6" i="5"/>
  <c r="F15" i="5" s="1"/>
  <c r="V6" i="4"/>
  <c r="V15" i="4" s="1"/>
  <c r="G6" i="4"/>
  <c r="G15" i="4" s="1"/>
  <c r="V6" i="3"/>
  <c r="V15" i="3" s="1"/>
  <c r="F15" i="3"/>
  <c r="G6" i="3"/>
  <c r="G15" i="3" s="1"/>
  <c r="H6" i="5" l="1"/>
  <c r="H15" i="5" s="1"/>
  <c r="H6" i="4"/>
  <c r="H6" i="3"/>
  <c r="I6" i="5" l="1"/>
  <c r="J6" i="5" s="1"/>
  <c r="I6" i="4"/>
  <c r="H15" i="4"/>
  <c r="I6" i="3"/>
  <c r="H15" i="3"/>
  <c r="K6" i="5" l="1"/>
  <c r="K15" i="5" s="1"/>
  <c r="I15" i="5"/>
  <c r="J15" i="5"/>
  <c r="J6" i="4"/>
  <c r="I15" i="4"/>
  <c r="K6" i="4"/>
  <c r="K15" i="4" s="1"/>
  <c r="K6" i="3"/>
  <c r="K15" i="3" s="1"/>
  <c r="J6" i="3"/>
  <c r="I15" i="3"/>
  <c r="L6" i="5" l="1"/>
  <c r="J15" i="4"/>
  <c r="L6" i="4"/>
  <c r="T6" i="4" s="1"/>
  <c r="J15" i="3"/>
  <c r="L6" i="3"/>
  <c r="T6" i="5" l="1"/>
  <c r="T15" i="5" s="1"/>
  <c r="N6" i="5"/>
  <c r="T6" i="3"/>
  <c r="T15" i="3" s="1"/>
  <c r="N6" i="3"/>
  <c r="N15" i="3" s="1"/>
  <c r="Q6" i="5"/>
  <c r="Q15" i="5" s="1"/>
  <c r="N6" i="4"/>
  <c r="N15" i="4" s="1"/>
  <c r="M6" i="5"/>
  <c r="M15" i="5" s="1"/>
  <c r="R6" i="5"/>
  <c r="R15" i="5" s="1"/>
  <c r="S6" i="5"/>
  <c r="S15" i="5" s="1"/>
  <c r="P6" i="5"/>
  <c r="P15" i="5" s="1"/>
  <c r="L15" i="5"/>
  <c r="O6" i="5"/>
  <c r="O15" i="5" s="1"/>
  <c r="N15" i="5"/>
  <c r="Q6" i="4"/>
  <c r="Q15" i="4" s="1"/>
  <c r="O6" i="3"/>
  <c r="O15" i="3" s="1"/>
  <c r="R6" i="4"/>
  <c r="R15" i="4" s="1"/>
  <c r="L15" i="4"/>
  <c r="P6" i="4"/>
  <c r="P15" i="4" s="1"/>
  <c r="M6" i="4"/>
  <c r="O6" i="4"/>
  <c r="O15" i="4" s="1"/>
  <c r="S6" i="4"/>
  <c r="S15" i="4" s="1"/>
  <c r="L15" i="3"/>
  <c r="P6" i="3"/>
  <c r="P15" i="3" s="1"/>
  <c r="R6" i="3"/>
  <c r="R15" i="3" s="1"/>
  <c r="Q6" i="3"/>
  <c r="Q15" i="3" s="1"/>
  <c r="M6" i="3"/>
  <c r="S6" i="3"/>
  <c r="S15" i="3" s="1"/>
  <c r="U6" i="5" l="1"/>
  <c r="U15" i="5" s="1"/>
  <c r="M15" i="4"/>
  <c r="U6" i="4"/>
  <c r="U15" i="4" s="1"/>
  <c r="M15" i="3"/>
  <c r="U6" i="3"/>
  <c r="U15" i="3" s="1"/>
  <c r="C15" i="2"/>
  <c r="D15" i="2"/>
  <c r="E6" i="2" l="1"/>
  <c r="F6" i="2" s="1"/>
  <c r="E15" i="2" l="1"/>
  <c r="F15" i="2" l="1"/>
  <c r="V6" i="2"/>
  <c r="G6" i="2"/>
  <c r="G15" i="2" l="1"/>
  <c r="H6" i="2"/>
  <c r="H15" i="2" l="1"/>
  <c r="I6" i="2"/>
  <c r="I15" i="2" l="1"/>
  <c r="K6" i="2"/>
  <c r="J6" i="2"/>
  <c r="J15" i="2" l="1"/>
  <c r="K15" i="2"/>
  <c r="L6" i="2"/>
  <c r="N6" i="2" s="1"/>
  <c r="B15" i="2"/>
  <c r="B18" i="6" l="1"/>
  <c r="U6" i="2"/>
  <c r="U15" i="2" s="1"/>
  <c r="T6" i="2"/>
  <c r="O6" i="2"/>
  <c r="L15" i="2"/>
  <c r="Q6" i="2"/>
  <c r="V15" i="2"/>
  <c r="R6" i="2"/>
  <c r="P6" i="2"/>
  <c r="M6" i="2"/>
  <c r="S6" i="2"/>
  <c r="T15" i="2" l="1"/>
  <c r="S15" i="2"/>
  <c r="M15" i="2"/>
  <c r="Q15" i="2"/>
  <c r="P15" i="2"/>
  <c r="N15" i="2"/>
  <c r="R15" i="2"/>
  <c r="O15" i="2"/>
  <c r="I9" i="6" l="1"/>
  <c r="S9" i="6"/>
  <c r="V9" i="6"/>
  <c r="E9" i="6"/>
  <c r="W9" i="6"/>
  <c r="N9" i="6"/>
  <c r="R9" i="6"/>
  <c r="Q9" i="6"/>
  <c r="U9" i="6"/>
  <c r="U18" i="6" s="1"/>
  <c r="F9" i="6"/>
  <c r="P9" i="6"/>
  <c r="J9" i="6"/>
  <c r="T9" i="6"/>
  <c r="M9" i="6"/>
  <c r="G9" i="6"/>
  <c r="H9" i="6"/>
  <c r="L9" i="6"/>
  <c r="O9" i="6"/>
  <c r="K9" i="6"/>
  <c r="C18" i="6" l="1"/>
  <c r="G18" i="6"/>
  <c r="E18" i="6"/>
  <c r="H18" i="6"/>
  <c r="V18" i="6"/>
  <c r="N18" i="6"/>
  <c r="P18" i="6"/>
  <c r="K18" i="6"/>
  <c r="L18" i="6"/>
  <c r="J18" i="6"/>
  <c r="F18" i="6"/>
  <c r="D18" i="6"/>
  <c r="I18" i="6"/>
  <c r="R18" i="6"/>
  <c r="S18" i="6"/>
  <c r="Q18" i="6"/>
  <c r="O18" i="6"/>
  <c r="M18" i="6"/>
  <c r="T15" i="4" l="1"/>
  <c r="T18" i="6" l="1"/>
</calcChain>
</file>

<file path=xl/sharedStrings.xml><?xml version="1.0" encoding="utf-8"?>
<sst xmlns="http://schemas.openxmlformats.org/spreadsheetml/2006/main" count="138" uniqueCount="38">
  <si>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</si>
  <si>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</si>
  <si>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</si>
  <si>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</si>
  <si>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</si>
  <si>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</si>
  <si>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</si>
  <si>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</si>
  <si>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</si>
  <si>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</si>
  <si>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</si>
  <si>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</si>
  <si>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</si>
  <si>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</si>
  <si>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</si>
  <si>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</si>
  <si>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</si>
  <si>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</si>
  <si>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</si>
  <si>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</si>
  <si>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</si>
  <si>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</si>
  <si>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</si>
  <si>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</si>
  <si>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</si>
  <si>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</si>
  <si>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</si>
  <si>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</si>
  <si>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</si>
  <si>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</si>
  <si>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</si>
  <si>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</si>
  <si>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* 5 days to start the fiscal year</t>
  </si>
  <si>
    <t>FY 2025</t>
  </si>
  <si>
    <t>FISCAL YEAR 2026</t>
  </si>
  <si>
    <t>7/5/2025 *</t>
  </si>
  <si>
    <t>3 CITIES</t>
  </si>
  <si>
    <t>FISCAL YEAR TO DATE AS OF AUGUST 23,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</si>
</sst>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21"/>
  <sheetViews>
    <sheetView tabSelected="1" zoomScaleNormal="100" workbookViewId="0">
      <pane ySplit="7" topLeftCell="A11" activePane="bottomLeft" state="frozen"/>
      <selection pane="bottomLeft" activeCell="A18" sqref="A18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45857</v>
      </c>
      <c r="B11" s="7">
        <f>SUM('Mountaineer:Charles Town'!B8)</f>
        <v>115485386.48</v>
      </c>
      <c r="C11" s="7">
        <f>SUM('Mountaineer:Charles Town'!C8)</f>
        <v>103784007.73999999</v>
      </c>
      <c r="D11" s="7">
        <f>SUM('Mountaineer:Charles Town'!D8)</f>
        <v>1985708.8800000004</v>
      </c>
      <c r="E11" s="7">
        <f>SUM('Mountaineer:Charles Town'!E8)</f>
        <v>9715669.8600000031</v>
      </c>
      <c r="F11" s="7">
        <f>SUM('Mountaineer:Charles Town'!F8)</f>
        <v>388626.8</v>
      </c>
      <c r="G11" s="7">
        <f>SUM('Mountaineer:Charles Town'!G8)</f>
        <v>0</v>
      </c>
      <c r="H11" s="7">
        <f>SUM('Mountaineer:Charles Town'!H8)</f>
        <v>9327043.0600000024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9327043.0600000024</v>
      </c>
      <c r="M11" s="7">
        <f>SUM('Mountaineer:Charles Town'!M8)</f>
        <v>4337075.0199999996</v>
      </c>
      <c r="N11" s="7">
        <f>SUM('Mountaineer:Charles Town'!N8)</f>
        <v>2798112.92</v>
      </c>
      <c r="O11" s="7">
        <f>SUM('Mountaineer:Charles Town'!O8)</f>
        <v>1119245.17</v>
      </c>
      <c r="P11" s="7">
        <f>SUM('Mountaineer:Charles Town'!P8)</f>
        <v>652893.02</v>
      </c>
      <c r="Q11" s="7">
        <f>SUM('Mountaineer:Charles Town'!Q8)</f>
        <v>93270.43</v>
      </c>
      <c r="R11" s="7">
        <f>SUM('Mountaineer:Charles Town'!R8)</f>
        <v>69952.820000000007</v>
      </c>
      <c r="S11" s="7">
        <f>SUM('Mountaineer:Charles Town'!S8)</f>
        <v>69952.820000000007</v>
      </c>
      <c r="T11" s="7">
        <f>SUM('Mountaineer:Charles Town'!T8)</f>
        <v>171372.07</v>
      </c>
      <c r="U11" s="7">
        <f>SUM('Mountaineer:Charles Town'!U8)</f>
        <v>15168.79</v>
      </c>
      <c r="V11" s="7">
        <f>SUM('Mountaineer:Charles Town'!V8)</f>
        <v>8273.8421834268811</v>
      </c>
      <c r="W11" s="5">
        <f>SUM('Mountaineer:Charles Town'!W8)</f>
        <v>4328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45864</v>
      </c>
      <c r="B12" s="7">
        <f>SUM('Mountaineer:Charles Town'!B9)</f>
        <v>119318232.44</v>
      </c>
      <c r="C12" s="7">
        <f>SUM('Mountaineer:Charles Town'!C9)</f>
        <v>108001731.36</v>
      </c>
      <c r="D12" s="7">
        <f>SUM('Mountaineer:Charles Town'!D9)</f>
        <v>2091789.4100000001</v>
      </c>
      <c r="E12" s="7">
        <f>SUM('Mountaineer:Charles Town'!E9)</f>
        <v>9224711.6699999943</v>
      </c>
      <c r="F12" s="7">
        <f>SUM('Mountaineer:Charles Town'!F9)</f>
        <v>368988.45999999996</v>
      </c>
      <c r="G12" s="7">
        <f>SUM('Mountaineer:Charles Town'!G9)</f>
        <v>0</v>
      </c>
      <c r="H12" s="7">
        <f>SUM('Mountaineer:Charles Town'!H9)</f>
        <v>8855723.2099999934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8855723.2099999934</v>
      </c>
      <c r="M12" s="7">
        <f>SUM('Mountaineer:Charles Town'!M9)</f>
        <v>4117911.29</v>
      </c>
      <c r="N12" s="7">
        <f>SUM('Mountaineer:Charles Town'!N9)</f>
        <v>2656716.98</v>
      </c>
      <c r="O12" s="7">
        <f>SUM('Mountaineer:Charles Town'!O9)</f>
        <v>1062686.77</v>
      </c>
      <c r="P12" s="7">
        <f>SUM('Mountaineer:Charles Town'!P9)</f>
        <v>619900.64</v>
      </c>
      <c r="Q12" s="7">
        <f>SUM('Mountaineer:Charles Town'!Q9)</f>
        <v>88557.23000000001</v>
      </c>
      <c r="R12" s="7">
        <f>SUM('Mountaineer:Charles Town'!R9)</f>
        <v>66417.919999999998</v>
      </c>
      <c r="S12" s="7">
        <f>SUM('Mountaineer:Charles Town'!S9)</f>
        <v>66417.919999999998</v>
      </c>
      <c r="T12" s="7">
        <f>SUM('Mountaineer:Charles Town'!T9)</f>
        <v>163368.25</v>
      </c>
      <c r="U12" s="7">
        <f>SUM('Mountaineer:Charles Town'!U9)</f>
        <v>13746.21</v>
      </c>
      <c r="V12" s="7">
        <f>SUM('Mountaineer:Charles Town'!V9)</f>
        <v>7701.0528003201489</v>
      </c>
      <c r="W12" s="5">
        <f>SUM('Mountaineer:Charles Town'!W9)</f>
        <v>4286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45871</v>
      </c>
      <c r="B13" s="7">
        <f>SUM('Mountaineer:Charles Town'!B10)</f>
        <v>117921911.25</v>
      </c>
      <c r="C13" s="7">
        <f>SUM('Mountaineer:Charles Town'!C10)</f>
        <v>106374735</v>
      </c>
      <c r="D13" s="7">
        <f>SUM('Mountaineer:Charles Town'!D10)</f>
        <v>1986191.07</v>
      </c>
      <c r="E13" s="7">
        <f>SUM('Mountaineer:Charles Town'!E10)</f>
        <v>9560985.179999996</v>
      </c>
      <c r="F13" s="7">
        <f>SUM('Mountaineer:Charles Town'!F10)</f>
        <v>382439.41000000003</v>
      </c>
      <c r="G13" s="7">
        <f>SUM('Mountaineer:Charles Town'!G10)</f>
        <v>0</v>
      </c>
      <c r="H13" s="7">
        <f>SUM('Mountaineer:Charles Town'!H10)</f>
        <v>9178545.7699999958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9178545.7699999958</v>
      </c>
      <c r="M13" s="7">
        <f>SUM('Mountaineer:Charles Town'!M10)</f>
        <v>4268023.7799999993</v>
      </c>
      <c r="N13" s="7">
        <f>SUM('Mountaineer:Charles Town'!N10)</f>
        <v>2753563.7700000005</v>
      </c>
      <c r="O13" s="7">
        <f>SUM('Mountaineer:Charles Town'!O10)</f>
        <v>1101425.49</v>
      </c>
      <c r="P13" s="7">
        <f>SUM('Mountaineer:Charles Town'!P10)</f>
        <v>642498.19999999995</v>
      </c>
      <c r="Q13" s="7">
        <f>SUM('Mountaineer:Charles Town'!Q10)</f>
        <v>91785.45</v>
      </c>
      <c r="R13" s="7">
        <f>SUM('Mountaineer:Charles Town'!R10)</f>
        <v>68839.09</v>
      </c>
      <c r="S13" s="7">
        <f>SUM('Mountaineer:Charles Town'!S10)</f>
        <v>68839.09</v>
      </c>
      <c r="T13" s="7">
        <f>SUM('Mountaineer:Charles Town'!T10)</f>
        <v>169997.96</v>
      </c>
      <c r="U13" s="7">
        <f>SUM('Mountaineer:Charles Town'!U10)</f>
        <v>13572.94</v>
      </c>
      <c r="V13" s="7">
        <f>SUM('Mountaineer:Charles Town'!V10)</f>
        <v>7992.9146451027636</v>
      </c>
      <c r="W13" s="5">
        <f>SUM('Mountaineer:Charles Town'!W10)</f>
        <v>4295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45878</v>
      </c>
      <c r="B14" s="7">
        <f>SUM('Mountaineer:Charles Town'!B11)</f>
        <v>115021423.75999999</v>
      </c>
      <c r="C14" s="7">
        <f>SUM('Mountaineer:Charles Town'!C11)</f>
        <v>103480787.12</v>
      </c>
      <c r="D14" s="7">
        <f>SUM('Mountaineer:Charles Town'!D11)</f>
        <v>2016337.94</v>
      </c>
      <c r="E14" s="7">
        <f>SUM('Mountaineer:Charles Town'!E11)</f>
        <v>9524298.6999999993</v>
      </c>
      <c r="F14" s="7">
        <f>SUM('Mountaineer:Charles Town'!F11)</f>
        <v>380971.94999999995</v>
      </c>
      <c r="G14" s="7">
        <f>SUM('Mountaineer:Charles Town'!G11)</f>
        <v>0</v>
      </c>
      <c r="H14" s="7">
        <f>SUM('Mountaineer:Charles Town'!H11)</f>
        <v>9143326.7499999981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9143326.7499999981</v>
      </c>
      <c r="M14" s="7">
        <f>SUM('Mountaineer:Charles Town'!M11)</f>
        <v>4251646.9399999995</v>
      </c>
      <c r="N14" s="7">
        <f>SUM('Mountaineer:Charles Town'!N11)</f>
        <v>2742998.02</v>
      </c>
      <c r="O14" s="7">
        <f>SUM('Mountaineer:Charles Town'!O11)</f>
        <v>1097199.21</v>
      </c>
      <c r="P14" s="7">
        <f>SUM('Mountaineer:Charles Town'!P11)</f>
        <v>640032.87</v>
      </c>
      <c r="Q14" s="7">
        <f>SUM('Mountaineer:Charles Town'!Q11)</f>
        <v>91433.26999999999</v>
      </c>
      <c r="R14" s="7">
        <f>SUM('Mountaineer:Charles Town'!R11)</f>
        <v>68574.95</v>
      </c>
      <c r="S14" s="7">
        <f>SUM('Mountaineer:Charles Town'!S11)</f>
        <v>68574.95</v>
      </c>
      <c r="T14" s="7">
        <f>SUM('Mountaineer:Charles Town'!T11)</f>
        <v>168817.33</v>
      </c>
      <c r="U14" s="7">
        <f>SUM('Mountaineer:Charles Town'!U11)</f>
        <v>14049.21</v>
      </c>
      <c r="V14" s="7">
        <f>SUM('Mountaineer:Charles Town'!V11)</f>
        <v>8022.9428619225255</v>
      </c>
      <c r="W14" s="5">
        <f>SUM('Mountaineer:Charles Town'!W11)</f>
        <v>4297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45885</v>
      </c>
      <c r="B15" s="7">
        <f>SUM('Mountaineer:Charles Town'!B12)</f>
        <v>110050981.26000001</v>
      </c>
      <c r="C15" s="7">
        <f>SUM('Mountaineer:Charles Town'!C12)</f>
        <v>99167774.150000006</v>
      </c>
      <c r="D15" s="7">
        <f>SUM('Mountaineer:Charles Town'!D12)</f>
        <v>1872517.7399999998</v>
      </c>
      <c r="E15" s="7">
        <f>SUM('Mountaineer:Charles Town'!E12)</f>
        <v>9010689.3700000029</v>
      </c>
      <c r="F15" s="7">
        <f>SUM('Mountaineer:Charles Town'!F12)</f>
        <v>360427.57999999996</v>
      </c>
      <c r="G15" s="7">
        <f>SUM('Mountaineer:Charles Town'!G12)</f>
        <v>0</v>
      </c>
      <c r="H15" s="7">
        <f>SUM('Mountaineer:Charles Town'!H12)</f>
        <v>8650261.7900000028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8650261.7900000028</v>
      </c>
      <c r="M15" s="7">
        <f>SUM('Mountaineer:Charles Town'!M12)</f>
        <v>4022371.74</v>
      </c>
      <c r="N15" s="7">
        <f>SUM('Mountaineer:Charles Town'!N12)</f>
        <v>2595078.5299999998</v>
      </c>
      <c r="O15" s="7">
        <f>SUM('Mountaineer:Charles Town'!O12)</f>
        <v>1038031.4199999999</v>
      </c>
      <c r="P15" s="7">
        <f>SUM('Mountaineer:Charles Town'!P12)</f>
        <v>605518.32999999996</v>
      </c>
      <c r="Q15" s="7">
        <f>SUM('Mountaineer:Charles Town'!Q12)</f>
        <v>86502.61</v>
      </c>
      <c r="R15" s="7">
        <f>SUM('Mountaineer:Charles Town'!R12)</f>
        <v>64876.97</v>
      </c>
      <c r="S15" s="7">
        <f>SUM('Mountaineer:Charles Town'!S12)</f>
        <v>64876.97</v>
      </c>
      <c r="T15" s="7">
        <f>SUM('Mountaineer:Charles Town'!T12)</f>
        <v>159089.57</v>
      </c>
      <c r="U15" s="7">
        <f>SUM('Mountaineer:Charles Town'!U12)</f>
        <v>13915.65</v>
      </c>
      <c r="V15" s="7">
        <f>SUM('Mountaineer:Charles Town'!V12)</f>
        <v>7532.1335230501099</v>
      </c>
      <c r="W15" s="5">
        <f>SUM('Mountaineer:Charles Town'!W12)</f>
        <v>4327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45892</v>
      </c>
      <c r="B16" s="7">
        <f>SUM('Mountaineer:Charles Town'!B13)</f>
        <v>114003552.69999999</v>
      </c>
      <c r="C16" s="7">
        <f>SUM('Mountaineer:Charles Town'!C13)</f>
        <v>102915558.43000001</v>
      </c>
      <c r="D16" s="7">
        <f>SUM('Mountaineer:Charles Town'!D13)</f>
        <v>2075867.59</v>
      </c>
      <c r="E16" s="7">
        <f>SUM('Mountaineer:Charles Town'!E13)</f>
        <v>9012126.6799999867</v>
      </c>
      <c r="F16" s="7">
        <f>SUM('Mountaineer:Charles Town'!F13)</f>
        <v>360485.07999999996</v>
      </c>
      <c r="G16" s="7">
        <f>SUM('Mountaineer:Charles Town'!G13)</f>
        <v>0</v>
      </c>
      <c r="H16" s="7">
        <f>SUM('Mountaineer:Charles Town'!H13)</f>
        <v>8651641.5999999866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8651641.5999999866</v>
      </c>
      <c r="M16" s="7">
        <f>SUM('Mountaineer:Charles Town'!M13)</f>
        <v>4023013.34</v>
      </c>
      <c r="N16" s="7">
        <f>SUM('Mountaineer:Charles Town'!N13)</f>
        <v>2595492.48</v>
      </c>
      <c r="O16" s="7">
        <f>SUM('Mountaineer:Charles Town'!O13)</f>
        <v>1038196.98</v>
      </c>
      <c r="P16" s="7">
        <f>SUM('Mountaineer:Charles Town'!P13)</f>
        <v>605614.9</v>
      </c>
      <c r="Q16" s="7">
        <f>SUM('Mountaineer:Charles Town'!Q13)</f>
        <v>86516.42</v>
      </c>
      <c r="R16" s="7">
        <f>SUM('Mountaineer:Charles Town'!R13)</f>
        <v>64887.32</v>
      </c>
      <c r="S16" s="7">
        <f>SUM('Mountaineer:Charles Town'!S13)</f>
        <v>64887.32</v>
      </c>
      <c r="T16" s="7">
        <f>SUM('Mountaineer:Charles Town'!T13)</f>
        <v>158653.12</v>
      </c>
      <c r="U16" s="7">
        <f>SUM('Mountaineer:Charles Town'!U13)</f>
        <v>14379.72</v>
      </c>
      <c r="V16" s="7">
        <f>SUM('Mountaineer:Charles Town'!V13)</f>
        <v>7528.3833648834152</v>
      </c>
      <c r="W16" s="5">
        <f>SUM('Mountaineer:Charles Town'!W13)</f>
        <v>4292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8" spans="1:23" ht="15" customHeight="1" thickBot="1" x14ac:dyDescent="0.3">
      <c r="B18" s="11">
        <f t="shared" ref="B18:U18" si="0">SUM(B9:B17)</f>
        <v>899537554.25</v>
      </c>
      <c r="C18" s="11">
        <f t="shared" si="0"/>
        <v>810473458.98000002</v>
      </c>
      <c r="D18" s="11">
        <f t="shared" si="0"/>
        <v>15718923.57</v>
      </c>
      <c r="E18" s="11">
        <f t="shared" si="0"/>
        <v>73345171.699999988</v>
      </c>
      <c r="F18" s="11">
        <f t="shared" si="0"/>
        <v>2933806.8900000006</v>
      </c>
      <c r="G18" s="11">
        <f t="shared" si="0"/>
        <v>0</v>
      </c>
      <c r="H18" s="11">
        <f t="shared" si="0"/>
        <v>70411364.809999973</v>
      </c>
      <c r="I18" s="11">
        <f t="shared" si="0"/>
        <v>0</v>
      </c>
      <c r="J18" s="11">
        <f t="shared" si="0"/>
        <v>0</v>
      </c>
      <c r="K18" s="11">
        <f t="shared" si="0"/>
        <v>0</v>
      </c>
      <c r="L18" s="11">
        <f t="shared" si="0"/>
        <v>70411364.809999973</v>
      </c>
      <c r="M18" s="11">
        <f t="shared" si="0"/>
        <v>32741284.629999999</v>
      </c>
      <c r="N18" s="11">
        <f t="shared" si="0"/>
        <v>21123409.450000003</v>
      </c>
      <c r="O18" s="11">
        <f t="shared" si="0"/>
        <v>8545836.0299999993</v>
      </c>
      <c r="P18" s="11">
        <f t="shared" si="0"/>
        <v>4849347.7700000005</v>
      </c>
      <c r="Q18" s="11">
        <f t="shared" si="0"/>
        <v>704113.65</v>
      </c>
      <c r="R18" s="11">
        <f t="shared" si="0"/>
        <v>519572.99000000005</v>
      </c>
      <c r="S18" s="11">
        <f t="shared" si="0"/>
        <v>519572.99000000005</v>
      </c>
      <c r="T18" s="11">
        <f t="shared" si="0"/>
        <v>1295740.81</v>
      </c>
      <c r="U18" s="11">
        <f t="shared" si="0"/>
        <v>112486.48999999999</v>
      </c>
      <c r="V18" s="11">
        <f>AVERAGE(V9:V17)</f>
        <v>7699.9484048719514</v>
      </c>
      <c r="W18" s="13">
        <f>AVERAGE(W9:W17)</f>
        <v>4319.75</v>
      </c>
    </row>
    <row r="19" spans="1:23" ht="15" customHeight="1" thickTop="1" x14ac:dyDescent="0.25"/>
    <row r="20" spans="1:23" ht="15" customHeight="1" x14ac:dyDescent="0.25">
      <c r="A20" s="1" t="s">
        <v>32</v>
      </c>
    </row>
    <row r="21" spans="1:23" ht="15" customHeight="1" x14ac:dyDescent="0.25">
      <c r="A21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18"/>
  <sheetViews>
    <sheetView workbookViewId="0">
      <pane ySplit="3" topLeftCell="A4" activePane="bottomLeft" state="frozen"/>
      <selection pane="bottomLeft" activeCell="A15" sqref="A15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35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A7+7</f>
        <v>45857</v>
      </c>
      <c r="B8" s="7">
        <v>16478400.030000001</v>
      </c>
      <c r="C8" s="7">
        <v>14541171.43</v>
      </c>
      <c r="D8" s="7">
        <v>357146</v>
      </c>
      <c r="E8" s="7">
        <f t="shared" ref="E8" si="23">B8-C8-D8</f>
        <v>1580082.6000000015</v>
      </c>
      <c r="F8" s="7">
        <f>ROUND(E8*0.04,2)</f>
        <v>63203.3</v>
      </c>
      <c r="G8" s="7">
        <f t="shared" ref="G8" si="24">ROUND(E8*0,2)</f>
        <v>0</v>
      </c>
      <c r="H8" s="7">
        <f t="shared" ref="H8" si="25">E8-F8-G8</f>
        <v>1516879.3000000014</v>
      </c>
      <c r="I8" s="7">
        <f t="shared" ref="I8" si="26">ROUND(H8*0,2)</f>
        <v>0</v>
      </c>
      <c r="J8" s="7">
        <f t="shared" ref="J8" si="27">ROUND((I8*0.58)+((I8*0.42)*0.1),2)</f>
        <v>0</v>
      </c>
      <c r="K8" s="7">
        <f t="shared" ref="K8" si="28">ROUND((I8*0.42)*0.9,2)</f>
        <v>0</v>
      </c>
      <c r="L8" s="18">
        <f t="shared" ref="L8" si="29">IF(J8+K8=I8,H8-I8,"ERROR")</f>
        <v>1516879.3000000014</v>
      </c>
      <c r="M8" s="7">
        <f t="shared" ref="M8" si="30">ROUND(L8*0.465,2)</f>
        <v>705348.87</v>
      </c>
      <c r="N8" s="7">
        <f>ROUND(L8*0.3,2)+0.02</f>
        <v>455063.81</v>
      </c>
      <c r="O8" s="7">
        <f>ROUND(L8*0.12,2)</f>
        <v>182025.52</v>
      </c>
      <c r="P8" s="7">
        <f>ROUND(L8*0.07,2)</f>
        <v>106181.55</v>
      </c>
      <c r="Q8" s="7">
        <f t="shared" ref="Q8" si="31">ROUND(L8*0.01,2)</f>
        <v>15168.79</v>
      </c>
      <c r="R8" s="7">
        <f>ROUND(L8*0.0075,2)</f>
        <v>11376.59</v>
      </c>
      <c r="S8" s="7">
        <f>ROUND(L8*0.0075,2)</f>
        <v>11376.59</v>
      </c>
      <c r="T8" s="7">
        <f>ROUND(L8*0.01,2)</f>
        <v>15168.79</v>
      </c>
      <c r="U8" s="7">
        <f>ROUND(L8*0.01,2)</f>
        <v>15168.79</v>
      </c>
      <c r="V8" s="16">
        <f t="shared" ref="V8" si="32">E8/W8</f>
        <v>1591.2211480362553</v>
      </c>
      <c r="W8" s="8">
        <v>993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A8+7</f>
        <v>45864</v>
      </c>
      <c r="B9" s="7">
        <v>16092197.9</v>
      </c>
      <c r="C9" s="7">
        <v>14328659.65</v>
      </c>
      <c r="D9" s="7">
        <v>331641</v>
      </c>
      <c r="E9" s="7">
        <f t="shared" ref="E9" si="33">B9-C9-D9</f>
        <v>1431897.25</v>
      </c>
      <c r="F9" s="7">
        <f>ROUND(E9*0.04,2)</f>
        <v>57275.89</v>
      </c>
      <c r="G9" s="7">
        <f t="shared" ref="G9" si="34">ROUND(E9*0,2)</f>
        <v>0</v>
      </c>
      <c r="H9" s="7">
        <f t="shared" ref="H9" si="35">E9-F9-G9</f>
        <v>1374621.36</v>
      </c>
      <c r="I9" s="7">
        <f t="shared" ref="I9" si="36">ROUND(H9*0,2)</f>
        <v>0</v>
      </c>
      <c r="J9" s="7">
        <f t="shared" ref="J9" si="37">ROUND((I9*0.58)+((I9*0.42)*0.1),2)</f>
        <v>0</v>
      </c>
      <c r="K9" s="7">
        <f t="shared" ref="K9" si="38">ROUND((I9*0.42)*0.9,2)</f>
        <v>0</v>
      </c>
      <c r="L9" s="18">
        <f t="shared" ref="L9" si="39">IF(J9+K9=I9,H9-I9,"ERROR")</f>
        <v>1374621.36</v>
      </c>
      <c r="M9" s="7">
        <f t="shared" ref="M9" si="40">ROUND(L9*0.465,2)</f>
        <v>639198.93000000005</v>
      </c>
      <c r="N9" s="7">
        <f>ROUND(L9*0.3,2)+0.01</f>
        <v>412386.42</v>
      </c>
      <c r="O9" s="7">
        <f>ROUND(L9*0.12,2)</f>
        <v>164954.56</v>
      </c>
      <c r="P9" s="7">
        <f>ROUND(L9*0.07,2)</f>
        <v>96223.5</v>
      </c>
      <c r="Q9" s="7">
        <f t="shared" ref="Q9" si="41">ROUND(L9*0.01,2)</f>
        <v>13746.21</v>
      </c>
      <c r="R9" s="7">
        <f>ROUND(L9*0.0075,2)</f>
        <v>10309.66</v>
      </c>
      <c r="S9" s="7">
        <f>ROUND(L9*0.0075,2)</f>
        <v>10309.66</v>
      </c>
      <c r="T9" s="7">
        <f>ROUND(L9*0.01,2)</f>
        <v>13746.21</v>
      </c>
      <c r="U9" s="7">
        <f>ROUND(L9*0.01,2)</f>
        <v>13746.21</v>
      </c>
      <c r="V9" s="16">
        <f t="shared" ref="V9" si="42">E9/W9</f>
        <v>1440.5404929577464</v>
      </c>
      <c r="W9" s="8">
        <v>994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A9+7</f>
        <v>45871</v>
      </c>
      <c r="B10" s="7">
        <v>16482660.189999999</v>
      </c>
      <c r="C10" s="7">
        <v>14730034.83</v>
      </c>
      <c r="D10" s="7">
        <v>338777</v>
      </c>
      <c r="E10" s="7">
        <f t="shared" ref="E10" si="43">B10-C10-D10</f>
        <v>1413848.3599999994</v>
      </c>
      <c r="F10" s="7">
        <f>ROUND(E10*0.04,2)-0.01</f>
        <v>56553.919999999998</v>
      </c>
      <c r="G10" s="7">
        <f t="shared" ref="G10" si="44">ROUND(E10*0,2)</f>
        <v>0</v>
      </c>
      <c r="H10" s="7">
        <f t="shared" ref="H10" si="45">E10-F10-G10</f>
        <v>1357294.4399999995</v>
      </c>
      <c r="I10" s="7">
        <f t="shared" ref="I10" si="46">ROUND(H10*0,2)</f>
        <v>0</v>
      </c>
      <c r="J10" s="7">
        <f t="shared" ref="J10" si="47">ROUND((I10*0.58)+((I10*0.42)*0.1),2)</f>
        <v>0</v>
      </c>
      <c r="K10" s="7">
        <f t="shared" ref="K10" si="48">ROUND((I10*0.42)*0.9,2)</f>
        <v>0</v>
      </c>
      <c r="L10" s="18">
        <f t="shared" ref="L10" si="49">IF(J10+K10=I10,H10-I10,"ERROR")</f>
        <v>1357294.4399999995</v>
      </c>
      <c r="M10" s="7">
        <f t="shared" ref="M10" si="50">ROUND(L10*0.465,2)</f>
        <v>631141.91</v>
      </c>
      <c r="N10" s="7">
        <f>ROUND(L10*0.3,2)+0.02</f>
        <v>407188.35000000003</v>
      </c>
      <c r="O10" s="7">
        <f>ROUND(L10*0.12,2)</f>
        <v>162875.32999999999</v>
      </c>
      <c r="P10" s="7">
        <f>ROUND(L10*0.07,2)</f>
        <v>95010.61</v>
      </c>
      <c r="Q10" s="7">
        <f t="shared" ref="Q10" si="51">ROUND(L10*0.01,2)</f>
        <v>13572.94</v>
      </c>
      <c r="R10" s="7">
        <f>ROUND(L10*0.0075,2)</f>
        <v>10179.709999999999</v>
      </c>
      <c r="S10" s="7">
        <f>ROUND(L10*0.0075,2)</f>
        <v>10179.709999999999</v>
      </c>
      <c r="T10" s="7">
        <f>ROUND(L10*0.01,2)</f>
        <v>13572.94</v>
      </c>
      <c r="U10" s="7">
        <f>ROUND(L10*0.01,2)</f>
        <v>13572.94</v>
      </c>
      <c r="V10" s="16">
        <f t="shared" ref="V10" si="52">E10/W10</f>
        <v>1413.8483599999995</v>
      </c>
      <c r="W10" s="8">
        <v>1000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A10+7</f>
        <v>45878</v>
      </c>
      <c r="B11" s="7">
        <v>16105109.310000001</v>
      </c>
      <c r="C11" s="7">
        <v>14300517.649999999</v>
      </c>
      <c r="D11" s="7">
        <v>341132</v>
      </c>
      <c r="E11" s="7">
        <f t="shared" ref="E11" si="53">B11-C11-D11</f>
        <v>1463459.660000002</v>
      </c>
      <c r="F11" s="7">
        <f>ROUND(E11*0.04,2)</f>
        <v>58538.39</v>
      </c>
      <c r="G11" s="7">
        <f t="shared" ref="G11" si="54">ROUND(E11*0,2)</f>
        <v>0</v>
      </c>
      <c r="H11" s="7">
        <f t="shared" ref="H11" si="55">E11-F11-G11</f>
        <v>1404921.2700000021</v>
      </c>
      <c r="I11" s="7">
        <f t="shared" ref="I11" si="56">ROUND(H11*0,2)</f>
        <v>0</v>
      </c>
      <c r="J11" s="7">
        <f t="shared" ref="J11" si="57">ROUND((I11*0.58)+((I11*0.42)*0.1),2)</f>
        <v>0</v>
      </c>
      <c r="K11" s="7">
        <f t="shared" ref="K11" si="58">ROUND((I11*0.42)*0.9,2)</f>
        <v>0</v>
      </c>
      <c r="L11" s="18">
        <f t="shared" ref="L11" si="59">IF(J11+K11=I11,H11-I11,"ERROR")</f>
        <v>1404921.2700000021</v>
      </c>
      <c r="M11" s="7">
        <f t="shared" ref="M11" si="60">ROUND(L11*0.465,2)</f>
        <v>653288.39</v>
      </c>
      <c r="N11" s="7">
        <f>ROUND(L11*0.3,2)+0.01</f>
        <v>421476.39</v>
      </c>
      <c r="O11" s="7">
        <f>ROUND(L11*0.12,2)</f>
        <v>168590.55</v>
      </c>
      <c r="P11" s="7">
        <f>ROUND(L11*0.07,2)</f>
        <v>98344.49</v>
      </c>
      <c r="Q11" s="7">
        <f t="shared" ref="Q11" si="61">ROUND(L11*0.01,2)</f>
        <v>14049.21</v>
      </c>
      <c r="R11" s="7">
        <f>ROUND(L11*0.0075,2)</f>
        <v>10536.91</v>
      </c>
      <c r="S11" s="7">
        <f>ROUND(L11*0.0075,2)</f>
        <v>10536.91</v>
      </c>
      <c r="T11" s="7">
        <f>ROUND(L11*0.01,2)</f>
        <v>14049.21</v>
      </c>
      <c r="U11" s="7">
        <f>ROUND(L11*0.01,2)</f>
        <v>14049.21</v>
      </c>
      <c r="V11" s="16">
        <f t="shared" ref="V11" si="62">E11/W11</f>
        <v>1466.3924448897815</v>
      </c>
      <c r="W11" s="8">
        <v>998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A11+7</f>
        <v>45885</v>
      </c>
      <c r="B12" s="7">
        <v>16132967.800000001</v>
      </c>
      <c r="C12" s="7">
        <v>14338936.68</v>
      </c>
      <c r="D12" s="7">
        <v>344484</v>
      </c>
      <c r="E12" s="7">
        <f t="shared" ref="E12" si="63">B12-C12-D12</f>
        <v>1449547.120000001</v>
      </c>
      <c r="F12" s="7">
        <f>ROUND(E12*0.04,2)+0.01</f>
        <v>57981.89</v>
      </c>
      <c r="G12" s="7">
        <f t="shared" ref="G12" si="64">ROUND(E12*0,2)</f>
        <v>0</v>
      </c>
      <c r="H12" s="7">
        <f t="shared" ref="H12" si="65">E12-F12-G12</f>
        <v>1391565.2300000011</v>
      </c>
      <c r="I12" s="7">
        <f t="shared" ref="I12" si="66">ROUND(H12*0,2)</f>
        <v>0</v>
      </c>
      <c r="J12" s="7">
        <f t="shared" ref="J12" si="67">ROUND((I12*0.58)+((I12*0.42)*0.1),2)</f>
        <v>0</v>
      </c>
      <c r="K12" s="7">
        <f t="shared" ref="K12" si="68">ROUND((I12*0.42)*0.9,2)</f>
        <v>0</v>
      </c>
      <c r="L12" s="18">
        <f t="shared" ref="L12" si="69">IF(J12+K12=I12,H12-I12,"ERROR")</f>
        <v>1391565.2300000011</v>
      </c>
      <c r="M12" s="7">
        <f t="shared" ref="M12" si="70">ROUND(L12*0.465,2)</f>
        <v>647077.82999999996</v>
      </c>
      <c r="N12" s="7">
        <f>ROUND(L12*0.3,2)</f>
        <v>417469.57</v>
      </c>
      <c r="O12" s="7">
        <f>ROUND(L12*0.12,2)</f>
        <v>166987.82999999999</v>
      </c>
      <c r="P12" s="7">
        <f>ROUND(L12*0.07,2)</f>
        <v>97409.57</v>
      </c>
      <c r="Q12" s="7">
        <f t="shared" ref="Q12" si="71">ROUND(L12*0.01,2)</f>
        <v>13915.65</v>
      </c>
      <c r="R12" s="7">
        <f>ROUND(L12*0.0075,2)</f>
        <v>10436.74</v>
      </c>
      <c r="S12" s="7">
        <f>ROUND(L12*0.0075,2)</f>
        <v>10436.74</v>
      </c>
      <c r="T12" s="7">
        <f>ROUND(L12*0.01,2)</f>
        <v>13915.65</v>
      </c>
      <c r="U12" s="7">
        <f>ROUND(L12*0.01,2)</f>
        <v>13915.65</v>
      </c>
      <c r="V12" s="16">
        <f t="shared" ref="V12" si="72">E12/W12</f>
        <v>1450.9981181181192</v>
      </c>
      <c r="W12" s="8">
        <v>999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A12+7</f>
        <v>45892</v>
      </c>
      <c r="B13" s="7">
        <v>16760764.029999997</v>
      </c>
      <c r="C13" s="7">
        <v>14923530.33</v>
      </c>
      <c r="D13" s="7">
        <v>339346</v>
      </c>
      <c r="E13" s="7">
        <f t="shared" ref="E13" si="73">B13-C13-D13</f>
        <v>1497887.6999999974</v>
      </c>
      <c r="F13" s="7">
        <f>ROUND(E13*0.04,2)</f>
        <v>59915.51</v>
      </c>
      <c r="G13" s="7">
        <f t="shared" ref="G13" si="74">ROUND(E13*0,2)</f>
        <v>0</v>
      </c>
      <c r="H13" s="7">
        <f t="shared" ref="H13" si="75">E13-F13-G13</f>
        <v>1437972.1899999974</v>
      </c>
      <c r="I13" s="7">
        <f t="shared" ref="I13" si="76">ROUND(H13*0,2)</f>
        <v>0</v>
      </c>
      <c r="J13" s="7">
        <f t="shared" ref="J13" si="77">ROUND((I13*0.58)+((I13*0.42)*0.1),2)</f>
        <v>0</v>
      </c>
      <c r="K13" s="7">
        <f t="shared" ref="K13" si="78">ROUND((I13*0.42)*0.9,2)</f>
        <v>0</v>
      </c>
      <c r="L13" s="18">
        <f t="shared" ref="L13" si="79">IF(J13+K13=I13,H13-I13,"ERROR")</f>
        <v>1437972.1899999974</v>
      </c>
      <c r="M13" s="7">
        <f t="shared" ref="M13" si="80">ROUND(L13*0.465,2)</f>
        <v>668657.06999999995</v>
      </c>
      <c r="N13" s="7">
        <f>ROUND(L13*0.3,2)+0.01</f>
        <v>431391.67</v>
      </c>
      <c r="O13" s="7">
        <f>ROUND(L13*0.12,2)</f>
        <v>172556.66</v>
      </c>
      <c r="P13" s="7">
        <f>ROUND(L13*0.07,2)</f>
        <v>100658.05</v>
      </c>
      <c r="Q13" s="7">
        <f t="shared" ref="Q13" si="81">ROUND(L13*0.01,2)</f>
        <v>14379.72</v>
      </c>
      <c r="R13" s="7">
        <f>ROUND(L13*0.0075,2)</f>
        <v>10784.79</v>
      </c>
      <c r="S13" s="7">
        <f>ROUND(L13*0.0075,2)</f>
        <v>10784.79</v>
      </c>
      <c r="T13" s="7">
        <f>ROUND(L13*0.01,2)</f>
        <v>14379.72</v>
      </c>
      <c r="U13" s="7">
        <f>ROUND(L13*0.01,2)</f>
        <v>14379.72</v>
      </c>
      <c r="V13" s="16">
        <f t="shared" ref="V13" si="82">E13/W13</f>
        <v>1496.391308691306</v>
      </c>
      <c r="W13" s="8">
        <v>1001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B14" s="9"/>
      <c r="V14" s="10"/>
    </row>
    <row r="15" spans="1:96" ht="15" customHeight="1" thickBot="1" x14ac:dyDescent="0.3">
      <c r="B15" s="11">
        <f t="shared" ref="B15:U15" si="83">SUM(B6:B14)</f>
        <v>128847446.07000001</v>
      </c>
      <c r="C15" s="11">
        <f t="shared" si="83"/>
        <v>114447050.56000002</v>
      </c>
      <c r="D15" s="11">
        <f t="shared" si="83"/>
        <v>2683052</v>
      </c>
      <c r="E15" s="11">
        <f t="shared" si="83"/>
        <v>11717343.510000004</v>
      </c>
      <c r="F15" s="11">
        <f t="shared" si="83"/>
        <v>468693.73000000004</v>
      </c>
      <c r="G15" s="11">
        <f t="shared" si="83"/>
        <v>0</v>
      </c>
      <c r="H15" s="11">
        <f t="shared" si="83"/>
        <v>11248649.780000003</v>
      </c>
      <c r="I15" s="11">
        <f t="shared" si="83"/>
        <v>0</v>
      </c>
      <c r="J15" s="11">
        <f t="shared" si="83"/>
        <v>0</v>
      </c>
      <c r="K15" s="11">
        <f t="shared" si="83"/>
        <v>0</v>
      </c>
      <c r="L15" s="11">
        <f t="shared" si="83"/>
        <v>11248649.780000003</v>
      </c>
      <c r="M15" s="11">
        <f t="shared" si="83"/>
        <v>5230622.1300000008</v>
      </c>
      <c r="N15" s="11">
        <f t="shared" si="83"/>
        <v>3374594.9899999998</v>
      </c>
      <c r="O15" s="11">
        <f t="shared" si="83"/>
        <v>1366601.9</v>
      </c>
      <c r="P15" s="11">
        <f t="shared" si="83"/>
        <v>773599.89000000013</v>
      </c>
      <c r="Q15" s="11">
        <f t="shared" si="83"/>
        <v>112486.48999999999</v>
      </c>
      <c r="R15" s="11">
        <f t="shared" si="83"/>
        <v>82885.700000000012</v>
      </c>
      <c r="S15" s="11">
        <f t="shared" si="83"/>
        <v>82885.700000000012</v>
      </c>
      <c r="T15" s="11">
        <f t="shared" si="83"/>
        <v>112486.48999999999</v>
      </c>
      <c r="U15" s="11">
        <f t="shared" si="83"/>
        <v>112486.48999999999</v>
      </c>
      <c r="V15" s="12">
        <f>AVERAGE(V6:V14)</f>
        <v>1466.6467331839183</v>
      </c>
      <c r="W15" s="13">
        <f>AVERAGE(W6:W14)</f>
        <v>998.75</v>
      </c>
    </row>
    <row r="16" spans="1:96" ht="15" customHeight="1" thickTop="1" x14ac:dyDescent="0.25"/>
    <row r="17" spans="1:1" ht="15" customHeight="1" x14ac:dyDescent="0.25">
      <c r="A17" s="1" t="s">
        <v>32</v>
      </c>
    </row>
    <row r="18" spans="1:1" ht="15" customHeight="1" x14ac:dyDescent="0.25">
      <c r="A18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  <ignoredErrors>
    <ignoredError sqref="T7:U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18"/>
  <sheetViews>
    <sheetView workbookViewId="0">
      <pane ySplit="3" topLeftCell="A4" activePane="bottomLeft" state="frozen"/>
      <selection pane="bottomLeft" activeCell="A15" sqref="A15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21472978.75</v>
      </c>
      <c r="C8" s="7">
        <v>19362296.059999999</v>
      </c>
      <c r="D8" s="7">
        <v>347997.16000000003</v>
      </c>
      <c r="E8" s="7">
        <f t="shared" ref="E8" si="25">B8-C8-D8</f>
        <v>1762685.5300000012</v>
      </c>
      <c r="F8" s="7">
        <f>ROUND(E8*0.04,2)</f>
        <v>70507.42</v>
      </c>
      <c r="G8" s="7">
        <f t="shared" ref="G8" si="26">ROUND(E8*0,2)</f>
        <v>0</v>
      </c>
      <c r="H8" s="7">
        <f t="shared" ref="H8" si="27">E8-F8-G8</f>
        <v>1692178.1100000013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1692178.1100000013</v>
      </c>
      <c r="M8" s="7">
        <f t="shared" ref="M8" si="32">ROUND(L8*0.465,2)</f>
        <v>786862.82</v>
      </c>
      <c r="N8" s="7">
        <f>ROUND(L8*0.3,2)</f>
        <v>507653.43</v>
      </c>
      <c r="O8" s="7">
        <f>ROUND(L8*0.12,2)</f>
        <v>203061.37</v>
      </c>
      <c r="P8" s="7">
        <f>ROUND(L8*0.07,2)</f>
        <v>118452.47</v>
      </c>
      <c r="Q8" s="7">
        <f t="shared" ref="Q8" si="33">ROUND(L8*0.01,2)</f>
        <v>16921.78</v>
      </c>
      <c r="R8" s="7">
        <f>ROUND(L8*0.0075,2)</f>
        <v>12691.34</v>
      </c>
      <c r="S8" s="7">
        <f>ROUND(L8*0.0075,2)</f>
        <v>12691.34</v>
      </c>
      <c r="T8" s="7">
        <f>ROUND(L8*0.02,2)</f>
        <v>33843.56</v>
      </c>
      <c r="U8" s="7">
        <f t="shared" ref="U8" si="34">ROUND(M8*0,2)</f>
        <v>0</v>
      </c>
      <c r="V8" s="16">
        <f t="shared" ref="V8" si="35">E8/W8</f>
        <v>1865.2756931216943</v>
      </c>
      <c r="W8" s="8">
        <v>945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20156240.050000001</v>
      </c>
      <c r="C9" s="7">
        <v>18169541.359999999</v>
      </c>
      <c r="D9" s="7">
        <v>356304.56</v>
      </c>
      <c r="E9" s="7">
        <f t="shared" ref="E9" si="36">B9-C9-D9</f>
        <v>1630394.1300000013</v>
      </c>
      <c r="F9" s="7">
        <f>ROUND(E9*0.04,2)-0.01</f>
        <v>65215.759999999995</v>
      </c>
      <c r="G9" s="7">
        <f t="shared" ref="G9" si="37">ROUND(E9*0,2)</f>
        <v>0</v>
      </c>
      <c r="H9" s="7">
        <f t="shared" ref="H9" si="38">E9-F9-G9</f>
        <v>1565178.3700000013</v>
      </c>
      <c r="I9" s="7">
        <f t="shared" ref="I9" si="39">ROUND(H9*0,2)</f>
        <v>0</v>
      </c>
      <c r="J9" s="7">
        <f t="shared" ref="J9" si="40">ROUND((I9*0.58)+((I9*0.42)*0.1),2)</f>
        <v>0</v>
      </c>
      <c r="K9" s="7">
        <f t="shared" ref="K9" si="41">ROUND((I9*0.42)*0.9,2)</f>
        <v>0</v>
      </c>
      <c r="L9" s="18">
        <f t="shared" ref="L9" si="42">IF(J9+K9=I9,H9-I9,"ERROR")</f>
        <v>1565178.3700000013</v>
      </c>
      <c r="M9" s="7">
        <f t="shared" ref="M9" si="43">ROUND(L9*0.465,2)</f>
        <v>727807.94</v>
      </c>
      <c r="N9" s="7">
        <f>ROUND(L9*0.3,2)+0.01</f>
        <v>469553.52</v>
      </c>
      <c r="O9" s="7">
        <f>ROUND(L9*0.12,2)</f>
        <v>187821.4</v>
      </c>
      <c r="P9" s="7">
        <f>ROUND(L9*0.07,2)</f>
        <v>109562.49</v>
      </c>
      <c r="Q9" s="7">
        <f t="shared" ref="Q9" si="44">ROUND(L9*0.01,2)</f>
        <v>15651.78</v>
      </c>
      <c r="R9" s="7">
        <f>ROUND(L9*0.0075,2)</f>
        <v>11738.84</v>
      </c>
      <c r="S9" s="7">
        <f>ROUND(L9*0.0075,2)</f>
        <v>11738.84</v>
      </c>
      <c r="T9" s="7">
        <f>ROUND(L9*0.02,2)-0.01</f>
        <v>31303.56</v>
      </c>
      <c r="U9" s="7">
        <f t="shared" ref="U9" si="45">ROUND(M9*0,2)</f>
        <v>0</v>
      </c>
      <c r="V9" s="16">
        <f t="shared" ref="V9" si="46">E9/W9</f>
        <v>1743.7370374331565</v>
      </c>
      <c r="W9" s="8">
        <v>935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20363117.93</v>
      </c>
      <c r="C10" s="7">
        <v>18133991.93</v>
      </c>
      <c r="D10" s="7">
        <v>365747.54000000004</v>
      </c>
      <c r="E10" s="7">
        <f t="shared" ref="E10" si="47">B10-C10-D10</f>
        <v>1863378.46</v>
      </c>
      <c r="F10" s="7">
        <f>ROUND(E10*0.04,2)</f>
        <v>74535.14</v>
      </c>
      <c r="G10" s="7">
        <f t="shared" ref="G10" si="48">ROUND(E10*0,2)</f>
        <v>0</v>
      </c>
      <c r="H10" s="7">
        <f t="shared" ref="H10" si="49">E10-F10-G10</f>
        <v>1788843.32</v>
      </c>
      <c r="I10" s="7">
        <f t="shared" ref="I10" si="50">ROUND(H10*0,2)</f>
        <v>0</v>
      </c>
      <c r="J10" s="7">
        <f t="shared" ref="J10" si="51">ROUND((I10*0.58)+((I10*0.42)*0.1),2)</f>
        <v>0</v>
      </c>
      <c r="K10" s="7">
        <f t="shared" ref="K10" si="52">ROUND((I10*0.42)*0.9,2)</f>
        <v>0</v>
      </c>
      <c r="L10" s="18">
        <f t="shared" ref="L10" si="53">IF(J10+K10=I10,H10-I10,"ERROR")</f>
        <v>1788843.32</v>
      </c>
      <c r="M10" s="7">
        <f t="shared" ref="M10" si="54">ROUND(L10*0.465,2)</f>
        <v>831812.14</v>
      </c>
      <c r="N10" s="7">
        <f>ROUND(L10*0.3,2)+0.02</f>
        <v>536653.02</v>
      </c>
      <c r="O10" s="7">
        <f>ROUND(L10*0.12,2)</f>
        <v>214661.2</v>
      </c>
      <c r="P10" s="7">
        <f>ROUND(L10*0.07,2)</f>
        <v>125219.03</v>
      </c>
      <c r="Q10" s="7">
        <f t="shared" ref="Q10" si="55">ROUND(L10*0.01,2)</f>
        <v>17888.43</v>
      </c>
      <c r="R10" s="7">
        <f>ROUND(L10*0.0075,2)</f>
        <v>13416.32</v>
      </c>
      <c r="S10" s="7">
        <f>ROUND(L10*0.0075,2)</f>
        <v>13416.32</v>
      </c>
      <c r="T10" s="7">
        <f>ROUND(L10*0.02,2)-0.01</f>
        <v>35776.86</v>
      </c>
      <c r="U10" s="7">
        <f t="shared" ref="U10" si="56">ROUND(M10*0,2)</f>
        <v>0</v>
      </c>
      <c r="V10" s="16">
        <f t="shared" ref="V10" si="57">E10/W10</f>
        <v>1997.1902036441586</v>
      </c>
      <c r="W10" s="8">
        <v>933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18853950.52</v>
      </c>
      <c r="C11" s="7">
        <v>16815285.460000001</v>
      </c>
      <c r="D11" s="7">
        <v>330738.96000000002</v>
      </c>
      <c r="E11" s="7">
        <f t="shared" ref="E11" si="58">B11-C11-D11</f>
        <v>1707926.0999999987</v>
      </c>
      <c r="F11" s="7">
        <f>ROUND(E11*0.04,2)+0.01</f>
        <v>68317.049999999988</v>
      </c>
      <c r="G11" s="7">
        <f t="shared" ref="G11" si="59">ROUND(E11*0,2)</f>
        <v>0</v>
      </c>
      <c r="H11" s="7">
        <f t="shared" ref="H11" si="60">E11-F11-G11</f>
        <v>1639609.0499999986</v>
      </c>
      <c r="I11" s="7">
        <f t="shared" ref="I11" si="61">ROUND(H11*0,2)</f>
        <v>0</v>
      </c>
      <c r="J11" s="7">
        <f t="shared" ref="J11" si="62">ROUND((I11*0.58)+((I11*0.42)*0.1),2)</f>
        <v>0</v>
      </c>
      <c r="K11" s="7">
        <f t="shared" ref="K11" si="63">ROUND((I11*0.42)*0.9,2)</f>
        <v>0</v>
      </c>
      <c r="L11" s="18">
        <f t="shared" ref="L11" si="64">IF(J11+K11=I11,H11-I11,"ERROR")</f>
        <v>1639609.0499999986</v>
      </c>
      <c r="M11" s="7">
        <f t="shared" ref="M11" si="65">ROUND(L11*0.465,2)</f>
        <v>762418.21</v>
      </c>
      <c r="N11" s="7">
        <f>ROUND(L11*0.3,2)-0.01</f>
        <v>491882.70999999996</v>
      </c>
      <c r="O11" s="7">
        <f>ROUND(L11*0.12,2)</f>
        <v>196753.09</v>
      </c>
      <c r="P11" s="7">
        <f>ROUND(L11*0.07,2)</f>
        <v>114772.63</v>
      </c>
      <c r="Q11" s="7">
        <f t="shared" ref="Q11" si="66">ROUND(L11*0.01,2)</f>
        <v>16396.09</v>
      </c>
      <c r="R11" s="7">
        <f>ROUND(L11*0.0075,2)</f>
        <v>12297.07</v>
      </c>
      <c r="S11" s="7">
        <f>ROUND(L11*0.0075,2)</f>
        <v>12297.07</v>
      </c>
      <c r="T11" s="7">
        <f>ROUND(L11*0.02,2)</f>
        <v>32792.18</v>
      </c>
      <c r="U11" s="7">
        <f t="shared" ref="U11" si="67">ROUND(M11*0,2)</f>
        <v>0</v>
      </c>
      <c r="V11" s="16">
        <f t="shared" ref="V11" si="68">E11/W11</f>
        <v>1818.8776357827462</v>
      </c>
      <c r="W11" s="8">
        <v>939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19090132.990000002</v>
      </c>
      <c r="C12" s="7">
        <v>17095751.390000001</v>
      </c>
      <c r="D12" s="7">
        <v>341037.41</v>
      </c>
      <c r="E12" s="7">
        <f t="shared" ref="E12" si="69">B12-C12-D12</f>
        <v>1653344.1900000016</v>
      </c>
      <c r="F12" s="7">
        <f>ROUND(E12*0.04,2)</f>
        <v>66133.77</v>
      </c>
      <c r="G12" s="7">
        <f t="shared" ref="G12" si="70">ROUND(E12*0,2)</f>
        <v>0</v>
      </c>
      <c r="H12" s="7">
        <f t="shared" ref="H12" si="71">E12-F12-G12</f>
        <v>1587210.4200000016</v>
      </c>
      <c r="I12" s="7">
        <f t="shared" ref="I12" si="72">ROUND(H12*0,2)</f>
        <v>0</v>
      </c>
      <c r="J12" s="7">
        <f t="shared" ref="J12" si="73">ROUND((I12*0.58)+((I12*0.42)*0.1),2)</f>
        <v>0</v>
      </c>
      <c r="K12" s="7">
        <f t="shared" ref="K12" si="74">ROUND((I12*0.42)*0.9,2)</f>
        <v>0</v>
      </c>
      <c r="L12" s="18">
        <f t="shared" ref="L12" si="75">IF(J12+K12=I12,H12-I12,"ERROR")</f>
        <v>1587210.4200000016</v>
      </c>
      <c r="M12" s="7">
        <f t="shared" ref="M12" si="76">ROUND(L12*0.465,2)</f>
        <v>738052.85</v>
      </c>
      <c r="N12" s="7">
        <f>ROUND(L12*0.3,2)</f>
        <v>476163.13</v>
      </c>
      <c r="O12" s="7">
        <f>ROUND(L12*0.12,2)</f>
        <v>190465.25</v>
      </c>
      <c r="P12" s="7">
        <f>ROUND(L12*0.07,2)</f>
        <v>111104.73</v>
      </c>
      <c r="Q12" s="7">
        <f t="shared" ref="Q12" si="77">ROUND(L12*0.01,2)</f>
        <v>15872.1</v>
      </c>
      <c r="R12" s="7">
        <f>ROUND(L12*0.0075,2)</f>
        <v>11904.08</v>
      </c>
      <c r="S12" s="7">
        <f>ROUND(L12*0.0075,2)</f>
        <v>11904.08</v>
      </c>
      <c r="T12" s="7">
        <f>ROUND(L12*0.02,2)-0.01</f>
        <v>31744.2</v>
      </c>
      <c r="U12" s="7">
        <f t="shared" ref="U12" si="78">ROUND(M12*0,2)</f>
        <v>0</v>
      </c>
      <c r="V12" s="16">
        <f t="shared" ref="V12" si="79">E12/W12</f>
        <v>1731.2504607329859</v>
      </c>
      <c r="W12" s="8">
        <v>955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18256144.02</v>
      </c>
      <c r="C13" s="7">
        <v>16422832.550000001</v>
      </c>
      <c r="D13" s="7">
        <v>322061.88</v>
      </c>
      <c r="E13" s="7">
        <f t="shared" ref="E13" si="80">B13-C13-D13</f>
        <v>1511249.5899999989</v>
      </c>
      <c r="F13" s="7">
        <f>ROUND(E13*0.04,2)+0.01</f>
        <v>60449.990000000005</v>
      </c>
      <c r="G13" s="7">
        <f t="shared" ref="G13" si="81">ROUND(E13*0,2)</f>
        <v>0</v>
      </c>
      <c r="H13" s="7">
        <f t="shared" ref="H13" si="82">E13-F13-G13</f>
        <v>1450799.5999999989</v>
      </c>
      <c r="I13" s="7">
        <f t="shared" ref="I13" si="83">ROUND(H13*0,2)</f>
        <v>0</v>
      </c>
      <c r="J13" s="7">
        <f t="shared" ref="J13" si="84">ROUND((I13*0.58)+((I13*0.42)*0.1),2)</f>
        <v>0</v>
      </c>
      <c r="K13" s="7">
        <f t="shared" ref="K13" si="85">ROUND((I13*0.42)*0.9,2)</f>
        <v>0</v>
      </c>
      <c r="L13" s="18">
        <f t="shared" ref="L13" si="86">IF(J13+K13=I13,H13-I13,"ERROR")</f>
        <v>1450799.5999999989</v>
      </c>
      <c r="M13" s="7">
        <f t="shared" ref="M13" si="87">ROUND(L13*0.465,2)</f>
        <v>674621.81</v>
      </c>
      <c r="N13" s="7">
        <f>ROUND(L13*0.3,2)-0.01</f>
        <v>435239.87</v>
      </c>
      <c r="O13" s="7">
        <f>ROUND(L13*0.12,2)</f>
        <v>174095.95</v>
      </c>
      <c r="P13" s="7">
        <f>ROUND(L13*0.07,2)</f>
        <v>101555.97</v>
      </c>
      <c r="Q13" s="7">
        <f t="shared" ref="Q13" si="88">ROUND(L13*0.01,2)</f>
        <v>14508</v>
      </c>
      <c r="R13" s="7">
        <f>ROUND(L13*0.0075,2)</f>
        <v>10881</v>
      </c>
      <c r="S13" s="7">
        <f>ROUND(L13*0.0075,2)</f>
        <v>10881</v>
      </c>
      <c r="T13" s="7">
        <f>ROUND(L13*0.02,2)+0.01</f>
        <v>29016</v>
      </c>
      <c r="U13" s="7">
        <f t="shared" ref="U13" si="89">ROUND(M13*0,2)</f>
        <v>0</v>
      </c>
      <c r="V13" s="16">
        <f t="shared" ref="V13" si="90">E13/W13</f>
        <v>1599.2059153439143</v>
      </c>
      <c r="W13" s="8">
        <v>945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4.25" customHeight="1" x14ac:dyDescent="0.25">
      <c r="B14" s="9"/>
      <c r="V14" s="10"/>
    </row>
    <row r="15" spans="1:96" ht="15" customHeight="1" thickBot="1" x14ac:dyDescent="0.3">
      <c r="B15" s="11">
        <f t="shared" ref="B15:U15" si="91">SUM(B6:B14)</f>
        <v>155040810.62</v>
      </c>
      <c r="C15" s="11">
        <f t="shared" si="91"/>
        <v>138989485.80000001</v>
      </c>
      <c r="D15" s="11">
        <f t="shared" si="91"/>
        <v>2666421.34</v>
      </c>
      <c r="E15" s="11">
        <f t="shared" si="91"/>
        <v>13384903.480000004</v>
      </c>
      <c r="F15" s="11">
        <f t="shared" si="91"/>
        <v>535396.15</v>
      </c>
      <c r="G15" s="11">
        <f t="shared" si="91"/>
        <v>0</v>
      </c>
      <c r="H15" s="11">
        <f t="shared" si="91"/>
        <v>12849507.330000006</v>
      </c>
      <c r="I15" s="11">
        <f t="shared" si="91"/>
        <v>0</v>
      </c>
      <c r="J15" s="11">
        <f t="shared" si="91"/>
        <v>0</v>
      </c>
      <c r="K15" s="11">
        <f t="shared" si="91"/>
        <v>0</v>
      </c>
      <c r="L15" s="11">
        <f t="shared" si="91"/>
        <v>12849507.330000006</v>
      </c>
      <c r="M15" s="11">
        <f t="shared" si="91"/>
        <v>5975020.9100000001</v>
      </c>
      <c r="N15" s="11">
        <f t="shared" si="91"/>
        <v>3854852.1799999997</v>
      </c>
      <c r="O15" s="11">
        <f t="shared" si="91"/>
        <v>1559911.6900000002</v>
      </c>
      <c r="P15" s="11">
        <f t="shared" si="91"/>
        <v>884666.02</v>
      </c>
      <c r="Q15" s="11">
        <f t="shared" si="91"/>
        <v>128495.07</v>
      </c>
      <c r="R15" s="11">
        <f t="shared" si="91"/>
        <v>94785.66</v>
      </c>
      <c r="S15" s="11">
        <f t="shared" si="91"/>
        <v>94785.66</v>
      </c>
      <c r="T15" s="11">
        <f t="shared" si="91"/>
        <v>256990.14</v>
      </c>
      <c r="U15" s="11">
        <f t="shared" si="91"/>
        <v>0</v>
      </c>
      <c r="V15" s="12">
        <f>AVERAGE(V6:V14)</f>
        <v>1768.8950069802061</v>
      </c>
      <c r="W15" s="13">
        <f>AVERAGE(W6:W14)</f>
        <v>946.375</v>
      </c>
    </row>
    <row r="16" spans="1:96" ht="15" customHeight="1" thickTop="1" x14ac:dyDescent="0.25"/>
    <row r="17" spans="1:1" ht="15" customHeight="1" x14ac:dyDescent="0.25">
      <c r="A17" s="1" t="s">
        <v>32</v>
      </c>
    </row>
    <row r="18" spans="1:1" ht="15" customHeight="1" x14ac:dyDescent="0.25">
      <c r="A18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18"/>
  <sheetViews>
    <sheetView workbookViewId="0">
      <pane ySplit="3" topLeftCell="A4" activePane="bottomLeft" state="frozen"/>
      <selection pane="bottomLeft" activeCell="A15" sqref="A15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12626812.34</v>
      </c>
      <c r="C8" s="7">
        <v>11306736.030000001</v>
      </c>
      <c r="D8" s="7">
        <v>136232.76999999999</v>
      </c>
      <c r="E8" s="7">
        <f t="shared" ref="E8" si="25">B8-C8-D8</f>
        <v>1183843.5399999986</v>
      </c>
      <c r="F8" s="7">
        <f>ROUND(E8*0.04,2)</f>
        <v>47353.74</v>
      </c>
      <c r="G8" s="7">
        <f t="shared" ref="G8" si="26">ROUND(E8*0,2)</f>
        <v>0</v>
      </c>
      <c r="H8" s="7">
        <f t="shared" ref="H8" si="27">E8-F8-G8</f>
        <v>1136489.7999999986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1136489.7999999986</v>
      </c>
      <c r="M8" s="7">
        <f t="shared" ref="M8" si="32">ROUND(L8*0.465,2)</f>
        <v>528467.76</v>
      </c>
      <c r="N8" s="7">
        <f>ROUND(L8*0.3,2)-0.01</f>
        <v>340946.93</v>
      </c>
      <c r="O8" s="7">
        <f>ROUND(L8*0.12,2)</f>
        <v>136378.78</v>
      </c>
      <c r="P8" s="7">
        <f>ROUND(L8*0.07,2)</f>
        <v>79554.289999999994</v>
      </c>
      <c r="Q8" s="7">
        <f>ROUND(L8*0.01,2)</f>
        <v>11364.9</v>
      </c>
      <c r="R8" s="7">
        <f>ROUND(L8*0.0075,2)</f>
        <v>8523.67</v>
      </c>
      <c r="S8" s="7">
        <f>ROUND(L8*0.0075,2)</f>
        <v>8523.67</v>
      </c>
      <c r="T8" s="7">
        <f>ROUND(L8*0.02,2)</f>
        <v>22729.8</v>
      </c>
      <c r="U8" s="7">
        <f>ROUND(M8*0,2)</f>
        <v>0</v>
      </c>
      <c r="V8" s="16">
        <f t="shared" ref="V8" si="33">E8/W8</f>
        <v>1855.5541379310323</v>
      </c>
      <c r="W8" s="8">
        <v>638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13062062.029999999</v>
      </c>
      <c r="C9" s="7">
        <v>11961628.74</v>
      </c>
      <c r="D9" s="7">
        <v>148669.04</v>
      </c>
      <c r="E9" s="7">
        <f t="shared" ref="E9" si="34">B9-C9-D9</f>
        <v>951764.24999999907</v>
      </c>
      <c r="F9" s="7">
        <f>ROUND(E9*0.04,2)-0.01</f>
        <v>38070.559999999998</v>
      </c>
      <c r="G9" s="7">
        <f t="shared" ref="G9" si="35">ROUND(E9*0,2)</f>
        <v>0</v>
      </c>
      <c r="H9" s="7">
        <f t="shared" ref="H9" si="36">E9-F9-G9</f>
        <v>913693.68999999901</v>
      </c>
      <c r="I9" s="7">
        <f t="shared" ref="I9" si="37">ROUND(H9*0,2)</f>
        <v>0</v>
      </c>
      <c r="J9" s="7">
        <f t="shared" ref="J9" si="38">ROUND((I9*0.58)+((I9*0.42)*0.1),2)</f>
        <v>0</v>
      </c>
      <c r="K9" s="7">
        <f t="shared" ref="K9" si="39">ROUND((I9*0.42)*0.9,2)</f>
        <v>0</v>
      </c>
      <c r="L9" s="18">
        <f t="shared" ref="L9" si="40">IF(J9+K9=I9,H9-I9,"ERROR")</f>
        <v>913693.68999999901</v>
      </c>
      <c r="M9" s="7">
        <f t="shared" ref="M9" si="41">ROUND(L9*0.465,2)</f>
        <v>424867.57</v>
      </c>
      <c r="N9" s="7">
        <f>ROUND(L9*0.3,2)-0.01</f>
        <v>274108.09999999998</v>
      </c>
      <c r="O9" s="7">
        <f>ROUND(L9*0.12,2)</f>
        <v>109643.24</v>
      </c>
      <c r="P9" s="7">
        <f>ROUND(L9*0.07,2)</f>
        <v>63958.559999999998</v>
      </c>
      <c r="Q9" s="7">
        <f>ROUND(L9*0.01,2)</f>
        <v>9136.94</v>
      </c>
      <c r="R9" s="7">
        <f>ROUND(L9*0.0075,2)</f>
        <v>6852.7</v>
      </c>
      <c r="S9" s="7">
        <f>ROUND(L9*0.0075,2)</f>
        <v>6852.7</v>
      </c>
      <c r="T9" s="7">
        <f>ROUND(L9*0.02,2)+0.01</f>
        <v>18273.879999999997</v>
      </c>
      <c r="U9" s="7">
        <f>ROUND(M9*0,2)</f>
        <v>0</v>
      </c>
      <c r="V9" s="16">
        <f t="shared" ref="V9" si="42">E9/W9</f>
        <v>1464.2526923076909</v>
      </c>
      <c r="W9" s="8">
        <v>650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11904789.690000001</v>
      </c>
      <c r="C10" s="7">
        <v>10813012.43</v>
      </c>
      <c r="D10" s="7">
        <v>149743.97</v>
      </c>
      <c r="E10" s="7">
        <f t="shared" ref="E10" si="43">B10-C10-D10</f>
        <v>942033.29000000167</v>
      </c>
      <c r="F10" s="7">
        <f>ROUND(E10*0.04,2)+0.01</f>
        <v>37681.340000000004</v>
      </c>
      <c r="G10" s="7">
        <f t="shared" ref="G10" si="44">ROUND(E10*0,2)</f>
        <v>0</v>
      </c>
      <c r="H10" s="7">
        <f t="shared" ref="H10" si="45">E10-F10-G10</f>
        <v>904351.9500000017</v>
      </c>
      <c r="I10" s="7">
        <f t="shared" ref="I10" si="46">ROUND(H10*0,2)</f>
        <v>0</v>
      </c>
      <c r="J10" s="7">
        <f t="shared" ref="J10" si="47">ROUND((I10*0.58)+((I10*0.42)*0.1),2)</f>
        <v>0</v>
      </c>
      <c r="K10" s="7">
        <f t="shared" ref="K10" si="48">ROUND((I10*0.42)*0.9,2)</f>
        <v>0</v>
      </c>
      <c r="L10" s="18">
        <f t="shared" ref="L10" si="49">IF(J10+K10=I10,H10-I10,"ERROR")</f>
        <v>904351.9500000017</v>
      </c>
      <c r="M10" s="7">
        <f t="shared" ref="M10" si="50">ROUND(L10*0.465,2)</f>
        <v>420523.66</v>
      </c>
      <c r="N10" s="7">
        <f>ROUND(L10*0.3,2)-0.01</f>
        <v>271305.58</v>
      </c>
      <c r="O10" s="7">
        <f>ROUND(L10*0.12,2)</f>
        <v>108522.23</v>
      </c>
      <c r="P10" s="7">
        <f>ROUND(L10*0.07,2)</f>
        <v>63304.639999999999</v>
      </c>
      <c r="Q10" s="7">
        <f>ROUND(L10*0.01,2)</f>
        <v>9043.52</v>
      </c>
      <c r="R10" s="7">
        <f>ROUND(L10*0.0075,2)</f>
        <v>6782.64</v>
      </c>
      <c r="S10" s="7">
        <f>ROUND(L10*0.0075,2)</f>
        <v>6782.64</v>
      </c>
      <c r="T10" s="7">
        <f>ROUND(L10*0.02,2)</f>
        <v>18087.04</v>
      </c>
      <c r="U10" s="7">
        <f>ROUND(M10*0,2)</f>
        <v>0</v>
      </c>
      <c r="V10" s="16">
        <f t="shared" ref="V10" si="51">E10/W10</f>
        <v>1504.8455111821113</v>
      </c>
      <c r="W10" s="8">
        <v>626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11658028.539999999</v>
      </c>
      <c r="C11" s="7">
        <v>10443000.84</v>
      </c>
      <c r="D11" s="7">
        <v>150800</v>
      </c>
      <c r="E11" s="7">
        <f t="shared" ref="E11" si="52">B11-C11-D11</f>
        <v>1064227.6999999993</v>
      </c>
      <c r="F11" s="7">
        <f>ROUND(E11*0.04,2)-0.01</f>
        <v>42569.1</v>
      </c>
      <c r="G11" s="7">
        <f t="shared" ref="G11" si="53">ROUND(E11*0,2)</f>
        <v>0</v>
      </c>
      <c r="H11" s="7">
        <f t="shared" ref="H11" si="54">E11-F11-G11</f>
        <v>1021658.5999999993</v>
      </c>
      <c r="I11" s="7">
        <f t="shared" ref="I11" si="55">ROUND(H11*0,2)</f>
        <v>0</v>
      </c>
      <c r="J11" s="7">
        <f t="shared" ref="J11" si="56">ROUND((I11*0.58)+((I11*0.42)*0.1),2)</f>
        <v>0</v>
      </c>
      <c r="K11" s="7">
        <f t="shared" ref="K11" si="57">ROUND((I11*0.42)*0.9,2)</f>
        <v>0</v>
      </c>
      <c r="L11" s="18">
        <f t="shared" ref="L11" si="58">IF(J11+K11=I11,H11-I11,"ERROR")</f>
        <v>1021658.5999999993</v>
      </c>
      <c r="M11" s="7">
        <f t="shared" ref="M11" si="59">ROUND(L11*0.465,2)</f>
        <v>475071.25</v>
      </c>
      <c r="N11" s="7">
        <f>ROUND(L11*0.3,2)-0.01</f>
        <v>306497.57</v>
      </c>
      <c r="O11" s="7">
        <f>ROUND(L11*0.12,2)</f>
        <v>122599.03</v>
      </c>
      <c r="P11" s="7">
        <f>ROUND(L11*0.07,2)</f>
        <v>71516.100000000006</v>
      </c>
      <c r="Q11" s="7">
        <f>ROUND(L11*0.01,2)</f>
        <v>10216.59</v>
      </c>
      <c r="R11" s="7">
        <f>ROUND(L11*0.0075,2)</f>
        <v>7662.44</v>
      </c>
      <c r="S11" s="7">
        <f>ROUND(L11*0.0075,2)</f>
        <v>7662.44</v>
      </c>
      <c r="T11" s="7">
        <f>ROUND(L11*0.02,2)+0.01</f>
        <v>20433.179999999997</v>
      </c>
      <c r="U11" s="7">
        <f>ROUND(M11*0,2)</f>
        <v>0</v>
      </c>
      <c r="V11" s="16">
        <f t="shared" ref="V11" si="60">E11/W11</f>
        <v>1662.8557812499989</v>
      </c>
      <c r="W11" s="8">
        <v>640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11398640.780000001</v>
      </c>
      <c r="C12" s="7">
        <v>10297431.280000001</v>
      </c>
      <c r="D12" s="7">
        <v>146448.63</v>
      </c>
      <c r="E12" s="7">
        <f t="shared" ref="E12" si="61">B12-C12-D12</f>
        <v>954760.87</v>
      </c>
      <c r="F12" s="7">
        <f>ROUND(E12*0.04,2)+0.01</f>
        <v>38190.44</v>
      </c>
      <c r="G12" s="7">
        <f t="shared" ref="G12" si="62">ROUND(E12*0,2)</f>
        <v>0</v>
      </c>
      <c r="H12" s="7">
        <f t="shared" ref="H12" si="63">E12-F12-G12</f>
        <v>916570.42999999993</v>
      </c>
      <c r="I12" s="7">
        <f t="shared" ref="I12" si="64">ROUND(H12*0,2)</f>
        <v>0</v>
      </c>
      <c r="J12" s="7">
        <f t="shared" ref="J12" si="65">ROUND((I12*0.58)+((I12*0.42)*0.1),2)</f>
        <v>0</v>
      </c>
      <c r="K12" s="7">
        <f t="shared" ref="K12" si="66">ROUND((I12*0.42)*0.9,2)</f>
        <v>0</v>
      </c>
      <c r="L12" s="18">
        <f t="shared" ref="L12" si="67">IF(J12+K12=I12,H12-I12,"ERROR")</f>
        <v>916570.42999999993</v>
      </c>
      <c r="M12" s="7">
        <f t="shared" ref="M12" si="68">ROUND(L12*0.465,2)</f>
        <v>426205.25</v>
      </c>
      <c r="N12" s="7">
        <f>ROUND(L12*0.3,2)+0.01</f>
        <v>274971.14</v>
      </c>
      <c r="O12" s="7">
        <f>ROUND(L12*0.12,2)</f>
        <v>109988.45</v>
      </c>
      <c r="P12" s="7">
        <f>ROUND(L12*0.07,2)</f>
        <v>64159.93</v>
      </c>
      <c r="Q12" s="7">
        <f>ROUND(L12*0.01,2)</f>
        <v>9165.7000000000007</v>
      </c>
      <c r="R12" s="7">
        <f>ROUND(L12*0.0075,2)</f>
        <v>6874.28</v>
      </c>
      <c r="S12" s="7">
        <f>ROUND(L12*0.0075,2)</f>
        <v>6874.28</v>
      </c>
      <c r="T12" s="7">
        <f>ROUND(L12*0.02,2)-0.01</f>
        <v>18331.400000000001</v>
      </c>
      <c r="U12" s="7">
        <f>ROUND(M12*0,2)</f>
        <v>0</v>
      </c>
      <c r="V12" s="16">
        <f t="shared" ref="V12" si="69">E12/W12</f>
        <v>1491.813859375</v>
      </c>
      <c r="W12" s="8">
        <v>640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11056777.77</v>
      </c>
      <c r="C13" s="7">
        <v>9974586.3200000003</v>
      </c>
      <c r="D13" s="7">
        <v>147701.68</v>
      </c>
      <c r="E13" s="7">
        <f t="shared" ref="E13" si="70">B13-C13-D13</f>
        <v>934489.76999999932</v>
      </c>
      <c r="F13" s="7">
        <f>ROUND(E13*0.04,2)-0.01</f>
        <v>37379.579999999994</v>
      </c>
      <c r="G13" s="7">
        <f t="shared" ref="G13" si="71">ROUND(E13*0,2)</f>
        <v>0</v>
      </c>
      <c r="H13" s="7">
        <f t="shared" ref="H13" si="72">E13-F13-G13</f>
        <v>897110.18999999936</v>
      </c>
      <c r="I13" s="7">
        <f t="shared" ref="I13" si="73">ROUND(H13*0,2)</f>
        <v>0</v>
      </c>
      <c r="J13" s="7">
        <f t="shared" ref="J13" si="74">ROUND((I13*0.58)+((I13*0.42)*0.1),2)</f>
        <v>0</v>
      </c>
      <c r="K13" s="7">
        <f t="shared" ref="K13" si="75">ROUND((I13*0.42)*0.9,2)</f>
        <v>0</v>
      </c>
      <c r="L13" s="18">
        <f t="shared" ref="L13" si="76">IF(J13+K13=I13,H13-I13,"ERROR")</f>
        <v>897110.18999999936</v>
      </c>
      <c r="M13" s="7">
        <f t="shared" ref="M13" si="77">ROUND(L13*0.465,2)</f>
        <v>417156.24</v>
      </c>
      <c r="N13" s="7">
        <f>ROUND(L13*0.3,2)</f>
        <v>269133.06</v>
      </c>
      <c r="O13" s="7">
        <f>ROUND(L13*0.12,2)</f>
        <v>107653.22</v>
      </c>
      <c r="P13" s="7">
        <f>ROUND(L13*0.07,2)</f>
        <v>62797.71</v>
      </c>
      <c r="Q13" s="7">
        <f>ROUND(L13*0.01,2)</f>
        <v>8971.1</v>
      </c>
      <c r="R13" s="7">
        <f>ROUND(L13*0.0075,2)</f>
        <v>6728.33</v>
      </c>
      <c r="S13" s="7">
        <f>ROUND(L13*0.0075,2)</f>
        <v>6728.33</v>
      </c>
      <c r="T13" s="7">
        <f>ROUND(L13*0.02,2)</f>
        <v>17942.2</v>
      </c>
      <c r="U13" s="7">
        <f>ROUND(M13*0,2)</f>
        <v>0</v>
      </c>
      <c r="V13" s="16">
        <f t="shared" ref="V13" si="78">E13/W13</f>
        <v>1467.016907378335</v>
      </c>
      <c r="W13" s="8">
        <v>637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B14" s="9"/>
      <c r="V14" s="10"/>
    </row>
    <row r="15" spans="1:96" ht="15" customHeight="1" thickBot="1" x14ac:dyDescent="0.3">
      <c r="B15" s="11">
        <f t="shared" ref="B15:U15" si="79">SUM(B6:B14)</f>
        <v>93140600.61999999</v>
      </c>
      <c r="C15" s="11">
        <f t="shared" si="79"/>
        <v>84024407.219999999</v>
      </c>
      <c r="D15" s="11">
        <f t="shared" si="79"/>
        <v>1104063.3400000001</v>
      </c>
      <c r="E15" s="11">
        <f t="shared" si="79"/>
        <v>8012130.0599999968</v>
      </c>
      <c r="F15" s="11">
        <f t="shared" si="79"/>
        <v>320485.18</v>
      </c>
      <c r="G15" s="11">
        <f t="shared" si="79"/>
        <v>0</v>
      </c>
      <c r="H15" s="11">
        <f t="shared" si="79"/>
        <v>7691644.8799999971</v>
      </c>
      <c r="I15" s="11">
        <f t="shared" si="79"/>
        <v>0</v>
      </c>
      <c r="J15" s="11">
        <f t="shared" si="79"/>
        <v>0</v>
      </c>
      <c r="K15" s="11">
        <f t="shared" si="79"/>
        <v>0</v>
      </c>
      <c r="L15" s="11">
        <f t="shared" si="79"/>
        <v>7691644.8799999971</v>
      </c>
      <c r="M15" s="11">
        <f t="shared" si="79"/>
        <v>3576614.88</v>
      </c>
      <c r="N15" s="11">
        <f t="shared" si="79"/>
        <v>2307493.4500000002</v>
      </c>
      <c r="O15" s="11">
        <f t="shared" si="79"/>
        <v>933898.92999999993</v>
      </c>
      <c r="P15" s="11">
        <f t="shared" si="79"/>
        <v>529437.39</v>
      </c>
      <c r="Q15" s="11">
        <f t="shared" si="79"/>
        <v>76916.45</v>
      </c>
      <c r="R15" s="11">
        <f t="shared" si="79"/>
        <v>56725.440000000002</v>
      </c>
      <c r="S15" s="11">
        <f t="shared" si="79"/>
        <v>56725.440000000002</v>
      </c>
      <c r="T15" s="11">
        <f t="shared" si="79"/>
        <v>153832.9</v>
      </c>
      <c r="U15" s="11">
        <f t="shared" si="79"/>
        <v>0</v>
      </c>
      <c r="V15" s="12">
        <f>AVERAGE(V6:V14)</f>
        <v>1560.9186899118943</v>
      </c>
      <c r="W15" s="13">
        <f>AVERAGE(W6:W14)</f>
        <v>641.75</v>
      </c>
    </row>
    <row r="16" spans="1:96" ht="15" customHeight="1" thickTop="1" x14ac:dyDescent="0.25"/>
    <row r="17" spans="1:1" ht="15" customHeight="1" x14ac:dyDescent="0.25">
      <c r="A17" s="1" t="s">
        <v>32</v>
      </c>
    </row>
    <row r="18" spans="1:1" ht="15" customHeight="1" x14ac:dyDescent="0.25">
      <c r="A18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18"/>
  <sheetViews>
    <sheetView zoomScaleNormal="100" workbookViewId="0">
      <pane ySplit="3" topLeftCell="A4" activePane="bottomLeft" state="frozen"/>
      <selection pane="bottomLeft" activeCell="A15" sqref="A15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64907195.359999999</v>
      </c>
      <c r="C8" s="7">
        <v>58573804.219999999</v>
      </c>
      <c r="D8" s="7">
        <v>1144332.9500000002</v>
      </c>
      <c r="E8" s="7">
        <f t="shared" ref="E8" si="26">B8-C8-D8</f>
        <v>5189058.1900000004</v>
      </c>
      <c r="F8" s="7">
        <f>ROUND(E8*0.04,2)+0.01</f>
        <v>207562.34</v>
      </c>
      <c r="G8" s="7">
        <f t="shared" ref="G8" si="27">ROUND(E8*0,2)</f>
        <v>0</v>
      </c>
      <c r="H8" s="7">
        <f t="shared" ref="H8" si="28">E8-F8-G8</f>
        <v>4981495.8500000006</v>
      </c>
      <c r="I8" s="7">
        <f t="shared" ref="I8" si="29">ROUND(H8*0,2)</f>
        <v>0</v>
      </c>
      <c r="J8" s="7">
        <f t="shared" ref="J8" si="30">ROUND((I8*0.58)+((I8*0.42)*0.1),2)</f>
        <v>0</v>
      </c>
      <c r="K8" s="7">
        <f t="shared" ref="K8" si="31">ROUND((I8*0.42)*0.9,2)</f>
        <v>0</v>
      </c>
      <c r="L8" s="18">
        <f t="shared" ref="L8" si="32">IF(J8+K8=I8,H8-I8,"ERROR")</f>
        <v>4981495.8500000006</v>
      </c>
      <c r="M8" s="7">
        <f t="shared" ref="M8" si="33">ROUND(L8*0.465,2)</f>
        <v>2316395.5699999998</v>
      </c>
      <c r="N8" s="7">
        <f>ROUND(L8*0.3,2)-0.01</f>
        <v>1494448.75</v>
      </c>
      <c r="O8" s="7">
        <f>ROUND(L8*0.12,2)</f>
        <v>597779.5</v>
      </c>
      <c r="P8" s="7">
        <f>ROUND(L8*0.07,2)</f>
        <v>348704.71</v>
      </c>
      <c r="Q8" s="7">
        <f t="shared" ref="Q8" si="34">ROUND(L8*0.01,2)</f>
        <v>49814.96</v>
      </c>
      <c r="R8" s="7">
        <f>ROUND(L8*0.0075,2)</f>
        <v>37361.22</v>
      </c>
      <c r="S8" s="7">
        <f>ROUND(L8*0.0075,2)</f>
        <v>37361.22</v>
      </c>
      <c r="T8" s="7">
        <f>ROUND(L8*0.02,2)</f>
        <v>99629.92</v>
      </c>
      <c r="U8" s="7">
        <f t="shared" ref="U8" si="35">ROUND(M8*0,2)</f>
        <v>0</v>
      </c>
      <c r="V8" s="16">
        <f t="shared" ref="V8" si="36">E8/W8</f>
        <v>2961.7912043378997</v>
      </c>
      <c r="W8" s="8">
        <v>1752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70007732.459999993</v>
      </c>
      <c r="C9" s="7">
        <v>63541901.609999999</v>
      </c>
      <c r="D9" s="7">
        <v>1255174.81</v>
      </c>
      <c r="E9" s="7">
        <f t="shared" ref="E9" si="37">B9-C9-D9</f>
        <v>5210656.0399999935</v>
      </c>
      <c r="F9" s="7">
        <f>ROUND(E9*0.04,2)+0.01</f>
        <v>208426.25</v>
      </c>
      <c r="G9" s="7">
        <f t="shared" ref="G9" si="38">ROUND(E9*0,2)</f>
        <v>0</v>
      </c>
      <c r="H9" s="7">
        <f t="shared" ref="H9" si="39">E9-F9-G9</f>
        <v>5002229.7899999935</v>
      </c>
      <c r="I9" s="7">
        <f t="shared" ref="I9" si="40">ROUND(H9*0,2)</f>
        <v>0</v>
      </c>
      <c r="J9" s="7">
        <f t="shared" ref="J9" si="41">ROUND((I9*0.58)+((I9*0.42)*0.1),2)</f>
        <v>0</v>
      </c>
      <c r="K9" s="7">
        <f t="shared" ref="K9" si="42">ROUND((I9*0.42)*0.9,2)</f>
        <v>0</v>
      </c>
      <c r="L9" s="18">
        <f t="shared" ref="L9" si="43">IF(J9+K9=I9,H9-I9,"ERROR")</f>
        <v>5002229.7899999935</v>
      </c>
      <c r="M9" s="7">
        <f t="shared" ref="M9" si="44">ROUND(L9*0.465,2)</f>
        <v>2326036.85</v>
      </c>
      <c r="N9" s="7">
        <f>ROUND(L9*0.3,2)</f>
        <v>1500668.94</v>
      </c>
      <c r="O9" s="7">
        <f>ROUND(L9*0.12,2)</f>
        <v>600267.56999999995</v>
      </c>
      <c r="P9" s="7">
        <f>ROUND(L9*0.07,2)</f>
        <v>350156.09</v>
      </c>
      <c r="Q9" s="7">
        <f t="shared" ref="Q9" si="45">ROUND(L9*0.01,2)</f>
        <v>50022.3</v>
      </c>
      <c r="R9" s="7">
        <f>ROUND(L9*0.0075,2)</f>
        <v>37516.720000000001</v>
      </c>
      <c r="S9" s="7">
        <f>ROUND(L9*0.0075,2)</f>
        <v>37516.720000000001</v>
      </c>
      <c r="T9" s="7">
        <f>ROUND(L9*0.02,2)</f>
        <v>100044.6</v>
      </c>
      <c r="U9" s="7">
        <f t="shared" ref="U9" si="46">ROUND(M9*0,2)</f>
        <v>0</v>
      </c>
      <c r="V9" s="16">
        <f t="shared" ref="V9" si="47">E9/W9</f>
        <v>3052.5225776215543</v>
      </c>
      <c r="W9" s="8">
        <v>1707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69171343.439999998</v>
      </c>
      <c r="C10" s="7">
        <v>62697695.810000002</v>
      </c>
      <c r="D10" s="7">
        <v>1131922.56</v>
      </c>
      <c r="E10" s="7">
        <f t="shared" ref="E10" si="48">B10-C10-D10</f>
        <v>5341725.0699999947</v>
      </c>
      <c r="F10" s="7">
        <f>ROUND(E10*0.04,2)+0.01</f>
        <v>213669.01</v>
      </c>
      <c r="G10" s="7">
        <f t="shared" ref="G10" si="49">ROUND(E10*0,2)</f>
        <v>0</v>
      </c>
      <c r="H10" s="7">
        <f t="shared" ref="H10" si="50">E10-F10-G10</f>
        <v>5128056.0599999949</v>
      </c>
      <c r="I10" s="7">
        <f t="shared" ref="I10" si="51">ROUND(H10*0,2)</f>
        <v>0</v>
      </c>
      <c r="J10" s="7">
        <f t="shared" ref="J10" si="52">ROUND((I10*0.58)+((I10*0.42)*0.1),2)</f>
        <v>0</v>
      </c>
      <c r="K10" s="7">
        <f t="shared" ref="K10" si="53">ROUND((I10*0.42)*0.9,2)</f>
        <v>0</v>
      </c>
      <c r="L10" s="18">
        <f t="shared" ref="L10" si="54">IF(J10+K10=I10,H10-I10,"ERROR")</f>
        <v>5128056.0599999949</v>
      </c>
      <c r="M10" s="7">
        <f t="shared" ref="M10" si="55">ROUND(L10*0.465,2)</f>
        <v>2384546.0699999998</v>
      </c>
      <c r="N10" s="7">
        <f>ROUND(L10*0.3,2)</f>
        <v>1538416.82</v>
      </c>
      <c r="O10" s="7">
        <f>ROUND(L10*0.12,2)</f>
        <v>615366.73</v>
      </c>
      <c r="P10" s="7">
        <f>ROUND(L10*0.07,2)</f>
        <v>358963.92</v>
      </c>
      <c r="Q10" s="7">
        <f t="shared" ref="Q10" si="56">ROUND(L10*0.01,2)</f>
        <v>51280.56</v>
      </c>
      <c r="R10" s="7">
        <f>ROUND(L10*0.0075,2)</f>
        <v>38460.42</v>
      </c>
      <c r="S10" s="7">
        <f>ROUND(L10*0.0075,2)</f>
        <v>38460.42</v>
      </c>
      <c r="T10" s="7">
        <f>ROUND(L10*0.02,2)</f>
        <v>102561.12</v>
      </c>
      <c r="U10" s="7">
        <f t="shared" ref="U10" si="57">ROUND(M10*0,2)</f>
        <v>0</v>
      </c>
      <c r="V10" s="16">
        <f t="shared" ref="V10" si="58">E10/W10</f>
        <v>3077.0305702764945</v>
      </c>
      <c r="W10" s="8">
        <v>1736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68404335.390000001</v>
      </c>
      <c r="C11" s="7">
        <v>61921983.170000002</v>
      </c>
      <c r="D11" s="7">
        <v>1193666.98</v>
      </c>
      <c r="E11" s="7">
        <f t="shared" ref="E11" si="59">B11-C11-D11</f>
        <v>5288685.2399999984</v>
      </c>
      <c r="F11" s="7">
        <f>ROUND(E11*0.04,2)</f>
        <v>211547.41</v>
      </c>
      <c r="G11" s="7">
        <f t="shared" ref="G11" si="60">ROUND(E11*0,2)</f>
        <v>0</v>
      </c>
      <c r="H11" s="7">
        <f t="shared" ref="H11" si="61">E11-F11-G11</f>
        <v>5077137.8299999982</v>
      </c>
      <c r="I11" s="7">
        <f t="shared" ref="I11" si="62">ROUND(H11*0,2)</f>
        <v>0</v>
      </c>
      <c r="J11" s="7">
        <f t="shared" ref="J11" si="63">ROUND((I11*0.58)+((I11*0.42)*0.1),2)</f>
        <v>0</v>
      </c>
      <c r="K11" s="7">
        <f t="shared" ref="K11" si="64">ROUND((I11*0.42)*0.9,2)</f>
        <v>0</v>
      </c>
      <c r="L11" s="18">
        <f t="shared" ref="L11" si="65">IF(J11+K11=I11,H11-I11,"ERROR")</f>
        <v>5077137.8299999982</v>
      </c>
      <c r="M11" s="7">
        <f t="shared" ref="M11" si="66">ROUND(L11*0.465,2)</f>
        <v>2360869.09</v>
      </c>
      <c r="N11" s="7">
        <f>ROUND(L11*0.3,2)</f>
        <v>1523141.35</v>
      </c>
      <c r="O11" s="7">
        <f>ROUND(L11*0.12,2)</f>
        <v>609256.54</v>
      </c>
      <c r="P11" s="7">
        <f>ROUND(L11*0.07,2)</f>
        <v>355399.65</v>
      </c>
      <c r="Q11" s="7">
        <f t="shared" ref="Q11" si="67">ROUND(L11*0.01,2)</f>
        <v>50771.38</v>
      </c>
      <c r="R11" s="7">
        <f>ROUND(L11*0.0075,2)</f>
        <v>38078.53</v>
      </c>
      <c r="S11" s="7">
        <f>ROUND(L11*0.0075,2)</f>
        <v>38078.53</v>
      </c>
      <c r="T11" s="7">
        <f>ROUND(L11*0.02,2)</f>
        <v>101542.76</v>
      </c>
      <c r="U11" s="7">
        <f t="shared" ref="U11" si="68">ROUND(M11*0,2)</f>
        <v>0</v>
      </c>
      <c r="V11" s="16">
        <f t="shared" ref="V11" si="69">E11/W11</f>
        <v>3074.8169999999991</v>
      </c>
      <c r="W11" s="8">
        <v>1720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63429239.689999998</v>
      </c>
      <c r="C12" s="7">
        <v>57435654.799999997</v>
      </c>
      <c r="D12" s="7">
        <v>1040547.7</v>
      </c>
      <c r="E12" s="7">
        <f t="shared" ref="E12" si="70">B12-C12-D12</f>
        <v>4953037.1900000004</v>
      </c>
      <c r="F12" s="7">
        <f>ROUND(E12*0.04,2)-0.01</f>
        <v>198121.47999999998</v>
      </c>
      <c r="G12" s="7">
        <f t="shared" ref="G12" si="71">ROUND(E12*0,2)</f>
        <v>0</v>
      </c>
      <c r="H12" s="7">
        <f t="shared" ref="H12" si="72">E12-F12-G12</f>
        <v>4754915.7100000009</v>
      </c>
      <c r="I12" s="7">
        <f t="shared" ref="I12" si="73">ROUND(H12*0,2)</f>
        <v>0</v>
      </c>
      <c r="J12" s="7">
        <f t="shared" ref="J12" si="74">ROUND((I12*0.58)+((I12*0.42)*0.1),2)</f>
        <v>0</v>
      </c>
      <c r="K12" s="7">
        <f t="shared" ref="K12" si="75">ROUND((I12*0.42)*0.9,2)</f>
        <v>0</v>
      </c>
      <c r="L12" s="18">
        <f t="shared" ref="L12" si="76">IF(J12+K12=I12,H12-I12,"ERROR")</f>
        <v>4754915.7100000009</v>
      </c>
      <c r="M12" s="7">
        <f t="shared" ref="M12" si="77">ROUND(L12*0.465,2)</f>
        <v>2211035.81</v>
      </c>
      <c r="N12" s="7">
        <f>ROUND(L12*0.3,2)-0.02</f>
        <v>1426474.69</v>
      </c>
      <c r="O12" s="7">
        <f>ROUND(L12*0.12,2)</f>
        <v>570589.89</v>
      </c>
      <c r="P12" s="7">
        <f>ROUND(L12*0.07,2)</f>
        <v>332844.09999999998</v>
      </c>
      <c r="Q12" s="7">
        <f t="shared" ref="Q12" si="78">ROUND(L12*0.01,2)</f>
        <v>47549.16</v>
      </c>
      <c r="R12" s="7">
        <f>ROUND(L12*0.0075,2)</f>
        <v>35661.870000000003</v>
      </c>
      <c r="S12" s="7">
        <f>ROUND(L12*0.0075,2)</f>
        <v>35661.870000000003</v>
      </c>
      <c r="T12" s="7">
        <f>ROUND(L12*0.02,2)+0.01</f>
        <v>95098.319999999992</v>
      </c>
      <c r="U12" s="7">
        <f t="shared" ref="U12" si="79">ROUND(M12*0,2)</f>
        <v>0</v>
      </c>
      <c r="V12" s="16">
        <f t="shared" ref="V12" si="80">E12/W12</f>
        <v>2858.0710848240046</v>
      </c>
      <c r="W12" s="8">
        <v>1733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67929866.879999995</v>
      </c>
      <c r="C13" s="7">
        <v>61594609.230000004</v>
      </c>
      <c r="D13" s="7">
        <v>1266758.03</v>
      </c>
      <c r="E13" s="7">
        <f t="shared" ref="E13" si="81">B13-C13-D13</f>
        <v>5068499.6199999908</v>
      </c>
      <c r="F13" s="7">
        <f>ROUND(E13*0.04,2)+0.02</f>
        <v>202740</v>
      </c>
      <c r="G13" s="7">
        <f t="shared" ref="G13" si="82">ROUND(E13*0,2)</f>
        <v>0</v>
      </c>
      <c r="H13" s="7">
        <f t="shared" ref="H13" si="83">E13-F13-G13</f>
        <v>4865759.6199999908</v>
      </c>
      <c r="I13" s="7">
        <f t="shared" ref="I13" si="84">ROUND(H13*0,2)</f>
        <v>0</v>
      </c>
      <c r="J13" s="7">
        <f t="shared" ref="J13" si="85">ROUND((I13*0.58)+((I13*0.42)*0.1),2)</f>
        <v>0</v>
      </c>
      <c r="K13" s="7">
        <f t="shared" ref="K13" si="86">ROUND((I13*0.42)*0.9,2)</f>
        <v>0</v>
      </c>
      <c r="L13" s="18">
        <f t="shared" ref="L13" si="87">IF(J13+K13=I13,H13-I13,"ERROR")</f>
        <v>4865759.6199999908</v>
      </c>
      <c r="M13" s="7">
        <f t="shared" ref="M13" si="88">ROUND(L13*0.465,2)</f>
        <v>2262578.2200000002</v>
      </c>
      <c r="N13" s="7">
        <f>ROUND(L13*0.3,2)-0.01</f>
        <v>1459727.88</v>
      </c>
      <c r="O13" s="7">
        <f>ROUND(L13*0.12,2)</f>
        <v>583891.15</v>
      </c>
      <c r="P13" s="7">
        <f>ROUND(L13*0.07,2)</f>
        <v>340603.17</v>
      </c>
      <c r="Q13" s="7">
        <f t="shared" ref="Q13" si="89">ROUND(L13*0.01,2)</f>
        <v>48657.599999999999</v>
      </c>
      <c r="R13" s="7">
        <f>ROUND(L13*0.0075,2)</f>
        <v>36493.199999999997</v>
      </c>
      <c r="S13" s="7">
        <f>ROUND(L13*0.0075,2)</f>
        <v>36493.199999999997</v>
      </c>
      <c r="T13" s="7">
        <f>ROUND(L13*0.02,2)+0.01</f>
        <v>97315.199999999997</v>
      </c>
      <c r="U13" s="7">
        <f t="shared" ref="U13" si="90">ROUND(M13*0,2)</f>
        <v>0</v>
      </c>
      <c r="V13" s="16">
        <f t="shared" ref="V13" si="91">E13/W13</f>
        <v>2965.76923346986</v>
      </c>
      <c r="W13" s="8">
        <v>1709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B14" s="9"/>
      <c r="V14" s="10"/>
    </row>
    <row r="15" spans="1:96" ht="15" customHeight="1" thickBot="1" x14ac:dyDescent="0.3">
      <c r="B15" s="11">
        <f t="shared" ref="B15:U15" si="92">SUM(B6:B14)</f>
        <v>522508696.93999994</v>
      </c>
      <c r="C15" s="11">
        <f t="shared" si="92"/>
        <v>473012515.40000004</v>
      </c>
      <c r="D15" s="11">
        <f t="shared" si="92"/>
        <v>9265386.8900000025</v>
      </c>
      <c r="E15" s="11">
        <f t="shared" si="92"/>
        <v>40230794.649999969</v>
      </c>
      <c r="F15" s="11">
        <f t="shared" si="92"/>
        <v>1609231.83</v>
      </c>
      <c r="G15" s="11">
        <f t="shared" si="92"/>
        <v>0</v>
      </c>
      <c r="H15" s="11">
        <f t="shared" si="92"/>
        <v>38621562.819999963</v>
      </c>
      <c r="I15" s="11">
        <f t="shared" si="92"/>
        <v>0</v>
      </c>
      <c r="J15" s="11">
        <f t="shared" si="92"/>
        <v>0</v>
      </c>
      <c r="K15" s="11">
        <f t="shared" si="92"/>
        <v>0</v>
      </c>
      <c r="L15" s="11">
        <f t="shared" si="92"/>
        <v>38621562.819999963</v>
      </c>
      <c r="M15" s="11">
        <f t="shared" si="92"/>
        <v>17959026.710000001</v>
      </c>
      <c r="N15" s="11">
        <f t="shared" si="92"/>
        <v>11586468.829999998</v>
      </c>
      <c r="O15" s="11">
        <f t="shared" si="92"/>
        <v>4685423.51</v>
      </c>
      <c r="P15" s="11">
        <f t="shared" si="92"/>
        <v>2661644.4700000002</v>
      </c>
      <c r="Q15" s="11">
        <f t="shared" si="92"/>
        <v>386215.64</v>
      </c>
      <c r="R15" s="11">
        <f t="shared" si="92"/>
        <v>285176.19</v>
      </c>
      <c r="S15" s="11">
        <f t="shared" si="92"/>
        <v>285176.19</v>
      </c>
      <c r="T15" s="11">
        <f t="shared" si="92"/>
        <v>772431.27999999991</v>
      </c>
      <c r="U15" s="11">
        <f t="shared" si="92"/>
        <v>0</v>
      </c>
      <c r="V15" s="12">
        <f>AVERAGE(V6:V14)</f>
        <v>2903.4879747959321</v>
      </c>
      <c r="W15" s="13">
        <f>AVERAGE(W6:W14)</f>
        <v>1732.875</v>
      </c>
    </row>
    <row r="16" spans="1:96" ht="15" customHeight="1" thickTop="1" x14ac:dyDescent="0.25"/>
    <row r="17" spans="1:1" ht="15" customHeight="1" x14ac:dyDescent="0.25">
      <c r="A17" s="1" t="s">
        <v>32</v>
      </c>
    </row>
    <row r="18" spans="1:1" ht="15" customHeight="1" x14ac:dyDescent="0.25">
      <c r="A18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2025-08-27T12:50:09Z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