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3FY\"/>
    </mc:Choice>
  </mc:AlternateContent>
  <bookViews>
    <workbookView xWindow="-30" yWindow="75" windowWidth="13755" windowHeight="13155"/>
  </bookViews>
  <sheets>
    <sheet name="Weekly Summary" sheetId="3" r:id="rId1"/>
    <sheet name="Table Games" sheetId="2" r:id="rId2"/>
    <sheet name="Video" sheetId="1" r:id="rId3"/>
  </sheets>
  <definedNames>
    <definedName name="_xlnm.Print_Area" localSheetId="1">'Table Games'!$A$1:$M$64</definedName>
    <definedName name="_xlnm.Print_Area" localSheetId="2">Video!$A$1:$K$64</definedName>
    <definedName name="_xlnm.Print_Area" localSheetId="0">'Weekly Summary'!$A$1:$O$66</definedName>
  </definedNames>
  <calcPr calcId="162913"/>
</workbook>
</file>

<file path=xl/calcChain.xml><?xml version="1.0" encoding="utf-8"?>
<calcChain xmlns="http://schemas.openxmlformats.org/spreadsheetml/2006/main">
  <c r="G58" i="1" l="1"/>
  <c r="I61" i="3" l="1"/>
  <c r="H61" i="3"/>
  <c r="G61" i="3"/>
  <c r="F61" i="3"/>
  <c r="E61" i="3"/>
  <c r="D61" i="3"/>
  <c r="C61" i="3"/>
  <c r="B61" i="3"/>
  <c r="E58" i="1"/>
  <c r="F58" i="1" s="1"/>
  <c r="J60" i="2"/>
  <c r="J61" i="3" s="1"/>
  <c r="M60" i="2" l="1"/>
  <c r="O61" i="3" s="1"/>
  <c r="I58" i="1"/>
  <c r="K61" i="3"/>
  <c r="H58" i="1"/>
  <c r="N61" i="3" s="1"/>
  <c r="J58" i="1"/>
  <c r="K60" i="2"/>
  <c r="L61" i="3" s="1"/>
  <c r="L60" i="2"/>
  <c r="M61" i="3" s="1"/>
  <c r="M59" i="2"/>
  <c r="J59" i="2"/>
  <c r="I60" i="3" l="1"/>
  <c r="H60" i="3"/>
  <c r="G60" i="3"/>
  <c r="F60" i="3"/>
  <c r="E60" i="3"/>
  <c r="D60" i="3"/>
  <c r="C60" i="3"/>
  <c r="B60" i="3"/>
  <c r="L59" i="2"/>
  <c r="E57" i="1"/>
  <c r="J57" i="1" s="1"/>
  <c r="J60" i="3" l="1"/>
  <c r="K60" i="3"/>
  <c r="F57" i="1"/>
  <c r="G57" i="1"/>
  <c r="M60" i="3" s="1"/>
  <c r="H57" i="1"/>
  <c r="N60" i="3" s="1"/>
  <c r="I57" i="1"/>
  <c r="K59" i="2"/>
  <c r="O60" i="3" l="1"/>
  <c r="L60" i="3"/>
  <c r="K60" i="1"/>
  <c r="B60" i="1"/>
  <c r="I59" i="3" l="1"/>
  <c r="H59" i="3"/>
  <c r="G59" i="3"/>
  <c r="F59" i="3"/>
  <c r="E59" i="3"/>
  <c r="D59" i="3"/>
  <c r="C59" i="3"/>
  <c r="B59" i="3"/>
  <c r="J58" i="2"/>
  <c r="K58" i="2" s="1"/>
  <c r="E56" i="1"/>
  <c r="J56" i="1" l="1"/>
  <c r="F56" i="1"/>
  <c r="G56" i="1"/>
  <c r="I56" i="1"/>
  <c r="H56" i="1"/>
  <c r="J59" i="3"/>
  <c r="N59" i="3"/>
  <c r="K59" i="3"/>
  <c r="L58" i="2"/>
  <c r="M58" i="2"/>
  <c r="D60" i="1"/>
  <c r="C60" i="1"/>
  <c r="H55" i="1"/>
  <c r="G55" i="1"/>
  <c r="I58" i="3"/>
  <c r="H58" i="3"/>
  <c r="G58" i="3"/>
  <c r="F58" i="3"/>
  <c r="E58" i="3"/>
  <c r="D58" i="3"/>
  <c r="C58" i="3"/>
  <c r="B58" i="3"/>
  <c r="E55" i="1"/>
  <c r="J55" i="1" s="1"/>
  <c r="J57" i="2"/>
  <c r="L57" i="2" s="1"/>
  <c r="O59" i="3" l="1"/>
  <c r="M59" i="3"/>
  <c r="L59" i="3"/>
  <c r="J58" i="3"/>
  <c r="K58" i="3"/>
  <c r="N58" i="3"/>
  <c r="I55" i="1"/>
  <c r="F55" i="1"/>
  <c r="M58" i="3"/>
  <c r="M57" i="2"/>
  <c r="K57" i="2"/>
  <c r="J56" i="2"/>
  <c r="L58" i="3" l="1"/>
  <c r="O58" i="3"/>
  <c r="K57" i="3"/>
  <c r="J57" i="3"/>
  <c r="I57" i="3"/>
  <c r="H57" i="3"/>
  <c r="G57" i="3"/>
  <c r="F57" i="3"/>
  <c r="E57" i="3"/>
  <c r="D57" i="3"/>
  <c r="C57" i="3"/>
  <c r="B57" i="3"/>
  <c r="M56" i="2"/>
  <c r="K56" i="2"/>
  <c r="I54" i="1"/>
  <c r="E54" i="1"/>
  <c r="H54" i="1" s="1"/>
  <c r="N57" i="3" s="1"/>
  <c r="O57" i="3" l="1"/>
  <c r="L56" i="2"/>
  <c r="F54" i="1"/>
  <c r="L57" i="3" s="1"/>
  <c r="G54" i="1"/>
  <c r="J54" i="1"/>
  <c r="M57" i="3" l="1"/>
  <c r="I56" i="3"/>
  <c r="H56" i="3"/>
  <c r="G56" i="3"/>
  <c r="F56" i="3"/>
  <c r="E56" i="3"/>
  <c r="D56" i="3"/>
  <c r="C56" i="3"/>
  <c r="B56" i="3"/>
  <c r="J55" i="2"/>
  <c r="M55" i="2" s="1"/>
  <c r="E53" i="1"/>
  <c r="J53" i="1" s="1"/>
  <c r="F53" i="1" l="1"/>
  <c r="I53" i="1"/>
  <c r="O56" i="3" s="1"/>
  <c r="J56" i="3"/>
  <c r="K56" i="3"/>
  <c r="K55" i="2"/>
  <c r="L56" i="3" s="1"/>
  <c r="L55" i="2"/>
  <c r="G53" i="1"/>
  <c r="H53" i="1"/>
  <c r="N56" i="3" s="1"/>
  <c r="I52" i="1"/>
  <c r="I55" i="3"/>
  <c r="H55" i="3"/>
  <c r="G55" i="3"/>
  <c r="F55" i="3"/>
  <c r="E55" i="3"/>
  <c r="D55" i="3"/>
  <c r="C55" i="3"/>
  <c r="B55" i="3"/>
  <c r="J54" i="2"/>
  <c r="L54" i="2" s="1"/>
  <c r="E52" i="1"/>
  <c r="J52" i="1" s="1"/>
  <c r="M56" i="3" l="1"/>
  <c r="M54" i="2"/>
  <c r="J55" i="3"/>
  <c r="F52" i="1"/>
  <c r="G52" i="1"/>
  <c r="M55" i="3" s="1"/>
  <c r="H52" i="1"/>
  <c r="N55" i="3" s="1"/>
  <c r="K55" i="3"/>
  <c r="K54" i="2"/>
  <c r="O55" i="3"/>
  <c r="J53" i="2"/>
  <c r="M53" i="2" s="1"/>
  <c r="L55" i="3" l="1"/>
  <c r="J54" i="3" l="1"/>
  <c r="I54" i="3"/>
  <c r="H54" i="3"/>
  <c r="G54" i="3"/>
  <c r="F54" i="3"/>
  <c r="E54" i="3"/>
  <c r="D54" i="3"/>
  <c r="C54" i="3"/>
  <c r="B54" i="3"/>
  <c r="E51" i="1"/>
  <c r="H51" i="1" l="1"/>
  <c r="N54" i="3" s="1"/>
  <c r="G51" i="1"/>
  <c r="F51" i="1"/>
  <c r="K54" i="3"/>
  <c r="I51" i="1"/>
  <c r="O54" i="3" s="1"/>
  <c r="K53" i="2"/>
  <c r="L54" i="3" s="1"/>
  <c r="L53" i="2"/>
  <c r="M54" i="3" s="1"/>
  <c r="J51" i="1"/>
  <c r="I53" i="3" l="1"/>
  <c r="H53" i="3"/>
  <c r="G53" i="3"/>
  <c r="F53" i="3"/>
  <c r="E53" i="3"/>
  <c r="D53" i="3"/>
  <c r="C53" i="3"/>
  <c r="B53" i="3"/>
  <c r="J52" i="2"/>
  <c r="K52" i="2" l="1"/>
  <c r="M52" i="2"/>
  <c r="J53" i="3"/>
  <c r="L52" i="2"/>
  <c r="E50" i="1" l="1"/>
  <c r="H50" i="1" l="1"/>
  <c r="N53" i="3" s="1"/>
  <c r="G50" i="1"/>
  <c r="M53" i="3" s="1"/>
  <c r="I50" i="1"/>
  <c r="O53" i="3" s="1"/>
  <c r="K53" i="3"/>
  <c r="F50" i="1"/>
  <c r="L53" i="3" s="1"/>
  <c r="J50" i="1"/>
  <c r="M51" i="2"/>
  <c r="I52" i="3" l="1"/>
  <c r="H52" i="3"/>
  <c r="G52" i="3"/>
  <c r="F52" i="3"/>
  <c r="E52" i="3"/>
  <c r="D52" i="3"/>
  <c r="C52" i="3"/>
  <c r="B52" i="3"/>
  <c r="J51" i="2"/>
  <c r="K51" i="2" s="1"/>
  <c r="E49" i="1"/>
  <c r="J49" i="1" s="1"/>
  <c r="H49" i="1" l="1"/>
  <c r="J52" i="3"/>
  <c r="G49" i="1"/>
  <c r="I49" i="1"/>
  <c r="O52" i="3" s="1"/>
  <c r="K52" i="3"/>
  <c r="L51" i="2"/>
  <c r="F49" i="1"/>
  <c r="L52" i="3" s="1"/>
  <c r="N52" i="3"/>
  <c r="I51" i="3"/>
  <c r="H51" i="3"/>
  <c r="G51" i="3"/>
  <c r="F51" i="3"/>
  <c r="E51" i="3"/>
  <c r="D51" i="3"/>
  <c r="C51" i="3"/>
  <c r="B51" i="3"/>
  <c r="J50" i="2"/>
  <c r="K50" i="2" s="1"/>
  <c r="E48" i="1"/>
  <c r="G48" i="1" s="1"/>
  <c r="I48" i="1" l="1"/>
  <c r="K51" i="3"/>
  <c r="M52" i="3"/>
  <c r="J51" i="3"/>
  <c r="M50" i="2"/>
  <c r="H48" i="1"/>
  <c r="N51" i="3" s="1"/>
  <c r="F48" i="1"/>
  <c r="L51" i="3" s="1"/>
  <c r="L50" i="2"/>
  <c r="M51" i="3" s="1"/>
  <c r="J48" i="1"/>
  <c r="M49" i="2"/>
  <c r="I50" i="3"/>
  <c r="H50" i="3"/>
  <c r="G50" i="3"/>
  <c r="F50" i="3"/>
  <c r="E50" i="3"/>
  <c r="D50" i="3"/>
  <c r="C50" i="3"/>
  <c r="B50" i="3"/>
  <c r="E47" i="1"/>
  <c r="J47" i="1" s="1"/>
  <c r="J49" i="2"/>
  <c r="O51" i="3" l="1"/>
  <c r="K50" i="3"/>
  <c r="F47" i="1"/>
  <c r="H47" i="1"/>
  <c r="I47" i="1"/>
  <c r="J50" i="3"/>
  <c r="G47" i="1"/>
  <c r="N50" i="3"/>
  <c r="O50" i="3"/>
  <c r="K49" i="2"/>
  <c r="L49" i="2"/>
  <c r="B49" i="3"/>
  <c r="C49" i="3"/>
  <c r="D49" i="3"/>
  <c r="E49" i="3"/>
  <c r="F49" i="3"/>
  <c r="G49" i="3"/>
  <c r="H49" i="3"/>
  <c r="I49" i="3"/>
  <c r="J48" i="2"/>
  <c r="K48" i="2" s="1"/>
  <c r="L50" i="3" l="1"/>
  <c r="M50" i="3"/>
  <c r="J49" i="3"/>
  <c r="L48" i="2"/>
  <c r="M48" i="2"/>
  <c r="E46" i="1" l="1"/>
  <c r="J46" i="1" l="1"/>
  <c r="K49" i="3"/>
  <c r="G46" i="1"/>
  <c r="M49" i="3" s="1"/>
  <c r="F46" i="1"/>
  <c r="L49" i="3" s="1"/>
  <c r="H46" i="1"/>
  <c r="N49" i="3" s="1"/>
  <c r="I46" i="1"/>
  <c r="O49" i="3" s="1"/>
  <c r="J47" i="2"/>
  <c r="J48" i="3" l="1"/>
  <c r="I48" i="3"/>
  <c r="H48" i="3"/>
  <c r="G48" i="3"/>
  <c r="F48" i="3"/>
  <c r="E48" i="3"/>
  <c r="D48" i="3"/>
  <c r="C48" i="3"/>
  <c r="B48" i="3"/>
  <c r="E45" i="1"/>
  <c r="J45" i="1" s="1"/>
  <c r="M47" i="2"/>
  <c r="H45" i="1" l="1"/>
  <c r="N48" i="3" s="1"/>
  <c r="K48" i="3"/>
  <c r="F45" i="1"/>
  <c r="G45" i="1"/>
  <c r="I45" i="1"/>
  <c r="O48" i="3" s="1"/>
  <c r="K47" i="2"/>
  <c r="L47" i="2"/>
  <c r="M48" i="3" l="1"/>
  <c r="L48" i="3"/>
  <c r="I47" i="3"/>
  <c r="H47" i="3"/>
  <c r="G47" i="3"/>
  <c r="F47" i="3"/>
  <c r="E47" i="3"/>
  <c r="D47" i="3"/>
  <c r="C47" i="3"/>
  <c r="B47" i="3"/>
  <c r="E44" i="1"/>
  <c r="I44" i="1" s="1"/>
  <c r="J46" i="2"/>
  <c r="M46" i="2" s="1"/>
  <c r="H44" i="1" l="1"/>
  <c r="F44" i="1"/>
  <c r="K47" i="3"/>
  <c r="J47" i="3"/>
  <c r="O47" i="3"/>
  <c r="J44" i="1"/>
  <c r="G44" i="1"/>
  <c r="N47" i="3"/>
  <c r="K46" i="2"/>
  <c r="L46" i="2"/>
  <c r="I46" i="3"/>
  <c r="H46" i="3"/>
  <c r="G46" i="3"/>
  <c r="F46" i="3"/>
  <c r="E46" i="3"/>
  <c r="D46" i="3"/>
  <c r="C46" i="3"/>
  <c r="B46" i="3"/>
  <c r="E43" i="1"/>
  <c r="J43" i="1" s="1"/>
  <c r="J45" i="2"/>
  <c r="K45" i="2" s="1"/>
  <c r="F43" i="1" l="1"/>
  <c r="L47" i="3"/>
  <c r="M47" i="3"/>
  <c r="J46" i="3"/>
  <c r="H43" i="1"/>
  <c r="N46" i="3" s="1"/>
  <c r="G43" i="1"/>
  <c r="K46" i="3"/>
  <c r="L46" i="3"/>
  <c r="I43" i="1"/>
  <c r="L45" i="2"/>
  <c r="M45" i="2"/>
  <c r="G42" i="1"/>
  <c r="K45" i="3"/>
  <c r="J45" i="3"/>
  <c r="I45" i="3"/>
  <c r="H45" i="3"/>
  <c r="G45" i="3"/>
  <c r="F45" i="3"/>
  <c r="E45" i="3"/>
  <c r="D45" i="3"/>
  <c r="C45" i="3"/>
  <c r="B45" i="3"/>
  <c r="I42" i="1"/>
  <c r="E42" i="1"/>
  <c r="J42" i="1" s="1"/>
  <c r="J44" i="2"/>
  <c r="L44" i="2" s="1"/>
  <c r="H42" i="1" l="1"/>
  <c r="N45" i="3" s="1"/>
  <c r="O46" i="3"/>
  <c r="M46" i="3"/>
  <c r="M45" i="3"/>
  <c r="F42" i="1"/>
  <c r="K44" i="2"/>
  <c r="M44" i="2"/>
  <c r="O45" i="3" s="1"/>
  <c r="L43" i="2"/>
  <c r="K43" i="2"/>
  <c r="L45" i="3" l="1"/>
  <c r="I44" i="3"/>
  <c r="H44" i="3"/>
  <c r="G44" i="3"/>
  <c r="F44" i="3"/>
  <c r="E44" i="3"/>
  <c r="D44" i="3"/>
  <c r="C44" i="3"/>
  <c r="B44" i="3"/>
  <c r="E41" i="1"/>
  <c r="G41" i="1" s="1"/>
  <c r="J43" i="2"/>
  <c r="M43" i="2" s="1"/>
  <c r="F41" i="1" l="1"/>
  <c r="H41" i="1"/>
  <c r="I41" i="1"/>
  <c r="O44" i="3" s="1"/>
  <c r="J44" i="3"/>
  <c r="N44" i="3"/>
  <c r="K44" i="3"/>
  <c r="J41" i="1"/>
  <c r="L44" i="3"/>
  <c r="M44" i="3"/>
  <c r="J42" i="2"/>
  <c r="J43" i="3" l="1"/>
  <c r="I43" i="3"/>
  <c r="H43" i="3"/>
  <c r="G43" i="3"/>
  <c r="F43" i="3"/>
  <c r="E43" i="3"/>
  <c r="D43" i="3"/>
  <c r="C43" i="3"/>
  <c r="B43" i="3"/>
  <c r="E40" i="1"/>
  <c r="H40" i="1" s="1"/>
  <c r="M42" i="2"/>
  <c r="K42" i="2"/>
  <c r="K43" i="3" l="1"/>
  <c r="F40" i="1"/>
  <c r="L43" i="3" s="1"/>
  <c r="N43" i="3"/>
  <c r="G40" i="1"/>
  <c r="I40" i="1"/>
  <c r="O43" i="3" s="1"/>
  <c r="J40" i="1"/>
  <c r="L42" i="2"/>
  <c r="M41" i="2"/>
  <c r="M43" i="3" l="1"/>
  <c r="J42" i="3"/>
  <c r="I42" i="3"/>
  <c r="H42" i="3"/>
  <c r="G42" i="3"/>
  <c r="F42" i="3"/>
  <c r="E42" i="3"/>
  <c r="D42" i="3"/>
  <c r="C42" i="3"/>
  <c r="B42" i="3"/>
  <c r="E39" i="1"/>
  <c r="H39" i="1" s="1"/>
  <c r="N42" i="3" s="1"/>
  <c r="J41" i="2"/>
  <c r="K41" i="2" s="1"/>
  <c r="F39" i="1" l="1"/>
  <c r="G39" i="1"/>
  <c r="I39" i="1"/>
  <c r="K42" i="3"/>
  <c r="J39" i="1"/>
  <c r="L42" i="3"/>
  <c r="L41" i="2"/>
  <c r="M42" i="3" s="1"/>
  <c r="O42" i="3"/>
  <c r="B41" i="3"/>
  <c r="I41" i="3" l="1"/>
  <c r="H41" i="3"/>
  <c r="G41" i="3"/>
  <c r="F41" i="3"/>
  <c r="E41" i="3"/>
  <c r="D41" i="3"/>
  <c r="C41" i="3"/>
  <c r="E38" i="1"/>
  <c r="I38" i="1" s="1"/>
  <c r="J40" i="2"/>
  <c r="M40" i="2" s="1"/>
  <c r="J41" i="3" l="1"/>
  <c r="O41" i="3"/>
  <c r="F38" i="1"/>
  <c r="H38" i="1"/>
  <c r="N41" i="3" s="1"/>
  <c r="K41" i="3"/>
  <c r="J38" i="1"/>
  <c r="G38" i="1"/>
  <c r="K40" i="2"/>
  <c r="L40" i="2"/>
  <c r="I40" i="3"/>
  <c r="H40" i="3"/>
  <c r="G40" i="3"/>
  <c r="F40" i="3"/>
  <c r="E40" i="3"/>
  <c r="D40" i="3"/>
  <c r="C40" i="3"/>
  <c r="B40" i="3"/>
  <c r="E37" i="1"/>
  <c r="G37" i="1" s="1"/>
  <c r="J39" i="2"/>
  <c r="J40" i="3" s="1"/>
  <c r="F37" i="1" l="1"/>
  <c r="H37" i="1"/>
  <c r="M41" i="3"/>
  <c r="L41" i="3"/>
  <c r="M39" i="2"/>
  <c r="I37" i="1"/>
  <c r="K40" i="3"/>
  <c r="N40" i="3"/>
  <c r="J37" i="1"/>
  <c r="L39" i="2"/>
  <c r="M40" i="3" s="1"/>
  <c r="K39" i="2"/>
  <c r="L40" i="3" s="1"/>
  <c r="C39" i="3"/>
  <c r="D39" i="3"/>
  <c r="O40" i="3" l="1"/>
  <c r="I39" i="3"/>
  <c r="H39" i="3"/>
  <c r="G39" i="3"/>
  <c r="F39" i="3"/>
  <c r="E39" i="3"/>
  <c r="B39" i="3"/>
  <c r="E36" i="1" l="1"/>
  <c r="K39" i="3" s="1"/>
  <c r="J38" i="2"/>
  <c r="F36" i="1" l="1"/>
  <c r="G36" i="1"/>
  <c r="H36" i="1"/>
  <c r="N39" i="3" s="1"/>
  <c r="I36" i="1"/>
  <c r="K38" i="2"/>
  <c r="L39" i="3" s="1"/>
  <c r="J39" i="3"/>
  <c r="M38" i="2"/>
  <c r="J36" i="1"/>
  <c r="L38" i="2"/>
  <c r="M37" i="2"/>
  <c r="O39" i="3" l="1"/>
  <c r="M39" i="3"/>
  <c r="I38" i="3" l="1"/>
  <c r="H38" i="3"/>
  <c r="G38" i="3"/>
  <c r="F38" i="3"/>
  <c r="E38" i="3"/>
  <c r="D38" i="3"/>
  <c r="C38" i="3"/>
  <c r="B38" i="3"/>
  <c r="E35" i="1"/>
  <c r="J37" i="2"/>
  <c r="K37" i="2" s="1"/>
  <c r="J35" i="1" l="1"/>
  <c r="H35" i="1"/>
  <c r="G35" i="1"/>
  <c r="F35" i="1"/>
  <c r="J38" i="3"/>
  <c r="L38" i="3"/>
  <c r="N38" i="3"/>
  <c r="K38" i="3"/>
  <c r="I35" i="1"/>
  <c r="L37" i="2"/>
  <c r="M36" i="2"/>
  <c r="M38" i="3" l="1"/>
  <c r="O38" i="3"/>
  <c r="I37" i="3"/>
  <c r="H37" i="3"/>
  <c r="G37" i="3"/>
  <c r="F37" i="3"/>
  <c r="E37" i="3"/>
  <c r="D37" i="3"/>
  <c r="C37" i="3"/>
  <c r="B37" i="3"/>
  <c r="E34" i="1"/>
  <c r="J34" i="1" s="1"/>
  <c r="J36" i="2"/>
  <c r="L36" i="2" s="1"/>
  <c r="F34" i="1" l="1"/>
  <c r="H34" i="1"/>
  <c r="J37" i="3"/>
  <c r="I34" i="1"/>
  <c r="K37" i="3"/>
  <c r="G34" i="1"/>
  <c r="M37" i="3" s="1"/>
  <c r="N37" i="3"/>
  <c r="K36" i="2"/>
  <c r="L37" i="3" s="1"/>
  <c r="M35" i="2"/>
  <c r="O37" i="3" l="1"/>
  <c r="J36" i="3" l="1"/>
  <c r="I36" i="3"/>
  <c r="H36" i="3"/>
  <c r="G36" i="3"/>
  <c r="F36" i="3"/>
  <c r="E36" i="3"/>
  <c r="D36" i="3"/>
  <c r="C36" i="3"/>
  <c r="B36" i="3"/>
  <c r="E33" i="1"/>
  <c r="J35" i="2"/>
  <c r="K35" i="2" s="1"/>
  <c r="J33" i="1" l="1"/>
  <c r="I33" i="1"/>
  <c r="F33" i="1"/>
  <c r="K36" i="3"/>
  <c r="O36" i="3"/>
  <c r="L36" i="3"/>
  <c r="G33" i="1"/>
  <c r="H33" i="1"/>
  <c r="N36" i="3" s="1"/>
  <c r="L35" i="2"/>
  <c r="M34" i="2"/>
  <c r="M36" i="3" l="1"/>
  <c r="I35" i="3"/>
  <c r="H35" i="3"/>
  <c r="G35" i="3"/>
  <c r="F35" i="3"/>
  <c r="E35" i="3"/>
  <c r="D35" i="3"/>
  <c r="C35" i="3"/>
  <c r="B35" i="3"/>
  <c r="J34" i="2"/>
  <c r="L34" i="2" s="1"/>
  <c r="E32" i="1"/>
  <c r="H32" i="1" s="1"/>
  <c r="N35" i="3" s="1"/>
  <c r="K35" i="3" l="1"/>
  <c r="J35" i="3"/>
  <c r="K34" i="2"/>
  <c r="F32" i="1"/>
  <c r="I32" i="1"/>
  <c r="O35" i="3" s="1"/>
  <c r="G32" i="1"/>
  <c r="M35" i="3" s="1"/>
  <c r="J32" i="1"/>
  <c r="I34" i="3"/>
  <c r="H34" i="3"/>
  <c r="G34" i="3"/>
  <c r="F34" i="3"/>
  <c r="E34" i="3"/>
  <c r="D34" i="3"/>
  <c r="C34" i="3"/>
  <c r="B34" i="3"/>
  <c r="E31" i="1"/>
  <c r="H31" i="1" s="1"/>
  <c r="N34" i="3" s="1"/>
  <c r="J33" i="2"/>
  <c r="F31" i="1" l="1"/>
  <c r="K34" i="3"/>
  <c r="L35" i="3"/>
  <c r="I31" i="1"/>
  <c r="M33" i="2"/>
  <c r="O34" i="3" s="1"/>
  <c r="J34" i="3"/>
  <c r="G31" i="1"/>
  <c r="J31" i="1"/>
  <c r="K33" i="2"/>
  <c r="L34" i="3" s="1"/>
  <c r="L33" i="2"/>
  <c r="I33" i="3"/>
  <c r="H33" i="3"/>
  <c r="G33" i="3"/>
  <c r="F33" i="3"/>
  <c r="E33" i="3"/>
  <c r="D33" i="3"/>
  <c r="C33" i="3"/>
  <c r="B33" i="3"/>
  <c r="J32" i="2"/>
  <c r="L32" i="2" s="1"/>
  <c r="E30" i="1"/>
  <c r="J30" i="1" s="1"/>
  <c r="H30" i="1" l="1"/>
  <c r="N33" i="3" s="1"/>
  <c r="M34" i="3"/>
  <c r="J33" i="3"/>
  <c r="F30" i="1"/>
  <c r="K33" i="3"/>
  <c r="G30" i="1"/>
  <c r="M33" i="3" s="1"/>
  <c r="M32" i="2"/>
  <c r="K32" i="2"/>
  <c r="I30" i="1"/>
  <c r="M31" i="2"/>
  <c r="O33" i="3" l="1"/>
  <c r="L33" i="3"/>
  <c r="I32" i="3"/>
  <c r="H32" i="3"/>
  <c r="G32" i="3"/>
  <c r="F32" i="3"/>
  <c r="E32" i="3"/>
  <c r="D32" i="3"/>
  <c r="C32" i="3"/>
  <c r="B32" i="3"/>
  <c r="E29" i="1"/>
  <c r="K32" i="3" s="1"/>
  <c r="J31" i="2"/>
  <c r="L31" i="2" s="1"/>
  <c r="G29" i="1" l="1"/>
  <c r="F29" i="1"/>
  <c r="H29" i="1"/>
  <c r="N32" i="3" s="1"/>
  <c r="J32" i="3"/>
  <c r="I29" i="1"/>
  <c r="J29" i="1"/>
  <c r="M32" i="3"/>
  <c r="K31" i="2"/>
  <c r="M30" i="2"/>
  <c r="E31" i="3"/>
  <c r="F31" i="3"/>
  <c r="L32" i="3" l="1"/>
  <c r="O32" i="3"/>
  <c r="I31" i="3"/>
  <c r="H31" i="3"/>
  <c r="G31" i="3"/>
  <c r="D31" i="3"/>
  <c r="C31" i="3"/>
  <c r="B31" i="3"/>
  <c r="J30" i="2"/>
  <c r="J31" i="3" s="1"/>
  <c r="L30" i="2" l="1"/>
  <c r="K30" i="2"/>
  <c r="E28" i="1"/>
  <c r="K31" i="3" s="1"/>
  <c r="H28" i="1" l="1"/>
  <c r="N31" i="3" s="1"/>
  <c r="G28" i="1"/>
  <c r="M31" i="3" s="1"/>
  <c r="F28" i="1"/>
  <c r="L31" i="3" s="1"/>
  <c r="I28" i="1"/>
  <c r="O31" i="3" s="1"/>
  <c r="J28" i="1"/>
  <c r="M29" i="2"/>
  <c r="I30" i="3" l="1"/>
  <c r="H30" i="3"/>
  <c r="G30" i="3"/>
  <c r="F30" i="3"/>
  <c r="E30" i="3"/>
  <c r="D30" i="3"/>
  <c r="C30" i="3"/>
  <c r="B30" i="3"/>
  <c r="J29" i="2"/>
  <c r="E27" i="1"/>
  <c r="F27" i="1" s="1"/>
  <c r="K30" i="3" l="1"/>
  <c r="G27" i="1"/>
  <c r="H27" i="1"/>
  <c r="J30" i="3"/>
  <c r="I27" i="1"/>
  <c r="O30" i="3" s="1"/>
  <c r="K29" i="2"/>
  <c r="L30" i="3" s="1"/>
  <c r="L29" i="2"/>
  <c r="M30" i="3" s="1"/>
  <c r="N30" i="3"/>
  <c r="J27" i="1"/>
  <c r="I29" i="3" l="1"/>
  <c r="H29" i="3"/>
  <c r="G29" i="3"/>
  <c r="F29" i="3"/>
  <c r="E29" i="3"/>
  <c r="D29" i="3"/>
  <c r="C29" i="3"/>
  <c r="B29" i="3"/>
  <c r="J28" i="2"/>
  <c r="E26" i="1"/>
  <c r="K29" i="3" l="1"/>
  <c r="I26" i="1"/>
  <c r="F26" i="1"/>
  <c r="G26" i="1"/>
  <c r="K28" i="2"/>
  <c r="M28" i="2"/>
  <c r="O29" i="3" s="1"/>
  <c r="J29" i="3"/>
  <c r="J26" i="1"/>
  <c r="H26" i="1"/>
  <c r="N29" i="3" s="1"/>
  <c r="L28" i="2"/>
  <c r="M29" i="3" s="1"/>
  <c r="I28" i="3"/>
  <c r="H28" i="3"/>
  <c r="G28" i="3"/>
  <c r="F28" i="3"/>
  <c r="E28" i="3"/>
  <c r="D28" i="3"/>
  <c r="C28" i="3"/>
  <c r="B28" i="3"/>
  <c r="J27" i="2"/>
  <c r="M27" i="2" s="1"/>
  <c r="E25" i="1"/>
  <c r="H25" i="1" s="1"/>
  <c r="N28" i="3" s="1"/>
  <c r="L29" i="3" l="1"/>
  <c r="J28" i="3"/>
  <c r="G25" i="1"/>
  <c r="I25" i="1"/>
  <c r="O28" i="3" s="1"/>
  <c r="K28" i="3"/>
  <c r="F25" i="1"/>
  <c r="K27" i="2"/>
  <c r="L27" i="2"/>
  <c r="J25" i="1"/>
  <c r="J27" i="3"/>
  <c r="I27" i="3"/>
  <c r="H27" i="3"/>
  <c r="G27" i="3"/>
  <c r="F27" i="3"/>
  <c r="E27" i="3"/>
  <c r="D27" i="3"/>
  <c r="C27" i="3"/>
  <c r="B27" i="3"/>
  <c r="L28" i="3" l="1"/>
  <c r="M28" i="3"/>
  <c r="J26" i="2"/>
  <c r="M26" i="2" s="1"/>
  <c r="K26" i="2" l="1"/>
  <c r="L26" i="2"/>
  <c r="E24" i="1"/>
  <c r="J24" i="1" l="1"/>
  <c r="K27" i="3"/>
  <c r="H24" i="1"/>
  <c r="N27" i="3" s="1"/>
  <c r="I24" i="1"/>
  <c r="O27" i="3" s="1"/>
  <c r="G24" i="1"/>
  <c r="M27" i="3" s="1"/>
  <c r="F24" i="1"/>
  <c r="L27" i="3" s="1"/>
  <c r="M25" i="2"/>
  <c r="I26" i="3" l="1"/>
  <c r="H26" i="3"/>
  <c r="G26" i="3"/>
  <c r="F26" i="3"/>
  <c r="E26" i="3"/>
  <c r="D26" i="3"/>
  <c r="C26" i="3"/>
  <c r="B26" i="3"/>
  <c r="J25" i="2"/>
  <c r="J26" i="3" l="1"/>
  <c r="L25" i="2"/>
  <c r="K25" i="2"/>
  <c r="E23" i="1" l="1"/>
  <c r="J23" i="1" l="1"/>
  <c r="K26" i="3"/>
  <c r="I23" i="1"/>
  <c r="O26" i="3" s="1"/>
  <c r="F23" i="1"/>
  <c r="L26" i="3" s="1"/>
  <c r="H23" i="1"/>
  <c r="N26" i="3" s="1"/>
  <c r="G23" i="1"/>
  <c r="M26" i="3" s="1"/>
  <c r="I25" i="3"/>
  <c r="H25" i="3"/>
  <c r="G25" i="3"/>
  <c r="F25" i="3"/>
  <c r="E25" i="3"/>
  <c r="D25" i="3"/>
  <c r="C25" i="3"/>
  <c r="B25" i="3"/>
  <c r="J24" i="2"/>
  <c r="K24" i="2" s="1"/>
  <c r="J25" i="3" l="1"/>
  <c r="L24" i="2"/>
  <c r="M24" i="2"/>
  <c r="E22" i="1"/>
  <c r="J22" i="1" l="1"/>
  <c r="K25" i="3"/>
  <c r="F22" i="1"/>
  <c r="L25" i="3" s="1"/>
  <c r="H22" i="1"/>
  <c r="N25" i="3" s="1"/>
  <c r="I22" i="1"/>
  <c r="O25" i="3" s="1"/>
  <c r="G22" i="1"/>
  <c r="M25" i="3" s="1"/>
  <c r="I24" i="3"/>
  <c r="H24" i="3"/>
  <c r="G24" i="3"/>
  <c r="F24" i="3"/>
  <c r="E24" i="3"/>
  <c r="D24" i="3"/>
  <c r="C24" i="3"/>
  <c r="B24" i="3"/>
  <c r="E21" i="1" l="1"/>
  <c r="J23" i="2"/>
  <c r="H21" i="1" l="1"/>
  <c r="N24" i="3" s="1"/>
  <c r="K24" i="3"/>
  <c r="I21" i="1"/>
  <c r="K23" i="2"/>
  <c r="L24" i="3" s="1"/>
  <c r="J24" i="3"/>
  <c r="L23" i="2"/>
  <c r="M23" i="2"/>
  <c r="O24" i="3" s="1"/>
  <c r="J21" i="1"/>
  <c r="F21" i="1"/>
  <c r="G21" i="1"/>
  <c r="I23" i="3"/>
  <c r="H23" i="3"/>
  <c r="G23" i="3"/>
  <c r="F23" i="3"/>
  <c r="E23" i="3"/>
  <c r="D23" i="3"/>
  <c r="C23" i="3"/>
  <c r="B23" i="3"/>
  <c r="J22" i="2"/>
  <c r="K22" i="2" s="1"/>
  <c r="E20" i="1"/>
  <c r="J20" i="1" s="1"/>
  <c r="I20" i="1" l="1"/>
  <c r="M24" i="3"/>
  <c r="J23" i="3"/>
  <c r="K23" i="3"/>
  <c r="L22" i="2"/>
  <c r="M22" i="2"/>
  <c r="O23" i="3" s="1"/>
  <c r="F20" i="1"/>
  <c r="L23" i="3" s="1"/>
  <c r="G20" i="1"/>
  <c r="H20" i="1"/>
  <c r="N23" i="3" s="1"/>
  <c r="I22" i="3"/>
  <c r="H22" i="3"/>
  <c r="G22" i="3"/>
  <c r="F22" i="3"/>
  <c r="E22" i="3"/>
  <c r="D22" i="3"/>
  <c r="C22" i="3"/>
  <c r="B22" i="3"/>
  <c r="F19" i="1"/>
  <c r="E19" i="1"/>
  <c r="H19" i="1" s="1"/>
  <c r="N22" i="3" s="1"/>
  <c r="J21" i="2"/>
  <c r="M21" i="2" s="1"/>
  <c r="K22" i="3" l="1"/>
  <c r="M23" i="3"/>
  <c r="J22" i="3"/>
  <c r="G19" i="1"/>
  <c r="I19" i="1"/>
  <c r="O22" i="3" s="1"/>
  <c r="J19" i="1"/>
  <c r="K21" i="2"/>
  <c r="L22" i="3" s="1"/>
  <c r="L21" i="2"/>
  <c r="J21" i="3"/>
  <c r="I21" i="3"/>
  <c r="H21" i="3"/>
  <c r="G21" i="3"/>
  <c r="F21" i="3"/>
  <c r="E21" i="3"/>
  <c r="D21" i="3"/>
  <c r="C21" i="3"/>
  <c r="B21" i="3"/>
  <c r="M22" i="3" l="1"/>
  <c r="E18" i="1" l="1"/>
  <c r="J20" i="2"/>
  <c r="M20" i="2" s="1"/>
  <c r="J18" i="1" l="1"/>
  <c r="K21" i="3"/>
  <c r="G18" i="1"/>
  <c r="F18" i="1"/>
  <c r="H18" i="1"/>
  <c r="N21" i="3" s="1"/>
  <c r="I18" i="1"/>
  <c r="O21" i="3" s="1"/>
  <c r="L20" i="2"/>
  <c r="M21" i="3" s="1"/>
  <c r="K20" i="2"/>
  <c r="L21" i="3" s="1"/>
  <c r="M19" i="2"/>
  <c r="K19" i="2"/>
  <c r="J20" i="3" l="1"/>
  <c r="I20" i="3"/>
  <c r="H20" i="3"/>
  <c r="G20" i="3"/>
  <c r="F20" i="3"/>
  <c r="E20" i="3"/>
  <c r="D20" i="3"/>
  <c r="C20" i="3"/>
  <c r="B20" i="3"/>
  <c r="E17" i="1" l="1"/>
  <c r="J19" i="2"/>
  <c r="L19" i="2" s="1"/>
  <c r="K20" i="3" l="1"/>
  <c r="H17" i="1"/>
  <c r="N20" i="3" s="1"/>
  <c r="G17" i="1"/>
  <c r="M20" i="3" s="1"/>
  <c r="F17" i="1"/>
  <c r="L20" i="3" s="1"/>
  <c r="I17" i="1"/>
  <c r="O20" i="3" s="1"/>
  <c r="J17" i="1"/>
  <c r="I19" i="3"/>
  <c r="H19" i="3"/>
  <c r="G19" i="3"/>
  <c r="F19" i="3"/>
  <c r="E19" i="3"/>
  <c r="D19" i="3"/>
  <c r="C19" i="3"/>
  <c r="B19" i="3"/>
  <c r="J18" i="2"/>
  <c r="L18" i="2" s="1"/>
  <c r="E16" i="1"/>
  <c r="K19" i="3" s="1"/>
  <c r="J19" i="3" l="1"/>
  <c r="J16" i="1"/>
  <c r="F16" i="1"/>
  <c r="K18" i="2"/>
  <c r="M18" i="2"/>
  <c r="G16" i="1"/>
  <c r="M19" i="3" s="1"/>
  <c r="H16" i="1"/>
  <c r="N19" i="3" s="1"/>
  <c r="I16" i="1"/>
  <c r="O19" i="3" l="1"/>
  <c r="L19" i="3"/>
  <c r="I18" i="3"/>
  <c r="H18" i="3"/>
  <c r="G18" i="3"/>
  <c r="F18" i="3"/>
  <c r="E18" i="3"/>
  <c r="D18" i="3"/>
  <c r="C18" i="3"/>
  <c r="B18" i="3"/>
  <c r="J17" i="2"/>
  <c r="L17" i="2" l="1"/>
  <c r="M17" i="2"/>
  <c r="J18" i="3"/>
  <c r="K17" i="2"/>
  <c r="E15" i="1"/>
  <c r="H15" i="1" l="1"/>
  <c r="N18" i="3" s="1"/>
  <c r="K18" i="3"/>
  <c r="I15" i="1"/>
  <c r="O18" i="3" s="1"/>
  <c r="J15" i="1"/>
  <c r="F15" i="1"/>
  <c r="L18" i="3" s="1"/>
  <c r="G15" i="1"/>
  <c r="M18" i="3" s="1"/>
  <c r="I17" i="3" l="1"/>
  <c r="H17" i="3"/>
  <c r="G17" i="3"/>
  <c r="F17" i="3"/>
  <c r="E17" i="3"/>
  <c r="D17" i="3"/>
  <c r="C17" i="3"/>
  <c r="B17" i="3"/>
  <c r="J16" i="2"/>
  <c r="M16" i="2" s="1"/>
  <c r="J17" i="3" l="1"/>
  <c r="K16" i="2"/>
  <c r="L16" i="2"/>
  <c r="E14" i="1" l="1"/>
  <c r="J14" i="1" l="1"/>
  <c r="H14" i="1"/>
  <c r="N17" i="3" s="1"/>
  <c r="G14" i="1"/>
  <c r="M17" i="3" s="1"/>
  <c r="F14" i="1"/>
  <c r="L17" i="3" s="1"/>
  <c r="K17" i="3"/>
  <c r="I14" i="1"/>
  <c r="O17" i="3" s="1"/>
  <c r="I16" i="3"/>
  <c r="H16" i="3"/>
  <c r="G16" i="3"/>
  <c r="F16" i="3"/>
  <c r="E16" i="3"/>
  <c r="D16" i="3"/>
  <c r="C16" i="3"/>
  <c r="B16" i="3"/>
  <c r="J15" i="2" l="1"/>
  <c r="J16" i="3" l="1"/>
  <c r="K15" i="2"/>
  <c r="L15" i="2"/>
  <c r="M15" i="2"/>
  <c r="E13" i="1"/>
  <c r="H13" i="1" l="1"/>
  <c r="N16" i="3" s="1"/>
  <c r="K16" i="3"/>
  <c r="F13" i="1"/>
  <c r="L16" i="3" s="1"/>
  <c r="G13" i="1"/>
  <c r="M16" i="3" s="1"/>
  <c r="I13" i="1"/>
  <c r="O16" i="3" s="1"/>
  <c r="J13" i="1"/>
  <c r="I15" i="3" l="1"/>
  <c r="H15" i="3"/>
  <c r="G15" i="3"/>
  <c r="F15" i="3"/>
  <c r="E15" i="3"/>
  <c r="D15" i="3"/>
  <c r="C15" i="3"/>
  <c r="B15" i="3"/>
  <c r="J14" i="2" l="1"/>
  <c r="J15" i="3" s="1"/>
  <c r="M14" i="2" l="1"/>
  <c r="K14" i="2"/>
  <c r="L14" i="2"/>
  <c r="E12" i="1"/>
  <c r="I12" i="1" l="1"/>
  <c r="O15" i="3" s="1"/>
  <c r="K15" i="3"/>
  <c r="F12" i="1"/>
  <c r="L15" i="3" s="1"/>
  <c r="G12" i="1"/>
  <c r="M15" i="3" s="1"/>
  <c r="H12" i="1"/>
  <c r="N15" i="3" s="1"/>
  <c r="J12" i="1"/>
  <c r="I14" i="3" l="1"/>
  <c r="H14" i="3"/>
  <c r="G14" i="3"/>
  <c r="F14" i="3"/>
  <c r="E14" i="3"/>
  <c r="D14" i="3"/>
  <c r="C14" i="3"/>
  <c r="B14" i="3"/>
  <c r="E11" i="1"/>
  <c r="J11" i="1" s="1"/>
  <c r="J13" i="2"/>
  <c r="K13" i="2" l="1"/>
  <c r="M13" i="2"/>
  <c r="F11" i="1"/>
  <c r="G11" i="1"/>
  <c r="H11" i="1"/>
  <c r="N14" i="3" s="1"/>
  <c r="J14" i="3"/>
  <c r="K14" i="3"/>
  <c r="I11" i="1"/>
  <c r="L13" i="2"/>
  <c r="I13" i="3"/>
  <c r="H13" i="3"/>
  <c r="G13" i="3"/>
  <c r="F13" i="3"/>
  <c r="E13" i="3"/>
  <c r="D13" i="3"/>
  <c r="C13" i="3"/>
  <c r="B13" i="3"/>
  <c r="E10" i="1"/>
  <c r="J10" i="1" s="1"/>
  <c r="J12" i="2"/>
  <c r="M12" i="2" s="1"/>
  <c r="L14" i="3" l="1"/>
  <c r="F10" i="1"/>
  <c r="M14" i="3"/>
  <c r="O14" i="3"/>
  <c r="J13" i="3"/>
  <c r="G10" i="1"/>
  <c r="I10" i="1"/>
  <c r="K13" i="3"/>
  <c r="H10" i="1"/>
  <c r="N13" i="3" s="1"/>
  <c r="K12" i="2"/>
  <c r="L13" i="3" s="1"/>
  <c r="L12" i="2"/>
  <c r="O13" i="3" l="1"/>
  <c r="M13" i="3"/>
  <c r="I12" i="3"/>
  <c r="H12" i="3"/>
  <c r="G12" i="3"/>
  <c r="F12" i="3"/>
  <c r="E12" i="3"/>
  <c r="D12" i="3"/>
  <c r="C12" i="3"/>
  <c r="B12" i="3"/>
  <c r="E9" i="1"/>
  <c r="J9" i="1" s="1"/>
  <c r="J11" i="2"/>
  <c r="M11" i="2" s="1"/>
  <c r="I9" i="1" l="1"/>
  <c r="O12" i="3" s="1"/>
  <c r="G9" i="1"/>
  <c r="J12" i="3"/>
  <c r="F9" i="1"/>
  <c r="K12" i="3"/>
  <c r="H9" i="1"/>
  <c r="N12" i="3" s="1"/>
  <c r="K11" i="2"/>
  <c r="L11" i="2"/>
  <c r="B11" i="3"/>
  <c r="C11" i="3"/>
  <c r="G11" i="3"/>
  <c r="I11" i="3"/>
  <c r="M12" i="3" l="1"/>
  <c r="L12" i="3"/>
  <c r="A11" i="3" l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H11" i="3"/>
  <c r="F11" i="3"/>
  <c r="E11" i="3"/>
  <c r="D11" i="3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E8" i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J10" i="2"/>
  <c r="H8" i="1" l="1"/>
  <c r="N11" i="3" s="1"/>
  <c r="I8" i="1"/>
  <c r="F8" i="1"/>
  <c r="M10" i="2"/>
  <c r="O11" i="3" s="1"/>
  <c r="L10" i="2"/>
  <c r="K10" i="2"/>
  <c r="J11" i="3"/>
  <c r="G8" i="1"/>
  <c r="K11" i="3"/>
  <c r="J8" i="1"/>
  <c r="L11" i="3" l="1"/>
  <c r="M11" i="3"/>
  <c r="I10" i="3" l="1"/>
  <c r="H10" i="3"/>
  <c r="G10" i="3"/>
  <c r="F10" i="3"/>
  <c r="E10" i="3"/>
  <c r="D10" i="3"/>
  <c r="C10" i="3"/>
  <c r="B10" i="3"/>
  <c r="E7" i="1"/>
  <c r="J9" i="2"/>
  <c r="J7" i="1" l="1"/>
  <c r="G7" i="1"/>
  <c r="F7" i="1"/>
  <c r="J10" i="3"/>
  <c r="M9" i="2"/>
  <c r="K10" i="3"/>
  <c r="H7" i="1"/>
  <c r="N10" i="3" s="1"/>
  <c r="I7" i="1"/>
  <c r="K9" i="2"/>
  <c r="L9" i="2"/>
  <c r="M10" i="3" l="1"/>
  <c r="L10" i="3"/>
  <c r="O10" i="3"/>
  <c r="C9" i="3" l="1"/>
  <c r="D9" i="3"/>
  <c r="E9" i="3"/>
  <c r="F9" i="3"/>
  <c r="G9" i="3"/>
  <c r="H9" i="3"/>
  <c r="I9" i="3"/>
  <c r="B9" i="3"/>
  <c r="B63" i="3" s="1"/>
  <c r="C63" i="3" l="1"/>
  <c r="D63" i="3"/>
  <c r="E63" i="3"/>
  <c r="F63" i="3"/>
  <c r="G63" i="3"/>
  <c r="H63" i="3"/>
  <c r="I63" i="3"/>
  <c r="C62" i="2"/>
  <c r="D62" i="2"/>
  <c r="E62" i="2"/>
  <c r="F62" i="2"/>
  <c r="G62" i="2"/>
  <c r="H62" i="2"/>
  <c r="I62" i="2"/>
  <c r="B62" i="2"/>
  <c r="J8" i="2"/>
  <c r="M8" i="2" s="1"/>
  <c r="J2" i="2"/>
  <c r="E6" i="1"/>
  <c r="E60" i="1" s="1"/>
  <c r="G6" i="1" l="1"/>
  <c r="G60" i="1" s="1"/>
  <c r="F6" i="1"/>
  <c r="F60" i="1" s="1"/>
  <c r="M62" i="2"/>
  <c r="L8" i="2"/>
  <c r="I6" i="1"/>
  <c r="I60" i="1" s="1"/>
  <c r="H6" i="1"/>
  <c r="H60" i="1" s="1"/>
  <c r="K8" i="2"/>
  <c r="J6" i="1"/>
  <c r="J60" i="1" s="1"/>
  <c r="J62" i="2"/>
  <c r="K9" i="3"/>
  <c r="K63" i="3" s="1"/>
  <c r="J9" i="3"/>
  <c r="J63" i="3" s="1"/>
  <c r="O9" i="3" l="1"/>
  <c r="O63" i="3" s="1"/>
  <c r="N9" i="3"/>
  <c r="N63" i="3" s="1"/>
  <c r="K62" i="2"/>
  <c r="L9" i="3"/>
  <c r="L63" i="3" s="1"/>
  <c r="M9" i="3"/>
  <c r="M63" i="3" s="1"/>
  <c r="L62" i="2"/>
</calcChain>
</file>

<file path=xl/sharedStrings.xml><?xml version="1.0" encoding="utf-8"?>
<sst xmlns="http://schemas.openxmlformats.org/spreadsheetml/2006/main" count="57" uniqueCount="39">
  <si>
    <t>Amount
Played</t>
  </si>
  <si>
    <t>Adjusted
Amount
Won</t>
  </si>
  <si>
    <t>Promo</t>
  </si>
  <si>
    <t>Gross
Terminal Revenue</t>
  </si>
  <si>
    <t>State
Share
36%</t>
  </si>
  <si>
    <t>Human
Resource
Benefit Fund
17%</t>
  </si>
  <si>
    <t>Capital
Reinvestment
4.7%</t>
  </si>
  <si>
    <t>Greenbrier
Share
42.3%</t>
  </si>
  <si>
    <t>Average
GTI / # Term</t>
  </si>
  <si>
    <t>Craps</t>
  </si>
  <si>
    <t>Mini Bac</t>
  </si>
  <si>
    <t>Poker</t>
  </si>
  <si>
    <t>Poker
Tournament</t>
  </si>
  <si>
    <t>Roulette</t>
  </si>
  <si>
    <t>Single
Roulette</t>
  </si>
  <si>
    <t>Three Card
Poker</t>
  </si>
  <si>
    <t>Gross
Receipts</t>
  </si>
  <si>
    <t>State
Share
30%</t>
  </si>
  <si>
    <t>Human
Resource
Benefit Fund
5%</t>
  </si>
  <si>
    <t>Greenbrier
Share
65%</t>
  </si>
  <si>
    <t>State
Share</t>
  </si>
  <si>
    <t>Human
Resource
Benefit Fund</t>
  </si>
  <si>
    <t>Greenbrier
Share</t>
  </si>
  <si>
    <t>Capital
Reinvestment</t>
  </si>
  <si>
    <t>WEEKLY GREENBRIER HISTORIC RESORT REVENUE SUMMARY</t>
  </si>
  <si>
    <t>Blackjack</t>
  </si>
  <si>
    <t>Table Games Gross
Receipts</t>
  </si>
  <si>
    <t>Video Gross
Terminal
Revenue</t>
  </si>
  <si>
    <t>WEST VIRGINIA LOTTERY</t>
  </si>
  <si>
    <t xml:space="preserve">  *  Represents 2 days to start the fiscal year.</t>
  </si>
  <si>
    <t>7/2/2022 *</t>
  </si>
  <si>
    <t>FY2022</t>
  </si>
  <si>
    <t>FISCAL YEAR 2023</t>
  </si>
  <si>
    <t xml:space="preserve"> FOR THE WEEK ENDING JUNE 30, 2023</t>
  </si>
  <si>
    <t xml:space="preserve">  **  Represents 6 days to end the fiscal year.</t>
  </si>
  <si>
    <t>6/30/2023 **</t>
  </si>
  <si>
    <t>***  Represents an average of the number of machines in use for the week, averaged for the fiscal year.</t>
  </si>
  <si>
    <t xml:space="preserve"> **  Represents 6 days to end the fiscal year.</t>
  </si>
  <si>
    <t>Number
Terminals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</si>
</sst>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164" fontId="0" fillId="0" borderId="0" xfId="0" applyNumberFormat="1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center"/>
    </xf>
    <xf numFmtId="44" fontId="0" fillId="0" borderId="0" xfId="1" applyFont="1"/>
    <xf numFmtId="44" fontId="0" fillId="0" borderId="2" xfId="0" applyNumberFormat="1" applyFont="1" applyBorder="1"/>
    <xf numFmtId="164" fontId="0" fillId="0" borderId="0" xfId="0" applyNumberFormat="1" applyFont="1" applyBorder="1" applyAlignment="1">
      <alignment horizontal="center"/>
    </xf>
    <xf numFmtId="14" fontId="0" fillId="0" borderId="0" xfId="1" applyNumberFormat="1" applyFont="1" applyAlignment="1">
      <alignment horizontal="left"/>
    </xf>
    <xf numFmtId="44" fontId="0" fillId="0" borderId="0" xfId="1" applyFont="1" applyAlignment="1">
      <alignment horizontal="center"/>
    </xf>
    <xf numFmtId="164" fontId="0" fillId="0" borderId="0" xfId="0" applyNumberFormat="1" applyFont="1" applyAlignment="1">
      <alignment horizontal="center"/>
    </xf>
    <xf numFmtId="44" fontId="0" fillId="0" borderId="2" xfId="1" applyFont="1" applyBorder="1" applyAlignment="1">
      <alignment horizontal="center"/>
    </xf>
    <xf numFmtId="164" fontId="0" fillId="0" borderId="2" xfId="0" applyNumberFormat="1" applyFont="1" applyBorder="1" applyAlignment="1">
      <alignment horizontal="center" vertical="center"/>
    </xf>
    <xf numFmtId="44" fontId="0" fillId="0" borderId="0" xfId="0" applyNumberFormat="1" applyFont="1"/>
    <xf numFmtId="0" fontId="0" fillId="0" borderId="0" xfId="0" applyFont="1" applyAlignment="1">
      <alignment horizontal="center"/>
    </xf>
    <xf numFmtId="0" fontId="6" fillId="0" borderId="0" xfId="2" applyFont="1" applyAlignment="1">
      <alignment horizontal="left"/>
    </xf>
    <xf numFmtId="0" fontId="6" fillId="0" borderId="0" xfId="2" applyFont="1" applyAlignment="1"/>
    <xf numFmtId="0" fontId="3" fillId="0" borderId="0" xfId="0" applyFont="1" applyAlignme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4">
    <cellStyle name="Currency" xfId="1" builtinId="4"/>
    <cellStyle name="Currency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tabSelected="1" zoomScaleNormal="100" workbookViewId="0">
      <pane ySplit="7" topLeftCell="A38" activePane="bottomLeft" state="frozen"/>
      <selection pane="bottomLeft" activeCell="A63" sqref="A63"/>
    </sheetView>
  </sheetViews>
  <sheetFormatPr defaultRowHeight="15" customHeight="1" x14ac:dyDescent="0.25"/>
  <cols>
    <col min="1" max="1" width="12.7109375" style="1" customWidth="1"/>
    <col min="2" max="2" width="15.140625" style="1" bestFit="1" customWidth="1"/>
    <col min="3" max="4" width="13.42578125" style="1" bestFit="1" customWidth="1"/>
    <col min="5" max="5" width="12.85546875" style="1" customWidth="1"/>
    <col min="6" max="6" width="13.140625" style="1" customWidth="1"/>
    <col min="7" max="7" width="14.28515625" style="1" customWidth="1"/>
    <col min="8" max="9" width="13.42578125" style="1" bestFit="1" customWidth="1"/>
    <col min="10" max="12" width="15.140625" style="1" bestFit="1" customWidth="1"/>
    <col min="13" max="13" width="14.28515625" style="1" bestFit="1" customWidth="1"/>
    <col min="14" max="14" width="13.42578125" style="1" bestFit="1" customWidth="1"/>
    <col min="15" max="15" width="15.140625" style="1" bestFit="1" customWidth="1"/>
    <col min="16" max="16" width="10.7109375" style="1" customWidth="1"/>
    <col min="17" max="16384" width="9.140625" style="1"/>
  </cols>
  <sheetData>
    <row r="1" spans="1:15" ht="18.75" x14ac:dyDescent="0.3">
      <c r="A1" s="21" t="s">
        <v>28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15" customHeight="1" x14ac:dyDescent="0.25">
      <c r="A2" s="22" t="s">
        <v>24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15" customHeight="1" x14ac:dyDescent="0.25">
      <c r="A3" s="22" t="s">
        <v>33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ht="15" customHeight="1" x14ac:dyDescent="0.25">
      <c r="A4" s="22" t="s">
        <v>32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7" spans="1:15" s="2" customFormat="1" ht="45" x14ac:dyDescent="0.25">
      <c r="B7" s="3" t="s">
        <v>25</v>
      </c>
      <c r="C7" s="4" t="s">
        <v>9</v>
      </c>
      <c r="D7" s="3" t="s">
        <v>10</v>
      </c>
      <c r="E7" s="3" t="s">
        <v>11</v>
      </c>
      <c r="F7" s="3" t="s">
        <v>12</v>
      </c>
      <c r="G7" s="3" t="s">
        <v>13</v>
      </c>
      <c r="H7" s="3" t="s">
        <v>14</v>
      </c>
      <c r="I7" s="3" t="s">
        <v>15</v>
      </c>
      <c r="J7" s="3" t="s">
        <v>26</v>
      </c>
      <c r="K7" s="3" t="s">
        <v>27</v>
      </c>
      <c r="L7" s="3" t="s">
        <v>20</v>
      </c>
      <c r="M7" s="3" t="s">
        <v>21</v>
      </c>
      <c r="N7" s="3" t="s">
        <v>23</v>
      </c>
      <c r="O7" s="3" t="s">
        <v>22</v>
      </c>
    </row>
    <row r="8" spans="1:15" ht="15" customHeight="1" x14ac:dyDescent="0.25">
      <c r="A8" s="11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ht="15" customHeight="1" x14ac:dyDescent="0.25">
      <c r="A9" s="11" t="s">
        <v>30</v>
      </c>
      <c r="B9" s="8">
        <f>'Table Games'!B8</f>
        <v>79068.5</v>
      </c>
      <c r="C9" s="8">
        <f>'Table Games'!C8</f>
        <v>-7556</v>
      </c>
      <c r="D9" s="8">
        <f>'Table Games'!D8</f>
        <v>0</v>
      </c>
      <c r="E9" s="8">
        <f>'Table Games'!E8</f>
        <v>0</v>
      </c>
      <c r="F9" s="8">
        <f>'Table Games'!F8</f>
        <v>0</v>
      </c>
      <c r="G9" s="8">
        <f>'Table Games'!G8</f>
        <v>13179</v>
      </c>
      <c r="H9" s="8">
        <f>'Table Games'!H8</f>
        <v>16594</v>
      </c>
      <c r="I9" s="8">
        <f>'Table Games'!I8</f>
        <v>-6226</v>
      </c>
      <c r="J9" s="8">
        <f>'Table Games'!J8</f>
        <v>95059.5</v>
      </c>
      <c r="K9" s="8">
        <f>Video!E6</f>
        <v>36688.559999999998</v>
      </c>
      <c r="L9" s="8">
        <f>'Table Games'!K8+Video!F6</f>
        <v>41725.74</v>
      </c>
      <c r="M9" s="8">
        <f>'Table Games'!L8+Video!G6</f>
        <v>10990.029999999999</v>
      </c>
      <c r="N9" s="8">
        <f>Video!H6</f>
        <v>1724.36</v>
      </c>
      <c r="O9" s="8">
        <f>'Table Games'!M8+Video!I6</f>
        <v>77307.929999999993</v>
      </c>
    </row>
    <row r="10" spans="1:15" ht="15" customHeight="1" x14ac:dyDescent="0.25">
      <c r="A10" s="11">
        <v>44751</v>
      </c>
      <c r="B10" s="8">
        <f>'Table Games'!B9</f>
        <v>87096.5</v>
      </c>
      <c r="C10" s="8">
        <f>'Table Games'!C9</f>
        <v>47584</v>
      </c>
      <c r="D10" s="8">
        <f>'Table Games'!D9</f>
        <v>0</v>
      </c>
      <c r="E10" s="8">
        <f>'Table Games'!E9</f>
        <v>0</v>
      </c>
      <c r="F10" s="8">
        <f>'Table Games'!F9</f>
        <v>0</v>
      </c>
      <c r="G10" s="8">
        <f>'Table Games'!G9</f>
        <v>17414</v>
      </c>
      <c r="H10" s="8">
        <f>'Table Games'!H9</f>
        <v>0</v>
      </c>
      <c r="I10" s="8">
        <f>'Table Games'!I9</f>
        <v>-7746</v>
      </c>
      <c r="J10" s="8">
        <f>'Table Games'!J9</f>
        <v>144348.5</v>
      </c>
      <c r="K10" s="8">
        <f>Video!E7</f>
        <v>95544.800000000047</v>
      </c>
      <c r="L10" s="8">
        <f>'Table Games'!K9+Video!F7</f>
        <v>77700.679999999993</v>
      </c>
      <c r="M10" s="8">
        <f>'Table Games'!L9+Video!G7</f>
        <v>23460.04</v>
      </c>
      <c r="N10" s="8">
        <f>Video!H7</f>
        <v>4490.6099999999997</v>
      </c>
      <c r="O10" s="8">
        <f>'Table Games'!M9+Video!I7</f>
        <v>134241.97</v>
      </c>
    </row>
    <row r="11" spans="1:15" ht="15" customHeight="1" x14ac:dyDescent="0.25">
      <c r="A11" s="11">
        <f t="shared" ref="A11:A60" si="0">A10+7</f>
        <v>44758</v>
      </c>
      <c r="B11" s="8">
        <f>'Table Games'!B10</f>
        <v>-155109.5</v>
      </c>
      <c r="C11" s="8">
        <f>'Table Games'!C10</f>
        <v>17706</v>
      </c>
      <c r="D11" s="8">
        <f>'Table Games'!D10</f>
        <v>0</v>
      </c>
      <c r="E11" s="8">
        <f>'Table Games'!E10</f>
        <v>0</v>
      </c>
      <c r="F11" s="8">
        <f>'Table Games'!F10</f>
        <v>0</v>
      </c>
      <c r="G11" s="8">
        <f>'Table Games'!G10</f>
        <v>12615</v>
      </c>
      <c r="H11" s="8">
        <f>'Table Games'!H10</f>
        <v>0</v>
      </c>
      <c r="I11" s="8">
        <f>'Table Games'!I10</f>
        <v>16358</v>
      </c>
      <c r="J11" s="8">
        <f>'Table Games'!J10</f>
        <v>-108430.5</v>
      </c>
      <c r="K11" s="8">
        <f>Video!E8</f>
        <v>47999.819999999832</v>
      </c>
      <c r="L11" s="8">
        <f>'Table Games'!K10+Video!F8</f>
        <v>-15249.220000000001</v>
      </c>
      <c r="M11" s="8">
        <f>'Table Games'!L10+Video!G8</f>
        <v>2738.4500000000007</v>
      </c>
      <c r="N11" s="8">
        <f>Video!H8</f>
        <v>2255.9899999999998</v>
      </c>
      <c r="O11" s="8">
        <f>'Table Games'!M10+Video!I8</f>
        <v>-50175.900000000009</v>
      </c>
    </row>
    <row r="12" spans="1:15" ht="15" customHeight="1" x14ac:dyDescent="0.25">
      <c r="A12" s="11">
        <f t="shared" si="0"/>
        <v>44765</v>
      </c>
      <c r="B12" s="8">
        <f>'Table Games'!B11</f>
        <v>-121351</v>
      </c>
      <c r="C12" s="8">
        <f>'Table Games'!C11</f>
        <v>21101</v>
      </c>
      <c r="D12" s="8">
        <f>'Table Games'!D11</f>
        <v>0</v>
      </c>
      <c r="E12" s="8">
        <f>'Table Games'!E11</f>
        <v>0</v>
      </c>
      <c r="F12" s="8">
        <f>'Table Games'!F11</f>
        <v>0</v>
      </c>
      <c r="G12" s="8">
        <f>'Table Games'!G11</f>
        <v>-11996</v>
      </c>
      <c r="H12" s="8">
        <f>'Table Games'!H11</f>
        <v>0</v>
      </c>
      <c r="I12" s="8">
        <f>'Table Games'!I11</f>
        <v>8245</v>
      </c>
      <c r="J12" s="8">
        <f>'Table Games'!J11</f>
        <v>-104001</v>
      </c>
      <c r="K12" s="8">
        <f>Video!E9</f>
        <v>90137.849999999744</v>
      </c>
      <c r="L12" s="8">
        <f>'Table Games'!K11+Video!F9</f>
        <v>1249.3300000000017</v>
      </c>
      <c r="M12" s="8">
        <f>'Table Games'!L11+Video!G9</f>
        <v>10123.39</v>
      </c>
      <c r="N12" s="8">
        <f>Video!H9</f>
        <v>4236.4799999999996</v>
      </c>
      <c r="O12" s="8">
        <f>'Table Games'!M11+Video!I9</f>
        <v>-29472.35</v>
      </c>
    </row>
    <row r="13" spans="1:15" ht="15" customHeight="1" x14ac:dyDescent="0.25">
      <c r="A13" s="11">
        <f t="shared" si="0"/>
        <v>44772</v>
      </c>
      <c r="B13" s="8">
        <f>'Table Games'!B12</f>
        <v>49953</v>
      </c>
      <c r="C13" s="8">
        <f>'Table Games'!C12</f>
        <v>14311</v>
      </c>
      <c r="D13" s="8">
        <f>'Table Games'!D12</f>
        <v>0</v>
      </c>
      <c r="E13" s="8">
        <f>'Table Games'!E12</f>
        <v>0</v>
      </c>
      <c r="F13" s="8">
        <f>'Table Games'!F12</f>
        <v>0</v>
      </c>
      <c r="G13" s="8">
        <f>'Table Games'!G12</f>
        <v>29358</v>
      </c>
      <c r="H13" s="8">
        <f>'Table Games'!H12</f>
        <v>0</v>
      </c>
      <c r="I13" s="8">
        <f>'Table Games'!I12</f>
        <v>17255</v>
      </c>
      <c r="J13" s="8">
        <f>'Table Games'!J12</f>
        <v>110877</v>
      </c>
      <c r="K13" s="8">
        <f>Video!E10</f>
        <v>50065.459999999963</v>
      </c>
      <c r="L13" s="8">
        <f>'Table Games'!K12+Video!F10</f>
        <v>51286.66</v>
      </c>
      <c r="M13" s="8">
        <f>'Table Games'!L12+Video!G10</f>
        <v>14054.98</v>
      </c>
      <c r="N13" s="8">
        <f>Video!H10</f>
        <v>2353.08</v>
      </c>
      <c r="O13" s="8">
        <f>'Table Games'!M12+Video!I10</f>
        <v>93247.74</v>
      </c>
    </row>
    <row r="14" spans="1:15" ht="15" customHeight="1" x14ac:dyDescent="0.25">
      <c r="A14" s="11">
        <f t="shared" si="0"/>
        <v>44779</v>
      </c>
      <c r="B14" s="8">
        <f>'Table Games'!B13</f>
        <v>106816.5</v>
      </c>
      <c r="C14" s="8">
        <f>'Table Games'!C13</f>
        <v>35931</v>
      </c>
      <c r="D14" s="8">
        <f>'Table Games'!D13</f>
        <v>0</v>
      </c>
      <c r="E14" s="8">
        <f>'Table Games'!E13</f>
        <v>0</v>
      </c>
      <c r="F14" s="8">
        <f>'Table Games'!F13</f>
        <v>0</v>
      </c>
      <c r="G14" s="8">
        <f>'Table Games'!G13</f>
        <v>1642</v>
      </c>
      <c r="H14" s="8">
        <f>'Table Games'!H13</f>
        <v>38470</v>
      </c>
      <c r="I14" s="8">
        <f>'Table Games'!I13</f>
        <v>8987</v>
      </c>
      <c r="J14" s="8">
        <f>'Table Games'!J13</f>
        <v>191846.5</v>
      </c>
      <c r="K14" s="8">
        <f>Video!E11</f>
        <v>112124</v>
      </c>
      <c r="L14" s="8">
        <f>'Table Games'!K13+Video!F11</f>
        <v>97918.609999999986</v>
      </c>
      <c r="M14" s="8">
        <f>'Table Games'!L13+Video!G11</f>
        <v>28653.4</v>
      </c>
      <c r="N14" s="8">
        <f>Video!H11</f>
        <v>5269.82</v>
      </c>
      <c r="O14" s="8">
        <f>'Table Games'!M13+Video!I11</f>
        <v>172128.66999999998</v>
      </c>
    </row>
    <row r="15" spans="1:15" ht="15" customHeight="1" x14ac:dyDescent="0.25">
      <c r="A15" s="11">
        <f t="shared" si="0"/>
        <v>44786</v>
      </c>
      <c r="B15" s="8">
        <f>'Table Games'!B14</f>
        <v>103044.5</v>
      </c>
      <c r="C15" s="8">
        <f>'Table Games'!C14</f>
        <v>41050</v>
      </c>
      <c r="D15" s="8">
        <f>'Table Games'!D14</f>
        <v>0</v>
      </c>
      <c r="E15" s="8">
        <f>'Table Games'!E14</f>
        <v>0</v>
      </c>
      <c r="F15" s="8">
        <f>'Table Games'!F14</f>
        <v>0</v>
      </c>
      <c r="G15" s="8">
        <f>'Table Games'!G14</f>
        <v>8062</v>
      </c>
      <c r="H15" s="8">
        <f>'Table Games'!H14</f>
        <v>0</v>
      </c>
      <c r="I15" s="8">
        <f>'Table Games'!I14</f>
        <v>14675</v>
      </c>
      <c r="J15" s="8">
        <f>'Table Games'!J14</f>
        <v>166831.5</v>
      </c>
      <c r="K15" s="8">
        <f>Video!E12</f>
        <v>38107.75</v>
      </c>
      <c r="L15" s="8">
        <f>'Table Games'!K14+Video!F12</f>
        <v>63768.229999999996</v>
      </c>
      <c r="M15" s="8">
        <f>'Table Games'!L14+Video!G12</f>
        <v>14819.91</v>
      </c>
      <c r="N15" s="8">
        <f>Video!H12</f>
        <v>1791.06</v>
      </c>
      <c r="O15" s="8">
        <f>'Table Games'!M14+Video!I12</f>
        <v>124560.05</v>
      </c>
    </row>
    <row r="16" spans="1:15" ht="15" customHeight="1" x14ac:dyDescent="0.25">
      <c r="A16" s="11">
        <f t="shared" si="0"/>
        <v>44793</v>
      </c>
      <c r="B16" s="8">
        <f>'Table Games'!B15</f>
        <v>143671.5</v>
      </c>
      <c r="C16" s="8">
        <f>'Table Games'!C15</f>
        <v>2692</v>
      </c>
      <c r="D16" s="8">
        <f>'Table Games'!D15</f>
        <v>377</v>
      </c>
      <c r="E16" s="8">
        <f>'Table Games'!E15</f>
        <v>0</v>
      </c>
      <c r="F16" s="8">
        <f>'Table Games'!F15</f>
        <v>0</v>
      </c>
      <c r="G16" s="8">
        <f>'Table Games'!G15</f>
        <v>44754</v>
      </c>
      <c r="H16" s="8">
        <f>'Table Games'!H15</f>
        <v>19600</v>
      </c>
      <c r="I16" s="8">
        <f>'Table Games'!I15</f>
        <v>9433</v>
      </c>
      <c r="J16" s="8">
        <f>'Table Games'!J15</f>
        <v>220527.5</v>
      </c>
      <c r="K16" s="8">
        <f>Video!E13</f>
        <v>57701.169999999925</v>
      </c>
      <c r="L16" s="8">
        <f>'Table Games'!K15+Video!F13</f>
        <v>86930.69</v>
      </c>
      <c r="M16" s="8">
        <f>'Table Games'!L15+Video!G13</f>
        <v>20835.580000000002</v>
      </c>
      <c r="N16" s="8">
        <f>Video!H13</f>
        <v>2711.9399999999996</v>
      </c>
      <c r="O16" s="8">
        <f>'Table Games'!M15+Video!I13</f>
        <v>167750.46</v>
      </c>
    </row>
    <row r="17" spans="1:15" ht="15" customHeight="1" x14ac:dyDescent="0.25">
      <c r="A17" s="11">
        <f t="shared" si="0"/>
        <v>44800</v>
      </c>
      <c r="B17" s="8">
        <f>'Table Games'!B16</f>
        <v>80672.5</v>
      </c>
      <c r="C17" s="8">
        <f>'Table Games'!C16</f>
        <v>13320</v>
      </c>
      <c r="D17" s="8">
        <f>'Table Games'!D16</f>
        <v>0</v>
      </c>
      <c r="E17" s="8">
        <f>'Table Games'!E16</f>
        <v>0</v>
      </c>
      <c r="F17" s="8">
        <f>'Table Games'!F16</f>
        <v>0</v>
      </c>
      <c r="G17" s="8">
        <f>'Table Games'!G16</f>
        <v>41753</v>
      </c>
      <c r="H17" s="8">
        <f>'Table Games'!H16</f>
        <v>0</v>
      </c>
      <c r="I17" s="8">
        <f>'Table Games'!I16</f>
        <v>464</v>
      </c>
      <c r="J17" s="8">
        <f>'Table Games'!J16</f>
        <v>136209.5</v>
      </c>
      <c r="K17" s="8">
        <f>Video!E14</f>
        <v>101586.77000000002</v>
      </c>
      <c r="L17" s="8">
        <f>'Table Games'!K16+Video!F14</f>
        <v>77434.079999999987</v>
      </c>
      <c r="M17" s="8">
        <f>'Table Games'!L16+Video!G14</f>
        <v>24080.239999999998</v>
      </c>
      <c r="N17" s="8">
        <f>Video!H14</f>
        <v>4774.58</v>
      </c>
      <c r="O17" s="8">
        <f>'Table Games'!M16+Video!I14</f>
        <v>131507.37</v>
      </c>
    </row>
    <row r="18" spans="1:15" ht="15" customHeight="1" x14ac:dyDescent="0.25">
      <c r="A18" s="11">
        <f t="shared" si="0"/>
        <v>44807</v>
      </c>
      <c r="B18" s="8">
        <f>'Table Games'!B17</f>
        <v>89070.5</v>
      </c>
      <c r="C18" s="8">
        <f>'Table Games'!C17</f>
        <v>25878</v>
      </c>
      <c r="D18" s="8">
        <f>'Table Games'!D17</f>
        <v>13021.75</v>
      </c>
      <c r="E18" s="8">
        <f>'Table Games'!E17</f>
        <v>0</v>
      </c>
      <c r="F18" s="8">
        <f>'Table Games'!F17</f>
        <v>0</v>
      </c>
      <c r="G18" s="8">
        <f>'Table Games'!G17</f>
        <v>8863</v>
      </c>
      <c r="H18" s="8">
        <f>'Table Games'!H17</f>
        <v>0</v>
      </c>
      <c r="I18" s="8">
        <f>'Table Games'!I17</f>
        <v>7834</v>
      </c>
      <c r="J18" s="8">
        <f>'Table Games'!J17</f>
        <v>144667.25</v>
      </c>
      <c r="K18" s="8">
        <f>Video!E15</f>
        <v>37163.399999999907</v>
      </c>
      <c r="L18" s="8">
        <f>'Table Games'!K17+Video!F15</f>
        <v>56778.99</v>
      </c>
      <c r="M18" s="8">
        <f>'Table Games'!L17+Video!G15</f>
        <v>13551.15</v>
      </c>
      <c r="N18" s="8">
        <f>Video!H15</f>
        <v>1746.68</v>
      </c>
      <c r="O18" s="8">
        <f>'Table Games'!M17+Video!I15</f>
        <v>109753.83</v>
      </c>
    </row>
    <row r="19" spans="1:15" ht="15" customHeight="1" x14ac:dyDescent="0.25">
      <c r="A19" s="11">
        <f t="shared" si="0"/>
        <v>44814</v>
      </c>
      <c r="B19" s="8">
        <f>'Table Games'!B18</f>
        <v>22850</v>
      </c>
      <c r="C19" s="8">
        <f>'Table Games'!C18</f>
        <v>18525</v>
      </c>
      <c r="D19" s="8">
        <f>'Table Games'!D18</f>
        <v>0</v>
      </c>
      <c r="E19" s="8">
        <f>'Table Games'!E18</f>
        <v>0</v>
      </c>
      <c r="F19" s="8">
        <f>'Table Games'!F18</f>
        <v>0</v>
      </c>
      <c r="G19" s="8">
        <f>'Table Games'!G18</f>
        <v>-1896</v>
      </c>
      <c r="H19" s="8">
        <f>'Table Games'!H18</f>
        <v>0</v>
      </c>
      <c r="I19" s="8">
        <f>'Table Games'!I18</f>
        <v>5578</v>
      </c>
      <c r="J19" s="8">
        <f>'Table Games'!J18</f>
        <v>45057</v>
      </c>
      <c r="K19" s="8">
        <f>Video!E16</f>
        <v>114694.17999999993</v>
      </c>
      <c r="L19" s="8">
        <f>'Table Games'!K18+Video!F16</f>
        <v>54806.99</v>
      </c>
      <c r="M19" s="8">
        <f>'Table Games'!L18+Video!G16</f>
        <v>21750.869999999995</v>
      </c>
      <c r="N19" s="8">
        <f>Video!H16</f>
        <v>5390.63</v>
      </c>
      <c r="O19" s="8">
        <f>'Table Games'!M18+Video!I16</f>
        <v>77802.69</v>
      </c>
    </row>
    <row r="20" spans="1:15" ht="15" customHeight="1" x14ac:dyDescent="0.25">
      <c r="A20" s="11">
        <f t="shared" si="0"/>
        <v>44821</v>
      </c>
      <c r="B20" s="8">
        <f>'Table Games'!B19</f>
        <v>-14133.5</v>
      </c>
      <c r="C20" s="8">
        <f>'Table Games'!C19</f>
        <v>2789</v>
      </c>
      <c r="D20" s="8">
        <f>'Table Games'!D19</f>
        <v>0</v>
      </c>
      <c r="E20" s="8">
        <f>'Table Games'!E19</f>
        <v>0</v>
      </c>
      <c r="F20" s="8">
        <f>'Table Games'!F19</f>
        <v>0</v>
      </c>
      <c r="G20" s="8">
        <f>'Table Games'!G19</f>
        <v>11648</v>
      </c>
      <c r="H20" s="8">
        <f>'Table Games'!H19</f>
        <v>0</v>
      </c>
      <c r="I20" s="8">
        <f>'Table Games'!I19</f>
        <v>-2922</v>
      </c>
      <c r="J20" s="8">
        <f>'Table Games'!J19</f>
        <v>-2618.5</v>
      </c>
      <c r="K20" s="8">
        <f>Video!E17</f>
        <v>42490.289999999921</v>
      </c>
      <c r="L20" s="8">
        <f>'Table Games'!K19+Video!F17</f>
        <v>14510.95</v>
      </c>
      <c r="M20" s="8">
        <f>'Table Games'!L19+Video!G17</f>
        <v>7092.42</v>
      </c>
      <c r="N20" s="8">
        <f>Video!H17</f>
        <v>1997.05</v>
      </c>
      <c r="O20" s="8">
        <f>'Table Games'!M19+Video!I17</f>
        <v>16271.369999999999</v>
      </c>
    </row>
    <row r="21" spans="1:15" ht="15" customHeight="1" x14ac:dyDescent="0.25">
      <c r="A21" s="11">
        <f t="shared" si="0"/>
        <v>44828</v>
      </c>
      <c r="B21" s="8">
        <f>'Table Games'!B20</f>
        <v>233880</v>
      </c>
      <c r="C21" s="8">
        <f>'Table Games'!C20</f>
        <v>20914</v>
      </c>
      <c r="D21" s="8">
        <f>'Table Games'!D20</f>
        <v>0</v>
      </c>
      <c r="E21" s="8">
        <f>'Table Games'!E20</f>
        <v>0</v>
      </c>
      <c r="F21" s="8">
        <f>'Table Games'!F20</f>
        <v>0</v>
      </c>
      <c r="G21" s="8">
        <f>'Table Games'!G20</f>
        <v>48038</v>
      </c>
      <c r="H21" s="8">
        <f>'Table Games'!H20</f>
        <v>0</v>
      </c>
      <c r="I21" s="8">
        <f>'Table Games'!I20</f>
        <v>13428</v>
      </c>
      <c r="J21" s="8">
        <f>'Table Games'!J20</f>
        <v>316260</v>
      </c>
      <c r="K21" s="8">
        <f>Video!E18</f>
        <v>23299.319999999832</v>
      </c>
      <c r="L21" s="8">
        <f>'Table Games'!K20+Video!F18</f>
        <v>103265.75</v>
      </c>
      <c r="M21" s="8">
        <f>'Table Games'!L20+Video!G18</f>
        <v>19773.89</v>
      </c>
      <c r="N21" s="8">
        <f>Video!H18</f>
        <v>1095.07</v>
      </c>
      <c r="O21" s="8">
        <f>'Table Games'!M20+Video!I18</f>
        <v>215424.61</v>
      </c>
    </row>
    <row r="22" spans="1:15" ht="15" customHeight="1" x14ac:dyDescent="0.25">
      <c r="A22" s="11">
        <f t="shared" si="0"/>
        <v>44835</v>
      </c>
      <c r="B22" s="8">
        <f>'Table Games'!B21</f>
        <v>175916</v>
      </c>
      <c r="C22" s="8">
        <f>'Table Games'!C21</f>
        <v>16307</v>
      </c>
      <c r="D22" s="8">
        <f>'Table Games'!D21</f>
        <v>0</v>
      </c>
      <c r="E22" s="8">
        <f>'Table Games'!E21</f>
        <v>0</v>
      </c>
      <c r="F22" s="8">
        <f>'Table Games'!F21</f>
        <v>0</v>
      </c>
      <c r="G22" s="8">
        <f>'Table Games'!G21</f>
        <v>24769</v>
      </c>
      <c r="H22" s="8">
        <f>'Table Games'!H21</f>
        <v>0</v>
      </c>
      <c r="I22" s="8">
        <f>'Table Games'!I21</f>
        <v>-2248</v>
      </c>
      <c r="J22" s="8">
        <f>'Table Games'!J21</f>
        <v>214744</v>
      </c>
      <c r="K22" s="8">
        <f>Video!E19</f>
        <v>81412.899999999907</v>
      </c>
      <c r="L22" s="8">
        <f>'Table Games'!K21+Video!F19</f>
        <v>93731.839999999997</v>
      </c>
      <c r="M22" s="8">
        <f>'Table Games'!L21+Video!G19</f>
        <v>24577.39</v>
      </c>
      <c r="N22" s="8">
        <f>Video!H19</f>
        <v>3826.41</v>
      </c>
      <c r="O22" s="8">
        <f>'Table Games'!M21+Video!I19</f>
        <v>174021.26</v>
      </c>
    </row>
    <row r="23" spans="1:15" ht="15" customHeight="1" x14ac:dyDescent="0.25">
      <c r="A23" s="11">
        <f t="shared" si="0"/>
        <v>44842</v>
      </c>
      <c r="B23" s="8">
        <f>'Table Games'!B22</f>
        <v>62474</v>
      </c>
      <c r="C23" s="8">
        <f>'Table Games'!C22</f>
        <v>2403</v>
      </c>
      <c r="D23" s="8">
        <f>'Table Games'!D22</f>
        <v>0</v>
      </c>
      <c r="E23" s="8">
        <f>'Table Games'!E22</f>
        <v>0</v>
      </c>
      <c r="F23" s="8">
        <f>'Table Games'!F22</f>
        <v>0</v>
      </c>
      <c r="G23" s="8">
        <f>'Table Games'!G22</f>
        <v>8388</v>
      </c>
      <c r="H23" s="8">
        <f>'Table Games'!H22</f>
        <v>0</v>
      </c>
      <c r="I23" s="8">
        <f>'Table Games'!I22</f>
        <v>16059</v>
      </c>
      <c r="J23" s="8">
        <f>'Table Games'!J22</f>
        <v>89324</v>
      </c>
      <c r="K23" s="8">
        <f>Video!E20</f>
        <v>75893.34999999986</v>
      </c>
      <c r="L23" s="8">
        <f>'Table Games'!K22+Video!F20</f>
        <v>54118.81</v>
      </c>
      <c r="M23" s="8">
        <f>'Table Games'!L22+Video!G20</f>
        <v>17368.07</v>
      </c>
      <c r="N23" s="8">
        <f>Video!H20</f>
        <v>3566.99</v>
      </c>
      <c r="O23" s="8">
        <f>'Table Games'!M22+Video!I20</f>
        <v>90163.48</v>
      </c>
    </row>
    <row r="24" spans="1:15" ht="15" customHeight="1" x14ac:dyDescent="0.25">
      <c r="A24" s="11">
        <f t="shared" si="0"/>
        <v>44849</v>
      </c>
      <c r="B24" s="8">
        <f>'Table Games'!B23</f>
        <v>15674</v>
      </c>
      <c r="C24" s="8">
        <f>'Table Games'!C23</f>
        <v>6269</v>
      </c>
      <c r="D24" s="8">
        <f>'Table Games'!D23</f>
        <v>0</v>
      </c>
      <c r="E24" s="8">
        <f>'Table Games'!E23</f>
        <v>0</v>
      </c>
      <c r="F24" s="8">
        <f>'Table Games'!F23</f>
        <v>85</v>
      </c>
      <c r="G24" s="8">
        <f>'Table Games'!G23</f>
        <v>80945</v>
      </c>
      <c r="H24" s="8">
        <f>'Table Games'!H23</f>
        <v>9650</v>
      </c>
      <c r="I24" s="8">
        <f>'Table Games'!I23</f>
        <v>692</v>
      </c>
      <c r="J24" s="8">
        <f>'Table Games'!J23</f>
        <v>113315</v>
      </c>
      <c r="K24" s="8">
        <f>Video!E21</f>
        <v>97518.239999999758</v>
      </c>
      <c r="L24" s="8">
        <f>'Table Games'!K23+Video!F21</f>
        <v>69101.070000000007</v>
      </c>
      <c r="M24" s="8">
        <f>'Table Games'!L23+Video!G21</f>
        <v>22243.85</v>
      </c>
      <c r="N24" s="8">
        <f>Video!H21</f>
        <v>4583.3599999999997</v>
      </c>
      <c r="O24" s="8">
        <f>'Table Games'!M23+Video!I21</f>
        <v>114904.95999999999</v>
      </c>
    </row>
    <row r="25" spans="1:15" ht="15" customHeight="1" x14ac:dyDescent="0.25">
      <c r="A25" s="11">
        <f t="shared" si="0"/>
        <v>44856</v>
      </c>
      <c r="B25" s="8">
        <f>'Table Games'!B24</f>
        <v>195218</v>
      </c>
      <c r="C25" s="8">
        <f>'Table Games'!C24</f>
        <v>-1187</v>
      </c>
      <c r="D25" s="8">
        <f>'Table Games'!D24</f>
        <v>0</v>
      </c>
      <c r="E25" s="8">
        <f>'Table Games'!E24</f>
        <v>0</v>
      </c>
      <c r="F25" s="8">
        <f>'Table Games'!F24</f>
        <v>90</v>
      </c>
      <c r="G25" s="8">
        <f>'Table Games'!G24</f>
        <v>18513</v>
      </c>
      <c r="H25" s="8">
        <f>'Table Games'!H24</f>
        <v>0</v>
      </c>
      <c r="I25" s="8">
        <f>'Table Games'!I24</f>
        <v>1291</v>
      </c>
      <c r="J25" s="8">
        <f>'Table Games'!J24</f>
        <v>213925</v>
      </c>
      <c r="K25" s="8">
        <f>Video!E22</f>
        <v>84635.860000000102</v>
      </c>
      <c r="L25" s="8">
        <f>'Table Games'!K24+Video!F22</f>
        <v>94646.43</v>
      </c>
      <c r="M25" s="8">
        <f>'Table Games'!L24+Video!G22</f>
        <v>25084.35</v>
      </c>
      <c r="N25" s="8">
        <f>Video!H22</f>
        <v>3977.87</v>
      </c>
      <c r="O25" s="8">
        <f>'Table Games'!M24+Video!I22</f>
        <v>174852.21</v>
      </c>
    </row>
    <row r="26" spans="1:15" ht="15" customHeight="1" x14ac:dyDescent="0.25">
      <c r="A26" s="11">
        <f t="shared" si="0"/>
        <v>44863</v>
      </c>
      <c r="B26" s="8">
        <f>'Table Games'!B25</f>
        <v>44633.5</v>
      </c>
      <c r="C26" s="8">
        <f>'Table Games'!C25</f>
        <v>-12140</v>
      </c>
      <c r="D26" s="8">
        <f>'Table Games'!D25</f>
        <v>0</v>
      </c>
      <c r="E26" s="8">
        <f>'Table Games'!E25</f>
        <v>0</v>
      </c>
      <c r="F26" s="8">
        <f>'Table Games'!F25</f>
        <v>80</v>
      </c>
      <c r="G26" s="8">
        <f>'Table Games'!G25</f>
        <v>87834</v>
      </c>
      <c r="H26" s="8">
        <f>'Table Games'!H25</f>
        <v>0</v>
      </c>
      <c r="I26" s="8">
        <f>'Table Games'!I25</f>
        <v>7587</v>
      </c>
      <c r="J26" s="8">
        <f>'Table Games'!J25</f>
        <v>127994.5</v>
      </c>
      <c r="K26" s="8">
        <f>Video!E23</f>
        <v>134870.64999999991</v>
      </c>
      <c r="L26" s="8">
        <f>'Table Games'!K25+Video!F23</f>
        <v>86951.78</v>
      </c>
      <c r="M26" s="8">
        <f>'Table Games'!L25+Video!G23</f>
        <v>29327.739999999998</v>
      </c>
      <c r="N26" s="8">
        <f>Video!H23</f>
        <v>6338.92</v>
      </c>
      <c r="O26" s="8">
        <f>'Table Games'!M25+Video!I23</f>
        <v>140246.71</v>
      </c>
    </row>
    <row r="27" spans="1:15" ht="15" customHeight="1" x14ac:dyDescent="0.25">
      <c r="A27" s="11">
        <f t="shared" si="0"/>
        <v>44870</v>
      </c>
      <c r="B27" s="8">
        <f>'Table Games'!B26</f>
        <v>44194</v>
      </c>
      <c r="C27" s="8">
        <f>'Table Games'!C26</f>
        <v>12376</v>
      </c>
      <c r="D27" s="8">
        <f>'Table Games'!D26</f>
        <v>0</v>
      </c>
      <c r="E27" s="8">
        <f>'Table Games'!E26</f>
        <v>0</v>
      </c>
      <c r="F27" s="8">
        <f>'Table Games'!F26</f>
        <v>90</v>
      </c>
      <c r="G27" s="8">
        <f>'Table Games'!G26</f>
        <v>13881</v>
      </c>
      <c r="H27" s="8">
        <f>'Table Games'!H26</f>
        <v>0</v>
      </c>
      <c r="I27" s="8">
        <f>'Table Games'!I26</f>
        <v>9938</v>
      </c>
      <c r="J27" s="8">
        <f>'Table Games'!J26</f>
        <v>80479</v>
      </c>
      <c r="K27" s="8">
        <f>Video!E24</f>
        <v>114743.34999999986</v>
      </c>
      <c r="L27" s="8">
        <f>'Table Games'!K26+Video!F24</f>
        <v>65451.31</v>
      </c>
      <c r="M27" s="8">
        <f>'Table Games'!L26+Video!G24</f>
        <v>23530.32</v>
      </c>
      <c r="N27" s="8">
        <f>Video!H24</f>
        <v>5392.9299999999994</v>
      </c>
      <c r="O27" s="8">
        <f>'Table Games'!M26+Video!I24</f>
        <v>100847.79000000001</v>
      </c>
    </row>
    <row r="28" spans="1:15" ht="15" customHeight="1" x14ac:dyDescent="0.25">
      <c r="A28" s="11">
        <f t="shared" si="0"/>
        <v>44877</v>
      </c>
      <c r="B28" s="8">
        <f>'Table Games'!B27</f>
        <v>101083.5</v>
      </c>
      <c r="C28" s="8">
        <f>'Table Games'!C27</f>
        <v>-907</v>
      </c>
      <c r="D28" s="8">
        <f>'Table Games'!D27</f>
        <v>0</v>
      </c>
      <c r="E28" s="8">
        <f>'Table Games'!E27</f>
        <v>0</v>
      </c>
      <c r="F28" s="8">
        <f>'Table Games'!F27</f>
        <v>105</v>
      </c>
      <c r="G28" s="8">
        <f>'Table Games'!G27</f>
        <v>375</v>
      </c>
      <c r="H28" s="8">
        <f>'Table Games'!H27</f>
        <v>0</v>
      </c>
      <c r="I28" s="8">
        <f>'Table Games'!I27</f>
        <v>10697</v>
      </c>
      <c r="J28" s="8">
        <f>'Table Games'!J27</f>
        <v>111353.5</v>
      </c>
      <c r="K28" s="8">
        <f>Video!E25</f>
        <v>82476.570000000065</v>
      </c>
      <c r="L28" s="8">
        <f>'Table Games'!K27+Video!F25</f>
        <v>63097.600000000006</v>
      </c>
      <c r="M28" s="8">
        <f>'Table Games'!L27+Video!G25</f>
        <v>19588.71</v>
      </c>
      <c r="N28" s="8">
        <f>Video!H25</f>
        <v>3876.39</v>
      </c>
      <c r="O28" s="8">
        <f>'Table Games'!M27+Video!I25</f>
        <v>107267.37</v>
      </c>
    </row>
    <row r="29" spans="1:15" ht="15" customHeight="1" x14ac:dyDescent="0.25">
      <c r="A29" s="11">
        <f t="shared" si="0"/>
        <v>44884</v>
      </c>
      <c r="B29" s="8">
        <f>'Table Games'!B28</f>
        <v>30183.5</v>
      </c>
      <c r="C29" s="8">
        <f>'Table Games'!C28</f>
        <v>-43424</v>
      </c>
      <c r="D29" s="8">
        <f>'Table Games'!D28</f>
        <v>0</v>
      </c>
      <c r="E29" s="8">
        <f>'Table Games'!E28</f>
        <v>0</v>
      </c>
      <c r="F29" s="8">
        <f>'Table Games'!F28</f>
        <v>90</v>
      </c>
      <c r="G29" s="8">
        <f>'Table Games'!G28</f>
        <v>27723.5</v>
      </c>
      <c r="H29" s="8">
        <f>'Table Games'!H28</f>
        <v>0</v>
      </c>
      <c r="I29" s="8">
        <f>'Table Games'!I28</f>
        <v>-18191</v>
      </c>
      <c r="J29" s="8">
        <f>'Table Games'!J28</f>
        <v>-3618</v>
      </c>
      <c r="K29" s="8">
        <f>Video!E26</f>
        <v>75570.389999999898</v>
      </c>
      <c r="L29" s="8">
        <f>'Table Games'!K28+Video!F26</f>
        <v>26119.919999999998</v>
      </c>
      <c r="M29" s="8">
        <f>'Table Games'!L28+Video!G26</f>
        <v>12666.08</v>
      </c>
      <c r="N29" s="8">
        <f>Video!H26</f>
        <v>3551.81</v>
      </c>
      <c r="O29" s="8">
        <f>'Table Games'!M28+Video!I26</f>
        <v>29614.579999999998</v>
      </c>
    </row>
    <row r="30" spans="1:15" ht="15" customHeight="1" x14ac:dyDescent="0.25">
      <c r="A30" s="11">
        <f t="shared" si="0"/>
        <v>44891</v>
      </c>
      <c r="B30" s="8">
        <f>'Table Games'!B29</f>
        <v>131884</v>
      </c>
      <c r="C30" s="8">
        <f>'Table Games'!C29</f>
        <v>-18029</v>
      </c>
      <c r="D30" s="8">
        <f>'Table Games'!D29</f>
        <v>55350</v>
      </c>
      <c r="E30" s="8">
        <f>'Table Games'!E29</f>
        <v>0</v>
      </c>
      <c r="F30" s="8">
        <f>'Table Games'!F29</f>
        <v>50</v>
      </c>
      <c r="G30" s="8">
        <f>'Table Games'!G29</f>
        <v>61416.5</v>
      </c>
      <c r="H30" s="8">
        <f>'Table Games'!H29</f>
        <v>-12122</v>
      </c>
      <c r="I30" s="8">
        <f>'Table Games'!I29</f>
        <v>10021</v>
      </c>
      <c r="J30" s="8">
        <f>'Table Games'!J29</f>
        <v>228570.5</v>
      </c>
      <c r="K30" s="8">
        <f>Video!E27</f>
        <v>80336.100000000093</v>
      </c>
      <c r="L30" s="8">
        <f>'Table Games'!K29+Video!F27</f>
        <v>97492.15</v>
      </c>
      <c r="M30" s="8">
        <f>'Table Games'!L29+Video!G27</f>
        <v>25085.67</v>
      </c>
      <c r="N30" s="8">
        <f>Video!H27</f>
        <v>3775.79</v>
      </c>
      <c r="O30" s="8">
        <f>'Table Games'!M29+Video!I27</f>
        <v>182552.99</v>
      </c>
    </row>
    <row r="31" spans="1:15" ht="15" customHeight="1" x14ac:dyDescent="0.25">
      <c r="A31" s="11">
        <f t="shared" si="0"/>
        <v>44898</v>
      </c>
      <c r="B31" s="8">
        <f>'Table Games'!B30</f>
        <v>157258</v>
      </c>
      <c r="C31" s="8">
        <f>'Table Games'!C30</f>
        <v>12818</v>
      </c>
      <c r="D31" s="8">
        <f>'Table Games'!D30</f>
        <v>-10432.5</v>
      </c>
      <c r="E31" s="8">
        <f>'Table Games'!E30</f>
        <v>0</v>
      </c>
      <c r="F31" s="8">
        <f>'Table Games'!F30</f>
        <v>60</v>
      </c>
      <c r="G31" s="8">
        <f>'Table Games'!G30</f>
        <v>13720</v>
      </c>
      <c r="H31" s="8">
        <f>'Table Games'!H30</f>
        <v>1185</v>
      </c>
      <c r="I31" s="8">
        <f>'Table Games'!I30</f>
        <v>2248</v>
      </c>
      <c r="J31" s="8">
        <f>'Table Games'!J30</f>
        <v>176856.5</v>
      </c>
      <c r="K31" s="8">
        <f>Video!E28</f>
        <v>91254.580000000075</v>
      </c>
      <c r="L31" s="8">
        <f>'Table Games'!K30+Video!F28</f>
        <v>85908.6</v>
      </c>
      <c r="M31" s="8">
        <f>'Table Games'!L30+Video!G28</f>
        <v>24356.11</v>
      </c>
      <c r="N31" s="8">
        <f>Video!H28</f>
        <v>4288.96</v>
      </c>
      <c r="O31" s="8">
        <f>'Table Games'!M30+Video!I28</f>
        <v>153557.41</v>
      </c>
    </row>
    <row r="32" spans="1:15" ht="15" customHeight="1" x14ac:dyDescent="0.25">
      <c r="A32" s="11">
        <f t="shared" si="0"/>
        <v>44905</v>
      </c>
      <c r="B32" s="8">
        <f>'Table Games'!B31</f>
        <v>71066</v>
      </c>
      <c r="C32" s="8">
        <f>'Table Games'!C31</f>
        <v>38384</v>
      </c>
      <c r="D32" s="8">
        <f>'Table Games'!D31</f>
        <v>0</v>
      </c>
      <c r="E32" s="8">
        <f>'Table Games'!E31</f>
        <v>0</v>
      </c>
      <c r="F32" s="8">
        <f>'Table Games'!F31</f>
        <v>0</v>
      </c>
      <c r="G32" s="8">
        <f>'Table Games'!G31</f>
        <v>16064</v>
      </c>
      <c r="H32" s="8">
        <f>'Table Games'!H31</f>
        <v>-7975</v>
      </c>
      <c r="I32" s="8">
        <f>'Table Games'!I31</f>
        <v>9971</v>
      </c>
      <c r="J32" s="8">
        <f>'Table Games'!J31</f>
        <v>127510</v>
      </c>
      <c r="K32" s="8">
        <f>Video!E29</f>
        <v>71630.800000000047</v>
      </c>
      <c r="L32" s="8">
        <f>'Table Games'!K31+Video!F29</f>
        <v>64040.11</v>
      </c>
      <c r="M32" s="8">
        <f>'Table Games'!L31+Video!G29</f>
        <v>18552.72</v>
      </c>
      <c r="N32" s="8">
        <f>Video!H29</f>
        <v>3366.64</v>
      </c>
      <c r="O32" s="8">
        <f>'Table Games'!M31+Video!I29</f>
        <v>113181.33</v>
      </c>
    </row>
    <row r="33" spans="1:15" ht="15" customHeight="1" x14ac:dyDescent="0.25">
      <c r="A33" s="11">
        <f t="shared" si="0"/>
        <v>44912</v>
      </c>
      <c r="B33" s="8">
        <f>'Table Games'!B32</f>
        <v>183048</v>
      </c>
      <c r="C33" s="8">
        <f>'Table Games'!C32</f>
        <v>-10654</v>
      </c>
      <c r="D33" s="8">
        <f>'Table Games'!D32</f>
        <v>0</v>
      </c>
      <c r="E33" s="8">
        <f>'Table Games'!E32</f>
        <v>0</v>
      </c>
      <c r="F33" s="8">
        <f>'Table Games'!F32</f>
        <v>0</v>
      </c>
      <c r="G33" s="8">
        <f>'Table Games'!G32</f>
        <v>54466</v>
      </c>
      <c r="H33" s="8">
        <f>'Table Games'!H32</f>
        <v>0</v>
      </c>
      <c r="I33" s="8">
        <f>'Table Games'!I32</f>
        <v>5361</v>
      </c>
      <c r="J33" s="8">
        <f>'Table Games'!J32</f>
        <v>232221</v>
      </c>
      <c r="K33" s="8">
        <f>Video!E30</f>
        <v>117958.0299999998</v>
      </c>
      <c r="L33" s="8">
        <f>'Table Games'!K32+Video!F30</f>
        <v>112131.19</v>
      </c>
      <c r="M33" s="8">
        <f>'Table Games'!L32+Video!G30</f>
        <v>31663.919999999998</v>
      </c>
      <c r="N33" s="8">
        <f>Video!H30</f>
        <v>5544.0199999999995</v>
      </c>
      <c r="O33" s="8">
        <f>'Table Games'!M32+Video!I30</f>
        <v>200839.9</v>
      </c>
    </row>
    <row r="34" spans="1:15" ht="15" customHeight="1" x14ac:dyDescent="0.25">
      <c r="A34" s="11">
        <f t="shared" si="0"/>
        <v>44919</v>
      </c>
      <c r="B34" s="8">
        <f>'Table Games'!B33</f>
        <v>67760.5</v>
      </c>
      <c r="C34" s="8">
        <f>'Table Games'!C33</f>
        <v>7770</v>
      </c>
      <c r="D34" s="8">
        <f>'Table Games'!D33</f>
        <v>0</v>
      </c>
      <c r="E34" s="8">
        <f>'Table Games'!E33</f>
        <v>0</v>
      </c>
      <c r="F34" s="8">
        <f>'Table Games'!F33</f>
        <v>0</v>
      </c>
      <c r="G34" s="8">
        <f>'Table Games'!G33</f>
        <v>13145</v>
      </c>
      <c r="H34" s="8">
        <f>'Table Games'!H33</f>
        <v>0</v>
      </c>
      <c r="I34" s="8">
        <f>'Table Games'!I33</f>
        <v>0</v>
      </c>
      <c r="J34" s="8">
        <f>'Table Games'!J33</f>
        <v>88675.5</v>
      </c>
      <c r="K34" s="8">
        <f>Video!E31</f>
        <v>98047.599999999977</v>
      </c>
      <c r="L34" s="8">
        <f>'Table Games'!K33+Video!F31</f>
        <v>61899.78</v>
      </c>
      <c r="M34" s="8">
        <f>'Table Games'!L33+Video!G31</f>
        <v>21101.87</v>
      </c>
      <c r="N34" s="8">
        <f>Video!H31</f>
        <v>4608.24</v>
      </c>
      <c r="O34" s="8">
        <f>'Table Games'!M33+Video!I31</f>
        <v>99113.209999999992</v>
      </c>
    </row>
    <row r="35" spans="1:15" ht="15" customHeight="1" x14ac:dyDescent="0.25">
      <c r="A35" s="11">
        <f t="shared" si="0"/>
        <v>44926</v>
      </c>
      <c r="B35" s="8">
        <f>'Table Games'!B34</f>
        <v>187503.5</v>
      </c>
      <c r="C35" s="8">
        <f>'Table Games'!C34</f>
        <v>3724</v>
      </c>
      <c r="D35" s="8">
        <f>'Table Games'!D34</f>
        <v>0</v>
      </c>
      <c r="E35" s="8">
        <f>'Table Games'!E34</f>
        <v>0</v>
      </c>
      <c r="F35" s="8">
        <f>'Table Games'!F34</f>
        <v>0</v>
      </c>
      <c r="G35" s="8">
        <f>'Table Games'!G34</f>
        <v>-610</v>
      </c>
      <c r="H35" s="8">
        <f>'Table Games'!H34</f>
        <v>0</v>
      </c>
      <c r="I35" s="8">
        <f>'Table Games'!I34</f>
        <v>2112</v>
      </c>
      <c r="J35" s="8">
        <f>'Table Games'!J34</f>
        <v>192729.5</v>
      </c>
      <c r="K35" s="8">
        <f>Video!E32</f>
        <v>114152.71999999974</v>
      </c>
      <c r="L35" s="8">
        <f>'Table Games'!K34+Video!F32</f>
        <v>98913.83</v>
      </c>
      <c r="M35" s="8">
        <f>'Table Games'!L34+Video!G32</f>
        <v>29042.44</v>
      </c>
      <c r="N35" s="8">
        <f>Video!H32</f>
        <v>5365.18</v>
      </c>
      <c r="O35" s="8">
        <f>'Table Games'!M34+Video!I32</f>
        <v>173560.77</v>
      </c>
    </row>
    <row r="36" spans="1:15" ht="15" customHeight="1" x14ac:dyDescent="0.25">
      <c r="A36" s="11">
        <f t="shared" si="0"/>
        <v>44933</v>
      </c>
      <c r="B36" s="8">
        <f>'Table Games'!B35</f>
        <v>-17285.5</v>
      </c>
      <c r="C36" s="8">
        <f>'Table Games'!C35</f>
        <v>3167</v>
      </c>
      <c r="D36" s="8">
        <f>'Table Games'!D35</f>
        <v>0</v>
      </c>
      <c r="E36" s="8">
        <f>'Table Games'!E35</f>
        <v>0</v>
      </c>
      <c r="F36" s="8">
        <f>'Table Games'!F35</f>
        <v>0</v>
      </c>
      <c r="G36" s="8">
        <f>'Table Games'!G35</f>
        <v>-10017</v>
      </c>
      <c r="H36" s="8">
        <f>'Table Games'!H35</f>
        <v>0</v>
      </c>
      <c r="I36" s="8">
        <f>'Table Games'!I35</f>
        <v>5318</v>
      </c>
      <c r="J36" s="8">
        <f>'Table Games'!J35</f>
        <v>-18817.5</v>
      </c>
      <c r="K36" s="8">
        <f>Video!E33</f>
        <v>72778.510000000009</v>
      </c>
      <c r="L36" s="8">
        <f>'Table Games'!K35+Video!F33</f>
        <v>20554.989999999998</v>
      </c>
      <c r="M36" s="8">
        <f>'Table Games'!L35+Video!G33</f>
        <v>11431.470000000001</v>
      </c>
      <c r="N36" s="8">
        <f>Video!H33</f>
        <v>3420.59</v>
      </c>
      <c r="O36" s="8">
        <f>'Table Games'!M35+Video!I33</f>
        <v>18553.960000000003</v>
      </c>
    </row>
    <row r="37" spans="1:15" ht="15" customHeight="1" x14ac:dyDescent="0.25">
      <c r="A37" s="11">
        <f t="shared" si="0"/>
        <v>44940</v>
      </c>
      <c r="B37" s="8">
        <f>'Table Games'!B36</f>
        <v>91442.5</v>
      </c>
      <c r="C37" s="8">
        <f>'Table Games'!C36</f>
        <v>10752</v>
      </c>
      <c r="D37" s="8">
        <f>'Table Games'!D36</f>
        <v>0</v>
      </c>
      <c r="E37" s="8">
        <f>'Table Games'!E36</f>
        <v>0</v>
      </c>
      <c r="F37" s="8">
        <f>'Table Games'!F36</f>
        <v>0</v>
      </c>
      <c r="G37" s="8">
        <f>'Table Games'!G36</f>
        <v>11608</v>
      </c>
      <c r="H37" s="8">
        <f>'Table Games'!H36</f>
        <v>510</v>
      </c>
      <c r="I37" s="8">
        <f>'Table Games'!I36</f>
        <v>1581</v>
      </c>
      <c r="J37" s="8">
        <f>'Table Games'!J36</f>
        <v>115893.5</v>
      </c>
      <c r="K37" s="8">
        <f>Video!E34</f>
        <v>65654.959999999963</v>
      </c>
      <c r="L37" s="8">
        <f>'Table Games'!K36+Video!F34</f>
        <v>58403.820000000007</v>
      </c>
      <c r="M37" s="8">
        <f>'Table Games'!L36+Video!G34</f>
        <v>16956.02</v>
      </c>
      <c r="N37" s="8">
        <f>Video!H34</f>
        <v>3085.8</v>
      </c>
      <c r="O37" s="8">
        <f>'Table Games'!M36+Video!I34</f>
        <v>103102.82</v>
      </c>
    </row>
    <row r="38" spans="1:15" ht="15" customHeight="1" x14ac:dyDescent="0.25">
      <c r="A38" s="11">
        <f t="shared" si="0"/>
        <v>44947</v>
      </c>
      <c r="B38" s="8">
        <f>'Table Games'!B37</f>
        <v>91489.5</v>
      </c>
      <c r="C38" s="8">
        <f>'Table Games'!C37</f>
        <v>0</v>
      </c>
      <c r="D38" s="8">
        <f>'Table Games'!D37</f>
        <v>0</v>
      </c>
      <c r="E38" s="8">
        <f>'Table Games'!E37</f>
        <v>0</v>
      </c>
      <c r="F38" s="8">
        <f>'Table Games'!F37</f>
        <v>0</v>
      </c>
      <c r="G38" s="8">
        <f>'Table Games'!G37</f>
        <v>9609</v>
      </c>
      <c r="H38" s="8">
        <f>'Table Games'!H37</f>
        <v>0</v>
      </c>
      <c r="I38" s="8">
        <f>'Table Games'!I37</f>
        <v>13499</v>
      </c>
      <c r="J38" s="8">
        <f>'Table Games'!J37</f>
        <v>114597.5</v>
      </c>
      <c r="K38" s="8">
        <f>Video!E35</f>
        <v>47388.820000000065</v>
      </c>
      <c r="L38" s="8">
        <f>'Table Games'!K37+Video!F35</f>
        <v>51439.22</v>
      </c>
      <c r="M38" s="8">
        <f>'Table Games'!L37+Video!G35</f>
        <v>13785.970000000001</v>
      </c>
      <c r="N38" s="8">
        <f>Video!H35</f>
        <v>2227.29</v>
      </c>
      <c r="O38" s="8">
        <f>'Table Games'!M37+Video!I35</f>
        <v>94533.840000000011</v>
      </c>
    </row>
    <row r="39" spans="1:15" ht="15" customHeight="1" x14ac:dyDescent="0.25">
      <c r="A39" s="11">
        <f t="shared" si="0"/>
        <v>44954</v>
      </c>
      <c r="B39" s="8">
        <f>'Table Games'!B38</f>
        <v>170162</v>
      </c>
      <c r="C39" s="8">
        <f>'Table Games'!C38</f>
        <v>0</v>
      </c>
      <c r="D39" s="8">
        <f>'Table Games'!D38</f>
        <v>-1157.5</v>
      </c>
      <c r="E39" s="8">
        <f>'Table Games'!E38</f>
        <v>0</v>
      </c>
      <c r="F39" s="8">
        <f>'Table Games'!F38</f>
        <v>0</v>
      </c>
      <c r="G39" s="8">
        <f>'Table Games'!G38</f>
        <v>14924</v>
      </c>
      <c r="H39" s="8">
        <f>'Table Games'!H38</f>
        <v>0</v>
      </c>
      <c r="I39" s="8">
        <f>'Table Games'!I38</f>
        <v>-7027</v>
      </c>
      <c r="J39" s="8">
        <f>'Table Games'!J38</f>
        <v>176901.5</v>
      </c>
      <c r="K39" s="8">
        <f>Video!E36</f>
        <v>31744.089999999967</v>
      </c>
      <c r="L39" s="8">
        <f>'Table Games'!K38+Video!F36</f>
        <v>64498.35</v>
      </c>
      <c r="M39" s="8">
        <f>'Table Games'!L38+Video!G36</f>
        <v>14241.57</v>
      </c>
      <c r="N39" s="8">
        <f>Video!H36</f>
        <v>1491.96</v>
      </c>
      <c r="O39" s="8">
        <f>'Table Games'!M38+Video!I36</f>
        <v>128413.71</v>
      </c>
    </row>
    <row r="40" spans="1:15" ht="15" customHeight="1" x14ac:dyDescent="0.25">
      <c r="A40" s="11">
        <f t="shared" si="0"/>
        <v>44961</v>
      </c>
      <c r="B40" s="8">
        <f>'Table Games'!B39</f>
        <v>70469</v>
      </c>
      <c r="C40" s="8">
        <f>'Table Games'!C39</f>
        <v>0</v>
      </c>
      <c r="D40" s="8">
        <f>'Table Games'!D39</f>
        <v>0</v>
      </c>
      <c r="E40" s="8">
        <f>'Table Games'!E39</f>
        <v>0</v>
      </c>
      <c r="F40" s="8">
        <f>'Table Games'!F39</f>
        <v>110</v>
      </c>
      <c r="G40" s="8">
        <f>'Table Games'!G39</f>
        <v>2042</v>
      </c>
      <c r="H40" s="8">
        <f>'Table Games'!H39</f>
        <v>0</v>
      </c>
      <c r="I40" s="8">
        <f>'Table Games'!I39</f>
        <v>24849</v>
      </c>
      <c r="J40" s="8">
        <f>'Table Games'!J39</f>
        <v>97470</v>
      </c>
      <c r="K40" s="8">
        <f>Video!E37</f>
        <v>48118.489999999991</v>
      </c>
      <c r="L40" s="8">
        <f>'Table Games'!K39+Video!F37</f>
        <v>46563.67</v>
      </c>
      <c r="M40" s="8">
        <f>'Table Games'!L39+Video!G37</f>
        <v>13053.64</v>
      </c>
      <c r="N40" s="8">
        <f>Video!H37</f>
        <v>2261.56</v>
      </c>
      <c r="O40" s="8">
        <f>'Table Games'!M39+Video!I37</f>
        <v>83709.62</v>
      </c>
    </row>
    <row r="41" spans="1:15" ht="15" customHeight="1" x14ac:dyDescent="0.25">
      <c r="A41" s="11">
        <f t="shared" si="0"/>
        <v>44968</v>
      </c>
      <c r="B41" s="8">
        <f>'Table Games'!B40</f>
        <v>88289</v>
      </c>
      <c r="C41" s="8">
        <f>'Table Games'!C40</f>
        <v>3700</v>
      </c>
      <c r="D41" s="8">
        <f>'Table Games'!D40</f>
        <v>0</v>
      </c>
      <c r="E41" s="8">
        <f>'Table Games'!E40</f>
        <v>0</v>
      </c>
      <c r="F41" s="8">
        <f>'Table Games'!F40</f>
        <v>80</v>
      </c>
      <c r="G41" s="8">
        <f>'Table Games'!G40</f>
        <v>-994</v>
      </c>
      <c r="H41" s="8">
        <f>'Table Games'!H40</f>
        <v>0</v>
      </c>
      <c r="I41" s="8">
        <f>'Table Games'!I40</f>
        <v>10447</v>
      </c>
      <c r="J41" s="8">
        <f>'Table Games'!J40</f>
        <v>101522</v>
      </c>
      <c r="K41" s="8">
        <f>Video!E38</f>
        <v>23463.169999999925</v>
      </c>
      <c r="L41" s="8">
        <f>'Table Games'!K40+Video!F38</f>
        <v>38903.339999999997</v>
      </c>
      <c r="M41" s="8">
        <f>'Table Games'!L40+Video!G38</f>
        <v>9064.84</v>
      </c>
      <c r="N41" s="8">
        <f>Video!H38</f>
        <v>1102.77</v>
      </c>
      <c r="O41" s="8">
        <f>'Table Games'!M40+Video!I38</f>
        <v>75914.22</v>
      </c>
    </row>
    <row r="42" spans="1:15" ht="15" customHeight="1" x14ac:dyDescent="0.25">
      <c r="A42" s="11">
        <f t="shared" si="0"/>
        <v>44975</v>
      </c>
      <c r="B42" s="8">
        <f>'Table Games'!B41</f>
        <v>85891.5</v>
      </c>
      <c r="C42" s="8">
        <f>'Table Games'!C41</f>
        <v>-860</v>
      </c>
      <c r="D42" s="8">
        <f>'Table Games'!D41</f>
        <v>3515</v>
      </c>
      <c r="E42" s="8">
        <f>'Table Games'!E41</f>
        <v>0</v>
      </c>
      <c r="F42" s="8">
        <f>'Table Games'!F41</f>
        <v>90</v>
      </c>
      <c r="G42" s="8">
        <f>'Table Games'!G41</f>
        <v>26386</v>
      </c>
      <c r="H42" s="8">
        <f>'Table Games'!H41</f>
        <v>37640</v>
      </c>
      <c r="I42" s="8">
        <f>'Table Games'!I41</f>
        <v>8926</v>
      </c>
      <c r="J42" s="8">
        <f>'Table Games'!J41</f>
        <v>161588.5</v>
      </c>
      <c r="K42" s="8">
        <f>Video!E39</f>
        <v>101269.20000000019</v>
      </c>
      <c r="L42" s="8">
        <f>'Table Games'!K41+Video!F39</f>
        <v>84933.47</v>
      </c>
      <c r="M42" s="8">
        <f>'Table Games'!L41+Video!G39</f>
        <v>25295.199999999997</v>
      </c>
      <c r="N42" s="8">
        <f>Video!H39</f>
        <v>4759.6499999999996</v>
      </c>
      <c r="O42" s="8">
        <f>'Table Games'!M41+Video!I39</f>
        <v>147869.38</v>
      </c>
    </row>
    <row r="43" spans="1:15" ht="15" customHeight="1" x14ac:dyDescent="0.25">
      <c r="A43" s="11">
        <f t="shared" si="0"/>
        <v>44982</v>
      </c>
      <c r="B43" s="8">
        <f>'Table Games'!B42</f>
        <v>164594</v>
      </c>
      <c r="C43" s="8">
        <f>'Table Games'!C42</f>
        <v>0</v>
      </c>
      <c r="D43" s="8">
        <f>'Table Games'!D42</f>
        <v>-1010</v>
      </c>
      <c r="E43" s="8">
        <f>'Table Games'!E42</f>
        <v>0</v>
      </c>
      <c r="F43" s="8">
        <f>'Table Games'!F42</f>
        <v>85</v>
      </c>
      <c r="G43" s="8">
        <f>'Table Games'!G42</f>
        <v>27244</v>
      </c>
      <c r="H43" s="8">
        <f>'Table Games'!H42</f>
        <v>-4200</v>
      </c>
      <c r="I43" s="8">
        <f>'Table Games'!I42</f>
        <v>13373</v>
      </c>
      <c r="J43" s="8">
        <f>'Table Games'!J42</f>
        <v>200086</v>
      </c>
      <c r="K43" s="8">
        <f>Video!E40</f>
        <v>183989.62999999989</v>
      </c>
      <c r="L43" s="8">
        <f>'Table Games'!K42+Video!F40</f>
        <v>126262.08</v>
      </c>
      <c r="M43" s="8">
        <f>'Table Games'!L42+Video!G40</f>
        <v>41282.54</v>
      </c>
      <c r="N43" s="8">
        <f>Video!H40</f>
        <v>8647.5</v>
      </c>
      <c r="O43" s="8">
        <f>'Table Games'!M42+Video!I40</f>
        <v>207883.51</v>
      </c>
    </row>
    <row r="44" spans="1:15" ht="15" customHeight="1" x14ac:dyDescent="0.25">
      <c r="A44" s="11">
        <f t="shared" si="0"/>
        <v>44989</v>
      </c>
      <c r="B44" s="8">
        <f>'Table Games'!B43</f>
        <v>63634</v>
      </c>
      <c r="C44" s="8">
        <f>'Table Games'!C43</f>
        <v>0</v>
      </c>
      <c r="D44" s="8">
        <f>'Table Games'!D43</f>
        <v>-1062.5</v>
      </c>
      <c r="E44" s="8">
        <f>'Table Games'!E43</f>
        <v>0</v>
      </c>
      <c r="F44" s="8">
        <f>'Table Games'!F43</f>
        <v>95</v>
      </c>
      <c r="G44" s="8">
        <f>'Table Games'!G43</f>
        <v>9595</v>
      </c>
      <c r="H44" s="8">
        <f>'Table Games'!H43</f>
        <v>0</v>
      </c>
      <c r="I44" s="8">
        <f>'Table Games'!I43</f>
        <v>19608</v>
      </c>
      <c r="J44" s="8">
        <f>'Table Games'!J43</f>
        <v>91869.5</v>
      </c>
      <c r="K44" s="8">
        <f>Video!E41</f>
        <v>53964.559999999939</v>
      </c>
      <c r="L44" s="8">
        <f>'Table Games'!K43+Video!F41</f>
        <v>46988.08</v>
      </c>
      <c r="M44" s="8">
        <f>'Table Games'!L43+Video!G41</f>
        <v>13767.46</v>
      </c>
      <c r="N44" s="8">
        <f>Video!H41</f>
        <v>2536.34</v>
      </c>
      <c r="O44" s="8">
        <f>'Table Games'!M43+Video!I41</f>
        <v>82542.179999999993</v>
      </c>
    </row>
    <row r="45" spans="1:15" ht="15" customHeight="1" x14ac:dyDescent="0.25">
      <c r="A45" s="11">
        <f t="shared" si="0"/>
        <v>44996</v>
      </c>
      <c r="B45" s="8">
        <f>'Table Games'!B44</f>
        <v>-87502</v>
      </c>
      <c r="C45" s="8">
        <f>'Table Games'!C44</f>
        <v>-86</v>
      </c>
      <c r="D45" s="8">
        <f>'Table Games'!D44</f>
        <v>0</v>
      </c>
      <c r="E45" s="8">
        <f>'Table Games'!E44</f>
        <v>0</v>
      </c>
      <c r="F45" s="8">
        <f>'Table Games'!F44</f>
        <v>95</v>
      </c>
      <c r="G45" s="8">
        <f>'Table Games'!G44</f>
        <v>16920</v>
      </c>
      <c r="H45" s="8">
        <f>'Table Games'!H44</f>
        <v>0</v>
      </c>
      <c r="I45" s="8">
        <f>'Table Games'!I44</f>
        <v>12785</v>
      </c>
      <c r="J45" s="8">
        <f>'Table Games'!J44</f>
        <v>-57788</v>
      </c>
      <c r="K45" s="8">
        <f>Video!E42</f>
        <v>154527.08999999997</v>
      </c>
      <c r="L45" s="8">
        <f>'Table Games'!K44+Video!F42</f>
        <v>38293.35</v>
      </c>
      <c r="M45" s="8">
        <f>'Table Games'!L44+Video!G42</f>
        <v>23380.2</v>
      </c>
      <c r="N45" s="8">
        <f>Video!H42</f>
        <v>7262.7800000000007</v>
      </c>
      <c r="O45" s="8">
        <f>'Table Games'!M44+Video!I42</f>
        <v>27802.760000000002</v>
      </c>
    </row>
    <row r="46" spans="1:15" ht="15" customHeight="1" x14ac:dyDescent="0.25">
      <c r="A46" s="11">
        <f t="shared" si="0"/>
        <v>45003</v>
      </c>
      <c r="B46" s="8">
        <f>'Table Games'!B45</f>
        <v>-13745</v>
      </c>
      <c r="C46" s="8">
        <f>'Table Games'!C45</f>
        <v>-66358</v>
      </c>
      <c r="D46" s="8">
        <f>'Table Games'!D45</f>
        <v>0</v>
      </c>
      <c r="E46" s="8">
        <f>'Table Games'!E45</f>
        <v>0</v>
      </c>
      <c r="F46" s="8">
        <f>'Table Games'!F45</f>
        <v>85</v>
      </c>
      <c r="G46" s="8">
        <f>'Table Games'!G45</f>
        <v>7173</v>
      </c>
      <c r="H46" s="8">
        <f>'Table Games'!H45</f>
        <v>41115</v>
      </c>
      <c r="I46" s="8">
        <f>'Table Games'!I45</f>
        <v>14122</v>
      </c>
      <c r="J46" s="8">
        <f>'Table Games'!J45</f>
        <v>-17608</v>
      </c>
      <c r="K46" s="8">
        <f>Video!E43</f>
        <v>131086.80000000005</v>
      </c>
      <c r="L46" s="8">
        <f>'Table Games'!K45+Video!F43</f>
        <v>41908.839999999997</v>
      </c>
      <c r="M46" s="8">
        <f>'Table Games'!L45+Video!G43</f>
        <v>21404.359999999997</v>
      </c>
      <c r="N46" s="8">
        <f>Video!H43</f>
        <v>6161.08</v>
      </c>
      <c r="O46" s="8">
        <f>'Table Games'!M45+Video!I43</f>
        <v>44004.520000000004</v>
      </c>
    </row>
    <row r="47" spans="1:15" ht="15" customHeight="1" x14ac:dyDescent="0.25">
      <c r="A47" s="11">
        <f t="shared" si="0"/>
        <v>45010</v>
      </c>
      <c r="B47" s="8">
        <f>'Table Games'!B46</f>
        <v>148822.49699999997</v>
      </c>
      <c r="C47" s="8">
        <f>'Table Games'!C46</f>
        <v>8973</v>
      </c>
      <c r="D47" s="8">
        <f>'Table Games'!D46</f>
        <v>0</v>
      </c>
      <c r="E47" s="8">
        <f>'Table Games'!E46</f>
        <v>0</v>
      </c>
      <c r="F47" s="8">
        <f>'Table Games'!F46</f>
        <v>90</v>
      </c>
      <c r="G47" s="8">
        <f>'Table Games'!G46</f>
        <v>911</v>
      </c>
      <c r="H47" s="8">
        <f>'Table Games'!H46</f>
        <v>0</v>
      </c>
      <c r="I47" s="8">
        <f>'Table Games'!I46</f>
        <v>6125</v>
      </c>
      <c r="J47" s="8">
        <f>'Table Games'!J46</f>
        <v>164921.49699999997</v>
      </c>
      <c r="K47" s="8">
        <f>Video!E44</f>
        <v>35358.729999999865</v>
      </c>
      <c r="L47" s="8">
        <f>'Table Games'!K46+Video!F44</f>
        <v>62205.59</v>
      </c>
      <c r="M47" s="8">
        <f>'Table Games'!L46+Video!G44</f>
        <v>14257.05</v>
      </c>
      <c r="N47" s="8">
        <f>Video!H44</f>
        <v>1661.87</v>
      </c>
      <c r="O47" s="8">
        <f>'Table Games'!M46+Video!I44</f>
        <v>122155.72</v>
      </c>
    </row>
    <row r="48" spans="1:15" ht="15" customHeight="1" x14ac:dyDescent="0.25">
      <c r="A48" s="11">
        <f t="shared" si="0"/>
        <v>45017</v>
      </c>
      <c r="B48" s="8">
        <f>'Table Games'!B47</f>
        <v>15003</v>
      </c>
      <c r="C48" s="8">
        <f>'Table Games'!C47</f>
        <v>11673</v>
      </c>
      <c r="D48" s="8">
        <f>'Table Games'!D47</f>
        <v>0</v>
      </c>
      <c r="E48" s="8">
        <f>'Table Games'!E47</f>
        <v>0</v>
      </c>
      <c r="F48" s="8">
        <f>'Table Games'!F47</f>
        <v>0</v>
      </c>
      <c r="G48" s="8">
        <f>'Table Games'!G47</f>
        <v>1738</v>
      </c>
      <c r="H48" s="8">
        <f>'Table Games'!H47</f>
        <v>0</v>
      </c>
      <c r="I48" s="8">
        <f>'Table Games'!I47</f>
        <v>1255</v>
      </c>
      <c r="J48" s="8">
        <f>'Table Games'!J47</f>
        <v>29669</v>
      </c>
      <c r="K48" s="8">
        <f>Video!E45</f>
        <v>61481.479999999981</v>
      </c>
      <c r="L48" s="8">
        <f>'Table Games'!K47+Video!F45</f>
        <v>31034.030000000002</v>
      </c>
      <c r="M48" s="8">
        <f>'Table Games'!L47+Video!G45</f>
        <v>11935.300000000001</v>
      </c>
      <c r="N48" s="8">
        <f>Video!H45</f>
        <v>2889.63</v>
      </c>
      <c r="O48" s="8">
        <f>'Table Games'!M47+Video!I45</f>
        <v>45291.519999999997</v>
      </c>
    </row>
    <row r="49" spans="1:15" ht="15" customHeight="1" x14ac:dyDescent="0.25">
      <c r="A49" s="11">
        <f t="shared" si="0"/>
        <v>45024</v>
      </c>
      <c r="B49" s="8">
        <f>'Table Games'!B48</f>
        <v>31130</v>
      </c>
      <c r="C49" s="8">
        <f>'Table Games'!C48</f>
        <v>40787</v>
      </c>
      <c r="D49" s="8">
        <f>'Table Games'!D48</f>
        <v>6129.25</v>
      </c>
      <c r="E49" s="8">
        <f>'Table Games'!E48</f>
        <v>0</v>
      </c>
      <c r="F49" s="8">
        <f>'Table Games'!F48</f>
        <v>0</v>
      </c>
      <c r="G49" s="8">
        <f>'Table Games'!G48</f>
        <v>8114</v>
      </c>
      <c r="H49" s="8">
        <f>'Table Games'!H48</f>
        <v>0</v>
      </c>
      <c r="I49" s="8">
        <f>'Table Games'!I48</f>
        <v>16157</v>
      </c>
      <c r="J49" s="8">
        <f>'Table Games'!J48</f>
        <v>102317.25</v>
      </c>
      <c r="K49" s="8">
        <f>Video!E46</f>
        <v>108739.42000000004</v>
      </c>
      <c r="L49" s="8">
        <f>'Table Games'!K48+Video!F46</f>
        <v>69841.39</v>
      </c>
      <c r="M49" s="8">
        <f>'Table Games'!L48+Video!G46</f>
        <v>23601.550000000003</v>
      </c>
      <c r="N49" s="8">
        <f>Video!H46</f>
        <v>5110.75</v>
      </c>
      <c r="O49" s="8">
        <f>'Table Games'!M48+Video!I46</f>
        <v>112502.98000000001</v>
      </c>
    </row>
    <row r="50" spans="1:15" ht="15" customHeight="1" x14ac:dyDescent="0.25">
      <c r="A50" s="11">
        <f t="shared" si="0"/>
        <v>45031</v>
      </c>
      <c r="B50" s="8">
        <f>'Table Games'!B49</f>
        <v>41328.5</v>
      </c>
      <c r="C50" s="8">
        <f>'Table Games'!C49</f>
        <v>43770</v>
      </c>
      <c r="D50" s="8">
        <f>'Table Games'!D49</f>
        <v>-544</v>
      </c>
      <c r="E50" s="8">
        <f>'Table Games'!E49</f>
        <v>0</v>
      </c>
      <c r="F50" s="8">
        <f>'Table Games'!F49</f>
        <v>0</v>
      </c>
      <c r="G50" s="8">
        <f>'Table Games'!G49</f>
        <v>7660</v>
      </c>
      <c r="H50" s="8">
        <f>'Table Games'!H49</f>
        <v>0</v>
      </c>
      <c r="I50" s="8">
        <f>'Table Games'!I49</f>
        <v>1230</v>
      </c>
      <c r="J50" s="8">
        <f>'Table Games'!J49</f>
        <v>93444.5</v>
      </c>
      <c r="K50" s="8">
        <f>Video!E47</f>
        <v>70661.520000000019</v>
      </c>
      <c r="L50" s="8">
        <f>'Table Games'!K49+Video!F47</f>
        <v>53471.479999999996</v>
      </c>
      <c r="M50" s="8">
        <f>'Table Games'!L49+Video!G47</f>
        <v>16684.689999999999</v>
      </c>
      <c r="N50" s="8">
        <f>Video!H47</f>
        <v>3321.1000000000004</v>
      </c>
      <c r="O50" s="8">
        <f>'Table Games'!M49+Video!I47</f>
        <v>90628.75</v>
      </c>
    </row>
    <row r="51" spans="1:15" ht="15" customHeight="1" x14ac:dyDescent="0.25">
      <c r="A51" s="11">
        <f t="shared" si="0"/>
        <v>45038</v>
      </c>
      <c r="B51" s="8">
        <f>'Table Games'!B50</f>
        <v>120793</v>
      </c>
      <c r="C51" s="8">
        <f>'Table Games'!C50</f>
        <v>39178</v>
      </c>
      <c r="D51" s="8">
        <f>'Table Games'!D50</f>
        <v>0</v>
      </c>
      <c r="E51" s="8">
        <f>'Table Games'!E50</f>
        <v>0</v>
      </c>
      <c r="F51" s="8">
        <f>'Table Games'!F50</f>
        <v>0</v>
      </c>
      <c r="G51" s="8">
        <f>'Table Games'!G50</f>
        <v>118389</v>
      </c>
      <c r="H51" s="8">
        <f>'Table Games'!H50</f>
        <v>0</v>
      </c>
      <c r="I51" s="8">
        <f>'Table Games'!I50</f>
        <v>16924</v>
      </c>
      <c r="J51" s="8">
        <f>'Table Games'!J50</f>
        <v>295284</v>
      </c>
      <c r="K51" s="8">
        <f>Video!E48</f>
        <v>65145.899999999907</v>
      </c>
      <c r="L51" s="8">
        <f>'Table Games'!K50+Video!F48</f>
        <v>112037.72</v>
      </c>
      <c r="M51" s="8">
        <f>'Table Games'!L50+Video!G48</f>
        <v>25839.010000000002</v>
      </c>
      <c r="N51" s="8">
        <f>Video!H48</f>
        <v>3061.86</v>
      </c>
      <c r="O51" s="8">
        <f>'Table Games'!M50+Video!I48</f>
        <v>219491.31</v>
      </c>
    </row>
    <row r="52" spans="1:15" ht="15" customHeight="1" x14ac:dyDescent="0.25">
      <c r="A52" s="11">
        <f t="shared" si="0"/>
        <v>45045</v>
      </c>
      <c r="B52" s="8">
        <f>'Table Games'!B51</f>
        <v>111381.5</v>
      </c>
      <c r="C52" s="8">
        <f>'Table Games'!C51</f>
        <v>42135</v>
      </c>
      <c r="D52" s="8">
        <f>'Table Games'!D51</f>
        <v>0</v>
      </c>
      <c r="E52" s="8">
        <f>'Table Games'!E51</f>
        <v>0</v>
      </c>
      <c r="F52" s="8">
        <f>'Table Games'!F51</f>
        <v>0</v>
      </c>
      <c r="G52" s="8">
        <f>'Table Games'!G51</f>
        <v>19151</v>
      </c>
      <c r="H52" s="8">
        <f>'Table Games'!H51</f>
        <v>0</v>
      </c>
      <c r="I52" s="8">
        <f>'Table Games'!I51</f>
        <v>2989</v>
      </c>
      <c r="J52" s="8">
        <f>'Table Games'!J51</f>
        <v>175656.5</v>
      </c>
      <c r="K52" s="8">
        <f>Video!E49</f>
        <v>102509.8899999999</v>
      </c>
      <c r="L52" s="8">
        <f>'Table Games'!K51+Video!F49</f>
        <v>89600.51</v>
      </c>
      <c r="M52" s="8">
        <f>'Table Games'!L51+Video!G49</f>
        <v>26209.510000000002</v>
      </c>
      <c r="N52" s="8">
        <f>Video!H49</f>
        <v>4817.97</v>
      </c>
      <c r="O52" s="8">
        <f>'Table Games'!M51+Video!I49</f>
        <v>157538.4</v>
      </c>
    </row>
    <row r="53" spans="1:15" ht="15" customHeight="1" x14ac:dyDescent="0.25">
      <c r="A53" s="11">
        <f t="shared" si="0"/>
        <v>45052</v>
      </c>
      <c r="B53" s="8">
        <f>'Table Games'!B52</f>
        <v>7106.5</v>
      </c>
      <c r="C53" s="8">
        <f>'Table Games'!C52</f>
        <v>7049</v>
      </c>
      <c r="D53" s="8">
        <f>'Table Games'!D52</f>
        <v>0</v>
      </c>
      <c r="E53" s="8">
        <f>'Table Games'!E52</f>
        <v>0</v>
      </c>
      <c r="F53" s="8">
        <f>'Table Games'!F52</f>
        <v>0</v>
      </c>
      <c r="G53" s="8">
        <f>'Table Games'!G52</f>
        <v>10982</v>
      </c>
      <c r="H53" s="8">
        <f>'Table Games'!H52</f>
        <v>0</v>
      </c>
      <c r="I53" s="8">
        <f>'Table Games'!I52</f>
        <v>8717</v>
      </c>
      <c r="J53" s="8">
        <f>'Table Games'!J52</f>
        <v>33854.5</v>
      </c>
      <c r="K53" s="8">
        <f>Video!E50</f>
        <v>80314.170000000158</v>
      </c>
      <c r="L53" s="8">
        <f>'Table Games'!K52+Video!F50</f>
        <v>39069.43</v>
      </c>
      <c r="M53" s="8">
        <f>'Table Games'!L52+Video!G50</f>
        <v>15346.15</v>
      </c>
      <c r="N53" s="8">
        <f>Video!H50</f>
        <v>3774.77</v>
      </c>
      <c r="O53" s="8">
        <f>'Table Games'!M52+Video!I50</f>
        <v>55978.320000000007</v>
      </c>
    </row>
    <row r="54" spans="1:15" ht="15" customHeight="1" x14ac:dyDescent="0.25">
      <c r="A54" s="11">
        <f t="shared" si="0"/>
        <v>45059</v>
      </c>
      <c r="B54" s="8">
        <f>'Table Games'!B53</f>
        <v>132059.5</v>
      </c>
      <c r="C54" s="8">
        <f>'Table Games'!C53</f>
        <v>59309</v>
      </c>
      <c r="D54" s="8">
        <f>'Table Games'!D53</f>
        <v>0</v>
      </c>
      <c r="E54" s="8">
        <f>'Table Games'!E53</f>
        <v>0</v>
      </c>
      <c r="F54" s="8">
        <f>'Table Games'!F53</f>
        <v>0</v>
      </c>
      <c r="G54" s="8">
        <f>'Table Games'!G53</f>
        <v>7780</v>
      </c>
      <c r="H54" s="8">
        <f>'Table Games'!H53</f>
        <v>0</v>
      </c>
      <c r="I54" s="8">
        <f>'Table Games'!I53</f>
        <v>6826</v>
      </c>
      <c r="J54" s="8">
        <f>'Table Games'!J53</f>
        <v>205974.5</v>
      </c>
      <c r="K54" s="8">
        <f>Video!E51</f>
        <v>73659.210000000196</v>
      </c>
      <c r="L54" s="8">
        <f>'Table Games'!K53+Video!F51</f>
        <v>88309.66</v>
      </c>
      <c r="M54" s="8">
        <f>'Table Games'!L53+Video!G51</f>
        <v>22820.79</v>
      </c>
      <c r="N54" s="8">
        <f>Video!H51</f>
        <v>3461.9900000000002</v>
      </c>
      <c r="O54" s="8">
        <f>'Table Games'!M53+Video!I51</f>
        <v>165041.26999999999</v>
      </c>
    </row>
    <row r="55" spans="1:15" ht="15" customHeight="1" x14ac:dyDescent="0.25">
      <c r="A55" s="11">
        <f t="shared" si="0"/>
        <v>45066</v>
      </c>
      <c r="B55" s="8">
        <f>'Table Games'!B54</f>
        <v>153617</v>
      </c>
      <c r="C55" s="8">
        <f>'Table Games'!C54</f>
        <v>13481</v>
      </c>
      <c r="D55" s="8">
        <f>'Table Games'!D54</f>
        <v>0</v>
      </c>
      <c r="E55" s="8">
        <f>'Table Games'!E54</f>
        <v>0</v>
      </c>
      <c r="F55" s="8">
        <f>'Table Games'!F54</f>
        <v>0</v>
      </c>
      <c r="G55" s="8">
        <f>'Table Games'!G54</f>
        <v>96262</v>
      </c>
      <c r="H55" s="8">
        <f>'Table Games'!H54</f>
        <v>0</v>
      </c>
      <c r="I55" s="8">
        <f>'Table Games'!I54</f>
        <v>5536</v>
      </c>
      <c r="J55" s="8">
        <f>'Table Games'!J54</f>
        <v>268896</v>
      </c>
      <c r="K55" s="8">
        <f>Video!E52</f>
        <v>131322.60999999999</v>
      </c>
      <c r="L55" s="8">
        <f>'Table Games'!K54+Video!F52</f>
        <v>127944.94</v>
      </c>
      <c r="M55" s="8">
        <f>'Table Games'!L54+Video!G52</f>
        <v>35769.64</v>
      </c>
      <c r="N55" s="8">
        <f>Video!H52</f>
        <v>6172.16</v>
      </c>
      <c r="O55" s="8">
        <f>'Table Games'!M54+Video!I52</f>
        <v>230331.87</v>
      </c>
    </row>
    <row r="56" spans="1:15" ht="15" customHeight="1" x14ac:dyDescent="0.25">
      <c r="A56" s="11">
        <f t="shared" si="0"/>
        <v>45073</v>
      </c>
      <c r="B56" s="8">
        <f>'Table Games'!B55</f>
        <v>-50375.5</v>
      </c>
      <c r="C56" s="8">
        <f>'Table Games'!C55</f>
        <v>54699</v>
      </c>
      <c r="D56" s="8">
        <f>'Table Games'!D55</f>
        <v>0</v>
      </c>
      <c r="E56" s="8">
        <f>'Table Games'!E55</f>
        <v>0</v>
      </c>
      <c r="F56" s="8">
        <f>'Table Games'!F55</f>
        <v>0</v>
      </c>
      <c r="G56" s="8">
        <f>'Table Games'!G55</f>
        <v>-14856</v>
      </c>
      <c r="H56" s="8">
        <f>'Table Games'!H55</f>
        <v>0</v>
      </c>
      <c r="I56" s="8">
        <f>'Table Games'!I55</f>
        <v>2342</v>
      </c>
      <c r="J56" s="8">
        <f>'Table Games'!J55</f>
        <v>-8190.5</v>
      </c>
      <c r="K56" s="8">
        <f>Video!E53</f>
        <v>91985.709999999963</v>
      </c>
      <c r="L56" s="8">
        <f>'Table Games'!K55+Video!F53</f>
        <v>30657.690000000002</v>
      </c>
      <c r="M56" s="8">
        <f>'Table Games'!L55+Video!G53</f>
        <v>15228.039999999999</v>
      </c>
      <c r="N56" s="8">
        <f>Video!H53</f>
        <v>4323.33</v>
      </c>
      <c r="O56" s="8">
        <f>'Table Games'!M55+Video!I53</f>
        <v>33586.15</v>
      </c>
    </row>
    <row r="57" spans="1:15" ht="15" customHeight="1" x14ac:dyDescent="0.25">
      <c r="A57" s="11">
        <f t="shared" si="0"/>
        <v>45080</v>
      </c>
      <c r="B57" s="8">
        <f>'Table Games'!B56</f>
        <v>227552.5</v>
      </c>
      <c r="C57" s="8">
        <f>'Table Games'!C56</f>
        <v>30339</v>
      </c>
      <c r="D57" s="8">
        <f>'Table Games'!D56</f>
        <v>114917.5</v>
      </c>
      <c r="E57" s="8">
        <f>'Table Games'!E56</f>
        <v>0</v>
      </c>
      <c r="F57" s="8">
        <f>'Table Games'!F56</f>
        <v>0</v>
      </c>
      <c r="G57" s="8">
        <f>'Table Games'!G56</f>
        <v>-4974</v>
      </c>
      <c r="H57" s="8">
        <f>'Table Games'!H56</f>
        <v>3495</v>
      </c>
      <c r="I57" s="8">
        <f>'Table Games'!I56</f>
        <v>19715</v>
      </c>
      <c r="J57" s="8">
        <f>'Table Games'!J56</f>
        <v>391045</v>
      </c>
      <c r="K57" s="8">
        <f>Video!E54</f>
        <v>107992.15999999992</v>
      </c>
      <c r="L57" s="8">
        <f>'Table Games'!K56+Video!F54</f>
        <v>156190.68</v>
      </c>
      <c r="M57" s="8">
        <f>'Table Games'!L56+Video!G54</f>
        <v>37910.92</v>
      </c>
      <c r="N57" s="8">
        <f>Video!H54</f>
        <v>5075.62</v>
      </c>
      <c r="O57" s="8">
        <f>'Table Games'!M56+Video!I54</f>
        <v>299859.94</v>
      </c>
    </row>
    <row r="58" spans="1:15" ht="15" customHeight="1" x14ac:dyDescent="0.25">
      <c r="A58" s="11">
        <f t="shared" si="0"/>
        <v>45087</v>
      </c>
      <c r="B58" s="8">
        <f>'Table Games'!B57</f>
        <v>-20028</v>
      </c>
      <c r="C58" s="8">
        <f>'Table Games'!C57</f>
        <v>6512</v>
      </c>
      <c r="D58" s="8">
        <f>'Table Games'!D57</f>
        <v>-1503</v>
      </c>
      <c r="E58" s="8">
        <f>'Table Games'!E57</f>
        <v>0</v>
      </c>
      <c r="F58" s="8">
        <f>'Table Games'!F57</f>
        <v>0</v>
      </c>
      <c r="G58" s="8">
        <f>'Table Games'!G57</f>
        <v>15611</v>
      </c>
      <c r="H58" s="8">
        <f>'Table Games'!H57</f>
        <v>0</v>
      </c>
      <c r="I58" s="8">
        <f>'Table Games'!I57</f>
        <v>9134</v>
      </c>
      <c r="J58" s="8">
        <f>'Table Games'!J57</f>
        <v>9726</v>
      </c>
      <c r="K58" s="8">
        <f>Video!E55</f>
        <v>81201.869999999879</v>
      </c>
      <c r="L58" s="8">
        <f>'Table Games'!K57+Video!F55</f>
        <v>32150.469999999998</v>
      </c>
      <c r="M58" s="8">
        <f>'Table Games'!L57+Video!G55</f>
        <v>14290.63</v>
      </c>
      <c r="N58" s="8">
        <f>Video!H55</f>
        <v>3816.4799999999996</v>
      </c>
      <c r="O58" s="8">
        <f>'Table Games'!M57+Video!I55</f>
        <v>40670.29</v>
      </c>
    </row>
    <row r="59" spans="1:15" ht="15" customHeight="1" x14ac:dyDescent="0.25">
      <c r="A59" s="11">
        <f t="shared" si="0"/>
        <v>45094</v>
      </c>
      <c r="B59" s="8">
        <f>'Table Games'!B58</f>
        <v>198702</v>
      </c>
      <c r="C59" s="8">
        <f>'Table Games'!C58</f>
        <v>32480</v>
      </c>
      <c r="D59" s="8">
        <f>'Table Games'!D58</f>
        <v>0</v>
      </c>
      <c r="E59" s="8">
        <f>'Table Games'!E58</f>
        <v>0</v>
      </c>
      <c r="F59" s="8">
        <f>'Table Games'!F58</f>
        <v>0</v>
      </c>
      <c r="G59" s="8">
        <f>'Table Games'!G58</f>
        <v>26714</v>
      </c>
      <c r="H59" s="8">
        <f>'Table Games'!H58</f>
        <v>-3530</v>
      </c>
      <c r="I59" s="8">
        <f>'Table Games'!I58</f>
        <v>7112</v>
      </c>
      <c r="J59" s="8">
        <f>'Table Games'!J58</f>
        <v>261478</v>
      </c>
      <c r="K59" s="8">
        <f>Video!E56</f>
        <v>65087.150000000023</v>
      </c>
      <c r="L59" s="8">
        <f>'Table Games'!K58+Video!F56</f>
        <v>101874.76</v>
      </c>
      <c r="M59" s="8">
        <f>'Table Games'!L58+Video!G56</f>
        <v>24138.73</v>
      </c>
      <c r="N59" s="8">
        <f>Video!H56</f>
        <v>3059.0899999999997</v>
      </c>
      <c r="O59" s="8">
        <f>'Table Games'!M58+Video!I56</f>
        <v>197492.57</v>
      </c>
    </row>
    <row r="60" spans="1:15" ht="15" customHeight="1" x14ac:dyDescent="0.25">
      <c r="A60" s="11">
        <f t="shared" si="0"/>
        <v>45101</v>
      </c>
      <c r="B60" s="8">
        <f>'Table Games'!B59</f>
        <v>126742.49699999997</v>
      </c>
      <c r="C60" s="8">
        <f>'Table Games'!C59</f>
        <v>29535</v>
      </c>
      <c r="D60" s="8">
        <f>'Table Games'!D59</f>
        <v>0</v>
      </c>
      <c r="E60" s="8">
        <f>'Table Games'!E59</f>
        <v>0</v>
      </c>
      <c r="F60" s="8">
        <f>'Table Games'!F59</f>
        <v>0</v>
      </c>
      <c r="G60" s="8">
        <f>'Table Games'!G59</f>
        <v>10167</v>
      </c>
      <c r="H60" s="8">
        <f>'Table Games'!H59</f>
        <v>0</v>
      </c>
      <c r="I60" s="8">
        <f>'Table Games'!I59</f>
        <v>18179</v>
      </c>
      <c r="J60" s="8">
        <f>'Table Games'!J59</f>
        <v>184623.49699999997</v>
      </c>
      <c r="K60" s="8">
        <f>Video!E57</f>
        <v>5756.7600000002421</v>
      </c>
      <c r="L60" s="8">
        <f>'Table Games'!K59+Video!F57</f>
        <v>57459.48</v>
      </c>
      <c r="M60" s="8">
        <f>'Table Games'!L59+Video!G57</f>
        <v>10209.82</v>
      </c>
      <c r="N60" s="8">
        <f>Video!H57</f>
        <v>270.57</v>
      </c>
      <c r="O60" s="8">
        <f>'Table Games'!M59+Video!I57</f>
        <v>122440.39</v>
      </c>
    </row>
    <row r="61" spans="1:15" ht="15" customHeight="1" x14ac:dyDescent="0.25">
      <c r="A61" s="11" t="s">
        <v>35</v>
      </c>
      <c r="B61" s="8">
        <f>'Table Games'!B60</f>
        <v>20949</v>
      </c>
      <c r="C61" s="8">
        <f>'Table Games'!C60</f>
        <v>17460</v>
      </c>
      <c r="D61" s="8">
        <f>'Table Games'!D60</f>
        <v>0</v>
      </c>
      <c r="E61" s="8">
        <f>'Table Games'!E60</f>
        <v>0</v>
      </c>
      <c r="F61" s="8">
        <f>'Table Games'!F60</f>
        <v>0</v>
      </c>
      <c r="G61" s="8">
        <f>'Table Games'!G60</f>
        <v>-3069</v>
      </c>
      <c r="H61" s="8">
        <f>'Table Games'!H60</f>
        <v>0</v>
      </c>
      <c r="I61" s="8">
        <f>'Table Games'!I60</f>
        <v>4893</v>
      </c>
      <c r="J61" s="8">
        <f>'Table Games'!J60</f>
        <v>40233</v>
      </c>
      <c r="K61" s="8">
        <f>Video!E58</f>
        <v>-57252.790000000037</v>
      </c>
      <c r="L61" s="8">
        <f>'Table Games'!K60+Video!F58</f>
        <v>-8541.1099999999988</v>
      </c>
      <c r="M61" s="8">
        <f>'Table Games'!L60+Video!G58</f>
        <v>-7721.33</v>
      </c>
      <c r="N61" s="8">
        <f>Video!H58</f>
        <v>-2690.88</v>
      </c>
      <c r="O61" s="8">
        <f>'Table Games'!M60+Video!I58</f>
        <v>1933.5299999999988</v>
      </c>
    </row>
    <row r="62" spans="1:15" ht="15" customHeight="1" x14ac:dyDescent="0.25">
      <c r="A62" s="11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15" ht="15" customHeight="1" thickBot="1" x14ac:dyDescent="0.3">
      <c r="B63" s="9">
        <f t="shared" ref="B63:O63" si="1">SUM(B9:B62)</f>
        <v>4145648.9939999999</v>
      </c>
      <c r="C63" s="9">
        <f t="shared" si="1"/>
        <v>655650</v>
      </c>
      <c r="D63" s="9">
        <f t="shared" si="1"/>
        <v>177601</v>
      </c>
      <c r="E63" s="9">
        <f t="shared" si="1"/>
        <v>0</v>
      </c>
      <c r="F63" s="9">
        <f t="shared" si="1"/>
        <v>1380</v>
      </c>
      <c r="G63" s="9">
        <f t="shared" si="1"/>
        <v>1059134</v>
      </c>
      <c r="H63" s="9">
        <f t="shared" si="1"/>
        <v>140432</v>
      </c>
      <c r="I63" s="9">
        <f t="shared" si="1"/>
        <v>385516</v>
      </c>
      <c r="J63" s="9">
        <f t="shared" si="1"/>
        <v>6565361.993999999</v>
      </c>
      <c r="K63" s="9">
        <f t="shared" si="1"/>
        <v>4106053.6199999973</v>
      </c>
      <c r="L63" s="9">
        <f t="shared" si="1"/>
        <v>3447787.8300000005</v>
      </c>
      <c r="M63" s="9">
        <f t="shared" si="1"/>
        <v>1026297.36</v>
      </c>
      <c r="N63" s="9">
        <f t="shared" si="1"/>
        <v>192984.48999999993</v>
      </c>
      <c r="O63" s="9">
        <f t="shared" si="1"/>
        <v>6004345.9400000004</v>
      </c>
    </row>
    <row r="64" spans="1:15" ht="15" customHeight="1" thickTop="1" x14ac:dyDescent="0.25"/>
    <row r="65" spans="1:1" ht="15" customHeight="1" x14ac:dyDescent="0.25">
      <c r="A65" s="18" t="s">
        <v>29</v>
      </c>
    </row>
    <row r="66" spans="1:1" ht="15" customHeight="1" x14ac:dyDescent="0.25">
      <c r="A66" s="18" t="s">
        <v>34</v>
      </c>
    </row>
  </sheetData>
  <mergeCells count="4">
    <mergeCell ref="A1:O1"/>
    <mergeCell ref="A2:O2"/>
    <mergeCell ref="A4:O4"/>
    <mergeCell ref="A3:O3"/>
  </mergeCells>
  <pageMargins left="0.25" right="0.25" top="0.5" bottom="0.5" header="0" footer="0"/>
  <pageSetup scale="54" orientation="landscape" r:id="rId1"/>
  <headerFooter>
    <oddFooter>&amp;L&amp;"Arial,Regular"&amp;8&amp;F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zoomScaleNormal="100" workbookViewId="0">
      <pane ySplit="5" topLeftCell="A36" activePane="bottomLeft" state="frozen"/>
      <selection pane="bottomLeft" activeCell="A62" sqref="A62"/>
    </sheetView>
  </sheetViews>
  <sheetFormatPr defaultRowHeight="15" customHeight="1" x14ac:dyDescent="0.25"/>
  <cols>
    <col min="1" max="1" width="12.7109375" style="1" customWidth="1"/>
    <col min="2" max="2" width="15" style="1" bestFit="1" customWidth="1"/>
    <col min="3" max="3" width="13.28515625" style="1" bestFit="1" customWidth="1"/>
    <col min="4" max="4" width="14.85546875" style="1" customWidth="1"/>
    <col min="5" max="6" width="13.42578125" style="1" bestFit="1" customWidth="1"/>
    <col min="7" max="7" width="14.7109375" style="1" customWidth="1"/>
    <col min="8" max="9" width="13.28515625" style="1" bestFit="1" customWidth="1"/>
    <col min="10" max="11" width="15" style="1" bestFit="1" customWidth="1"/>
    <col min="12" max="12" width="14.28515625" style="1" bestFit="1" customWidth="1"/>
    <col min="13" max="13" width="15" style="1" bestFit="1" customWidth="1"/>
    <col min="14" max="14" width="10.7109375" style="1" customWidth="1"/>
    <col min="15" max="16384" width="9.140625" style="1"/>
  </cols>
  <sheetData>
    <row r="1" spans="1:13" s="2" customFormat="1" ht="60" x14ac:dyDescent="0.25">
      <c r="B1" s="3" t="s">
        <v>25</v>
      </c>
      <c r="C1" s="4" t="s">
        <v>9</v>
      </c>
      <c r="D1" s="3" t="s">
        <v>10</v>
      </c>
      <c r="E1" s="3" t="s">
        <v>11</v>
      </c>
      <c r="F1" s="3" t="s">
        <v>12</v>
      </c>
      <c r="G1" s="3" t="s">
        <v>13</v>
      </c>
      <c r="H1" s="3" t="s">
        <v>14</v>
      </c>
      <c r="I1" s="3" t="s">
        <v>15</v>
      </c>
      <c r="J1" s="3" t="s">
        <v>16</v>
      </c>
      <c r="K1" s="3" t="s">
        <v>17</v>
      </c>
      <c r="L1" s="3" t="s">
        <v>18</v>
      </c>
      <c r="M1" s="3" t="s">
        <v>19</v>
      </c>
    </row>
    <row r="2" spans="1:13" s="2" customFormat="1" ht="15" customHeight="1" x14ac:dyDescent="0.25">
      <c r="B2" s="5">
        <v>22</v>
      </c>
      <c r="C2" s="10">
        <v>2</v>
      </c>
      <c r="D2" s="5">
        <v>1</v>
      </c>
      <c r="E2" s="5">
        <v>0</v>
      </c>
      <c r="F2" s="5"/>
      <c r="G2" s="5">
        <v>2</v>
      </c>
      <c r="H2" s="5">
        <v>1</v>
      </c>
      <c r="I2" s="5">
        <v>2</v>
      </c>
      <c r="J2" s="5">
        <f>SUM(B2:I2)</f>
        <v>30</v>
      </c>
      <c r="K2" s="6"/>
      <c r="L2" s="6"/>
      <c r="M2" s="6"/>
    </row>
    <row r="3" spans="1:13" s="2" customFormat="1" ht="15" customHeight="1" x14ac:dyDescent="0.25">
      <c r="B3" s="6"/>
      <c r="C3" s="7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15" customHeight="1" x14ac:dyDescent="0.25">
      <c r="A4" s="1" t="s">
        <v>31</v>
      </c>
      <c r="B4" s="16">
        <v>5664251</v>
      </c>
      <c r="C4" s="16">
        <v>722018</v>
      </c>
      <c r="D4" s="16">
        <v>62632</v>
      </c>
      <c r="E4" s="16">
        <v>289</v>
      </c>
      <c r="F4" s="16">
        <v>525</v>
      </c>
      <c r="G4" s="16">
        <v>776483</v>
      </c>
      <c r="H4" s="16">
        <v>109974</v>
      </c>
      <c r="I4" s="16">
        <v>526379</v>
      </c>
      <c r="J4" s="16">
        <v>7862551</v>
      </c>
      <c r="K4" s="16">
        <v>2358765.31</v>
      </c>
      <c r="L4" s="16">
        <v>393127.67</v>
      </c>
      <c r="M4" s="16">
        <v>5110658.0199999996</v>
      </c>
    </row>
    <row r="6" spans="1:13" ht="15" customHeight="1" x14ac:dyDescent="0.25">
      <c r="A6" s="23" t="s">
        <v>32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</row>
    <row r="7" spans="1:13" ht="15" customHeight="1" x14ac:dyDescent="0.25">
      <c r="A7" s="11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 ht="15" customHeight="1" x14ac:dyDescent="0.25">
      <c r="A8" s="11" t="s">
        <v>30</v>
      </c>
      <c r="B8" s="8">
        <v>79068.5</v>
      </c>
      <c r="C8" s="8">
        <v>-7556</v>
      </c>
      <c r="D8" s="8">
        <v>0</v>
      </c>
      <c r="E8" s="8">
        <v>0</v>
      </c>
      <c r="F8" s="8">
        <v>0</v>
      </c>
      <c r="G8" s="8">
        <v>13179</v>
      </c>
      <c r="H8" s="8">
        <v>16594</v>
      </c>
      <c r="I8" s="8">
        <v>-6226</v>
      </c>
      <c r="J8" s="8">
        <f t="shared" ref="J8:J13" si="0">SUM(B8:I8)</f>
        <v>95059.5</v>
      </c>
      <c r="K8" s="8">
        <f t="shared" ref="K8:K14" si="1">ROUND($J8*0.3,2)</f>
        <v>28517.85</v>
      </c>
      <c r="L8" s="8">
        <f>ROUND($J8*0.05,2)</f>
        <v>4752.9799999999996</v>
      </c>
      <c r="M8" s="8">
        <f>ROUND($J8*0.65,2)-0.01</f>
        <v>61788.67</v>
      </c>
    </row>
    <row r="9" spans="1:13" ht="15" customHeight="1" x14ac:dyDescent="0.25">
      <c r="A9" s="11">
        <v>44751</v>
      </c>
      <c r="B9" s="8">
        <v>87096.5</v>
      </c>
      <c r="C9" s="8">
        <v>47584</v>
      </c>
      <c r="D9" s="8">
        <v>0</v>
      </c>
      <c r="E9" s="8">
        <v>0</v>
      </c>
      <c r="F9" s="8">
        <v>0</v>
      </c>
      <c r="G9" s="8">
        <v>17414</v>
      </c>
      <c r="H9" s="8">
        <v>0</v>
      </c>
      <c r="I9" s="8">
        <v>-7746</v>
      </c>
      <c r="J9" s="8">
        <f t="shared" si="0"/>
        <v>144348.5</v>
      </c>
      <c r="K9" s="8">
        <f t="shared" si="1"/>
        <v>43304.55</v>
      </c>
      <c r="L9" s="8">
        <f>ROUND($J9*0.05,2)</f>
        <v>7217.43</v>
      </c>
      <c r="M9" s="8">
        <f>ROUND($J9*0.65,2)-0.01</f>
        <v>93826.52</v>
      </c>
    </row>
    <row r="10" spans="1:13" ht="15" customHeight="1" x14ac:dyDescent="0.25">
      <c r="A10" s="11">
        <f t="shared" ref="A10:A59" si="2">A9+7</f>
        <v>44758</v>
      </c>
      <c r="B10" s="8">
        <v>-155109.5</v>
      </c>
      <c r="C10" s="8">
        <v>17706</v>
      </c>
      <c r="D10" s="8">
        <v>0</v>
      </c>
      <c r="E10" s="8">
        <v>0</v>
      </c>
      <c r="F10" s="8">
        <v>0</v>
      </c>
      <c r="G10" s="8">
        <v>12615</v>
      </c>
      <c r="H10" s="8">
        <v>0</v>
      </c>
      <c r="I10" s="8">
        <v>16358</v>
      </c>
      <c r="J10" s="8">
        <f t="shared" si="0"/>
        <v>-108430.5</v>
      </c>
      <c r="K10" s="8">
        <f t="shared" si="1"/>
        <v>-32529.15</v>
      </c>
      <c r="L10" s="8">
        <f>ROUND($J10*0.05,2)+0.01</f>
        <v>-5421.5199999999995</v>
      </c>
      <c r="M10" s="8">
        <f>ROUND($J10*0.65,2)</f>
        <v>-70479.83</v>
      </c>
    </row>
    <row r="11" spans="1:13" ht="15" customHeight="1" x14ac:dyDescent="0.25">
      <c r="A11" s="11">
        <f t="shared" si="2"/>
        <v>44765</v>
      </c>
      <c r="B11" s="8">
        <v>-121351</v>
      </c>
      <c r="C11" s="8">
        <v>21101</v>
      </c>
      <c r="D11" s="8">
        <v>0</v>
      </c>
      <c r="E11" s="8">
        <v>0</v>
      </c>
      <c r="F11" s="8">
        <v>0</v>
      </c>
      <c r="G11" s="8">
        <v>-11996</v>
      </c>
      <c r="H11" s="8">
        <v>0</v>
      </c>
      <c r="I11" s="8">
        <v>8245</v>
      </c>
      <c r="J11" s="8">
        <f t="shared" si="0"/>
        <v>-104001</v>
      </c>
      <c r="K11" s="8">
        <f t="shared" si="1"/>
        <v>-31200.3</v>
      </c>
      <c r="L11" s="8">
        <f t="shared" ref="L11:L42" si="3">ROUND($J11*0.05,2)</f>
        <v>-5200.05</v>
      </c>
      <c r="M11" s="8">
        <f>ROUND($J11*0.65,2)</f>
        <v>-67600.649999999994</v>
      </c>
    </row>
    <row r="12" spans="1:13" ht="15" customHeight="1" x14ac:dyDescent="0.25">
      <c r="A12" s="11">
        <f t="shared" si="2"/>
        <v>44772</v>
      </c>
      <c r="B12" s="8">
        <v>49953</v>
      </c>
      <c r="C12" s="8">
        <v>14311</v>
      </c>
      <c r="D12" s="8">
        <v>0</v>
      </c>
      <c r="E12" s="8">
        <v>0</v>
      </c>
      <c r="F12" s="8">
        <v>0</v>
      </c>
      <c r="G12" s="8">
        <v>29358</v>
      </c>
      <c r="H12" s="8">
        <v>0</v>
      </c>
      <c r="I12" s="8">
        <v>17255</v>
      </c>
      <c r="J12" s="8">
        <f t="shared" si="0"/>
        <v>110877</v>
      </c>
      <c r="K12" s="8">
        <f t="shared" si="1"/>
        <v>33263.1</v>
      </c>
      <c r="L12" s="8">
        <f t="shared" si="3"/>
        <v>5543.85</v>
      </c>
      <c r="M12" s="8">
        <f>ROUND($J12*0.65,2)</f>
        <v>72070.05</v>
      </c>
    </row>
    <row r="13" spans="1:13" ht="15" customHeight="1" x14ac:dyDescent="0.25">
      <c r="A13" s="11">
        <f t="shared" si="2"/>
        <v>44779</v>
      </c>
      <c r="B13" s="8">
        <v>106816.5</v>
      </c>
      <c r="C13" s="8">
        <v>35931</v>
      </c>
      <c r="D13" s="8">
        <v>0</v>
      </c>
      <c r="E13" s="8">
        <v>0</v>
      </c>
      <c r="F13" s="8">
        <v>0</v>
      </c>
      <c r="G13" s="8">
        <v>1642</v>
      </c>
      <c r="H13" s="8">
        <v>38470</v>
      </c>
      <c r="I13" s="8">
        <v>8987</v>
      </c>
      <c r="J13" s="8">
        <f t="shared" si="0"/>
        <v>191846.5</v>
      </c>
      <c r="K13" s="8">
        <f t="shared" si="1"/>
        <v>57553.95</v>
      </c>
      <c r="L13" s="8">
        <f t="shared" si="3"/>
        <v>9592.33</v>
      </c>
      <c r="M13" s="8">
        <f>ROUND($J13*0.65,2)-0.01</f>
        <v>124700.22</v>
      </c>
    </row>
    <row r="14" spans="1:13" ht="15" customHeight="1" x14ac:dyDescent="0.25">
      <c r="A14" s="11">
        <f t="shared" si="2"/>
        <v>44786</v>
      </c>
      <c r="B14" s="8">
        <v>103044.5</v>
      </c>
      <c r="C14" s="8">
        <v>41050</v>
      </c>
      <c r="D14" s="8">
        <v>0</v>
      </c>
      <c r="E14" s="8">
        <v>0</v>
      </c>
      <c r="F14" s="8">
        <v>0</v>
      </c>
      <c r="G14" s="8">
        <v>8062</v>
      </c>
      <c r="H14" s="8">
        <v>0</v>
      </c>
      <c r="I14" s="8">
        <v>14675</v>
      </c>
      <c r="J14" s="8">
        <f t="shared" ref="J14" si="4">SUM(B14:I14)</f>
        <v>166831.5</v>
      </c>
      <c r="K14" s="8">
        <f t="shared" si="1"/>
        <v>50049.45</v>
      </c>
      <c r="L14" s="8">
        <f t="shared" si="3"/>
        <v>8341.58</v>
      </c>
      <c r="M14" s="8">
        <f>ROUND($J14*0.65,2)-0.01</f>
        <v>108440.47</v>
      </c>
    </row>
    <row r="15" spans="1:13" ht="15" customHeight="1" x14ac:dyDescent="0.25">
      <c r="A15" s="11">
        <f t="shared" si="2"/>
        <v>44793</v>
      </c>
      <c r="B15" s="8">
        <v>143671.5</v>
      </c>
      <c r="C15" s="8">
        <v>2692</v>
      </c>
      <c r="D15" s="8">
        <v>377</v>
      </c>
      <c r="E15" s="8">
        <v>0</v>
      </c>
      <c r="F15" s="8">
        <v>0</v>
      </c>
      <c r="G15" s="8">
        <v>44754</v>
      </c>
      <c r="H15" s="8">
        <v>19600</v>
      </c>
      <c r="I15" s="8">
        <v>9433</v>
      </c>
      <c r="J15" s="8">
        <f t="shared" ref="J15" si="5">SUM(B15:I15)</f>
        <v>220527.5</v>
      </c>
      <c r="K15" s="8">
        <f t="shared" ref="K15:K42" si="6">ROUND($J15*0.3,2)</f>
        <v>66158.25</v>
      </c>
      <c r="L15" s="8">
        <f t="shared" si="3"/>
        <v>11026.38</v>
      </c>
      <c r="M15" s="8">
        <f>ROUND($J15*0.65,2)-0.01</f>
        <v>143342.87</v>
      </c>
    </row>
    <row r="16" spans="1:13" ht="15" customHeight="1" x14ac:dyDescent="0.25">
      <c r="A16" s="11">
        <f t="shared" si="2"/>
        <v>44800</v>
      </c>
      <c r="B16" s="8">
        <v>80672.5</v>
      </c>
      <c r="C16" s="8">
        <v>13320</v>
      </c>
      <c r="D16" s="8">
        <v>0</v>
      </c>
      <c r="E16" s="8">
        <v>0</v>
      </c>
      <c r="F16" s="8">
        <v>0</v>
      </c>
      <c r="G16" s="8">
        <v>41753</v>
      </c>
      <c r="H16" s="8">
        <v>0</v>
      </c>
      <c r="I16" s="8">
        <v>464</v>
      </c>
      <c r="J16" s="8">
        <f t="shared" ref="J16" si="7">SUM(B16:I16)</f>
        <v>136209.5</v>
      </c>
      <c r="K16" s="8">
        <f t="shared" si="6"/>
        <v>40862.85</v>
      </c>
      <c r="L16" s="8">
        <f t="shared" si="3"/>
        <v>6810.48</v>
      </c>
      <c r="M16" s="8">
        <f>ROUND($J16*0.65,2)-0.01</f>
        <v>88536.17</v>
      </c>
    </row>
    <row r="17" spans="1:13" ht="15" customHeight="1" x14ac:dyDescent="0.25">
      <c r="A17" s="11">
        <f t="shared" si="2"/>
        <v>44807</v>
      </c>
      <c r="B17" s="8">
        <v>89070.5</v>
      </c>
      <c r="C17" s="8">
        <v>25878</v>
      </c>
      <c r="D17" s="8">
        <v>13021.75</v>
      </c>
      <c r="E17" s="8">
        <v>0</v>
      </c>
      <c r="F17" s="8">
        <v>0</v>
      </c>
      <c r="G17" s="8">
        <v>8863</v>
      </c>
      <c r="H17" s="8">
        <v>0</v>
      </c>
      <c r="I17" s="8">
        <v>7834</v>
      </c>
      <c r="J17" s="8">
        <f t="shared" ref="J17" si="8">SUM(B17:I17)</f>
        <v>144667.25</v>
      </c>
      <c r="K17" s="8">
        <f t="shared" si="6"/>
        <v>43400.18</v>
      </c>
      <c r="L17" s="8">
        <f t="shared" si="3"/>
        <v>7233.36</v>
      </c>
      <c r="M17" s="8">
        <f>ROUND($J17*0.65,2)</f>
        <v>94033.71</v>
      </c>
    </row>
    <row r="18" spans="1:13" ht="15" customHeight="1" x14ac:dyDescent="0.25">
      <c r="A18" s="11">
        <f t="shared" si="2"/>
        <v>44814</v>
      </c>
      <c r="B18" s="8">
        <v>22850</v>
      </c>
      <c r="C18" s="8">
        <v>18525</v>
      </c>
      <c r="D18" s="8">
        <v>0</v>
      </c>
      <c r="E18" s="8">
        <v>0</v>
      </c>
      <c r="F18" s="8">
        <v>0</v>
      </c>
      <c r="G18" s="8">
        <v>-1896</v>
      </c>
      <c r="H18" s="8">
        <v>0</v>
      </c>
      <c r="I18" s="8">
        <v>5578</v>
      </c>
      <c r="J18" s="8">
        <f t="shared" ref="J18" si="9">SUM(B18:I18)</f>
        <v>45057</v>
      </c>
      <c r="K18" s="8">
        <f t="shared" si="6"/>
        <v>13517.1</v>
      </c>
      <c r="L18" s="8">
        <f t="shared" si="3"/>
        <v>2252.85</v>
      </c>
      <c r="M18" s="8">
        <f>ROUND($J18*0.65,2)</f>
        <v>29287.05</v>
      </c>
    </row>
    <row r="19" spans="1:13" ht="15" customHeight="1" x14ac:dyDescent="0.25">
      <c r="A19" s="11">
        <f t="shared" si="2"/>
        <v>44821</v>
      </c>
      <c r="B19" s="8">
        <v>-14133.5</v>
      </c>
      <c r="C19" s="8">
        <v>2789</v>
      </c>
      <c r="D19" s="8">
        <v>0</v>
      </c>
      <c r="E19" s="8">
        <v>0</v>
      </c>
      <c r="F19" s="8">
        <v>0</v>
      </c>
      <c r="G19" s="8">
        <v>11648</v>
      </c>
      <c r="H19" s="8">
        <v>0</v>
      </c>
      <c r="I19" s="8">
        <v>-2922</v>
      </c>
      <c r="J19" s="8">
        <f t="shared" ref="J19" si="10">SUM(B19:I19)</f>
        <v>-2618.5</v>
      </c>
      <c r="K19" s="8">
        <f t="shared" si="6"/>
        <v>-785.55</v>
      </c>
      <c r="L19" s="8">
        <f t="shared" si="3"/>
        <v>-130.93</v>
      </c>
      <c r="M19" s="8">
        <f>ROUND($J19*0.65,2)+0.01</f>
        <v>-1702.02</v>
      </c>
    </row>
    <row r="20" spans="1:13" ht="15" customHeight="1" x14ac:dyDescent="0.25">
      <c r="A20" s="11">
        <f t="shared" si="2"/>
        <v>44828</v>
      </c>
      <c r="B20" s="8">
        <v>233880</v>
      </c>
      <c r="C20" s="8">
        <v>20914</v>
      </c>
      <c r="D20" s="8">
        <v>0</v>
      </c>
      <c r="E20" s="8">
        <v>0</v>
      </c>
      <c r="F20" s="8">
        <v>0</v>
      </c>
      <c r="G20" s="8">
        <v>48038</v>
      </c>
      <c r="H20" s="8">
        <v>0</v>
      </c>
      <c r="I20" s="8">
        <v>13428</v>
      </c>
      <c r="J20" s="8">
        <f t="shared" ref="J20" si="11">SUM(B20:I20)</f>
        <v>316260</v>
      </c>
      <c r="K20" s="8">
        <f t="shared" si="6"/>
        <v>94878</v>
      </c>
      <c r="L20" s="8">
        <f t="shared" si="3"/>
        <v>15813</v>
      </c>
      <c r="M20" s="8">
        <f t="shared" ref="M20:M24" si="12">ROUND($J20*0.65,2)</f>
        <v>205569</v>
      </c>
    </row>
    <row r="21" spans="1:13" ht="15" customHeight="1" x14ac:dyDescent="0.25">
      <c r="A21" s="11">
        <f t="shared" si="2"/>
        <v>44835</v>
      </c>
      <c r="B21" s="8">
        <v>175916</v>
      </c>
      <c r="C21" s="8">
        <v>16307</v>
      </c>
      <c r="D21" s="8">
        <v>0</v>
      </c>
      <c r="E21" s="8">
        <v>0</v>
      </c>
      <c r="F21" s="8">
        <v>0</v>
      </c>
      <c r="G21" s="8">
        <v>24769</v>
      </c>
      <c r="H21" s="8">
        <v>0</v>
      </c>
      <c r="I21" s="8">
        <v>-2248</v>
      </c>
      <c r="J21" s="8">
        <f t="shared" ref="J21" si="13">SUM(B21:I21)</f>
        <v>214744</v>
      </c>
      <c r="K21" s="8">
        <f t="shared" si="6"/>
        <v>64423.199999999997</v>
      </c>
      <c r="L21" s="8">
        <f t="shared" si="3"/>
        <v>10737.2</v>
      </c>
      <c r="M21" s="8">
        <f t="shared" si="12"/>
        <v>139583.6</v>
      </c>
    </row>
    <row r="22" spans="1:13" ht="15" customHeight="1" x14ac:dyDescent="0.25">
      <c r="A22" s="11">
        <f t="shared" si="2"/>
        <v>44842</v>
      </c>
      <c r="B22" s="8">
        <v>62474</v>
      </c>
      <c r="C22" s="8">
        <v>2403</v>
      </c>
      <c r="D22" s="8">
        <v>0</v>
      </c>
      <c r="E22" s="8">
        <v>0</v>
      </c>
      <c r="F22" s="8">
        <v>0</v>
      </c>
      <c r="G22" s="8">
        <v>8388</v>
      </c>
      <c r="H22" s="8">
        <v>0</v>
      </c>
      <c r="I22" s="8">
        <v>16059</v>
      </c>
      <c r="J22" s="8">
        <f t="shared" ref="J22" si="14">SUM(B22:I22)</f>
        <v>89324</v>
      </c>
      <c r="K22" s="8">
        <f t="shared" si="6"/>
        <v>26797.200000000001</v>
      </c>
      <c r="L22" s="8">
        <f t="shared" si="3"/>
        <v>4466.2</v>
      </c>
      <c r="M22" s="8">
        <f t="shared" si="12"/>
        <v>58060.6</v>
      </c>
    </row>
    <row r="23" spans="1:13" ht="15" customHeight="1" x14ac:dyDescent="0.25">
      <c r="A23" s="11">
        <f t="shared" si="2"/>
        <v>44849</v>
      </c>
      <c r="B23" s="8">
        <v>15674</v>
      </c>
      <c r="C23" s="8">
        <v>6269</v>
      </c>
      <c r="D23" s="8">
        <v>0</v>
      </c>
      <c r="E23" s="8">
        <v>0</v>
      </c>
      <c r="F23" s="8">
        <v>85</v>
      </c>
      <c r="G23" s="8">
        <v>80945</v>
      </c>
      <c r="H23" s="8">
        <v>9650</v>
      </c>
      <c r="I23" s="8">
        <v>692</v>
      </c>
      <c r="J23" s="8">
        <f t="shared" ref="J23" si="15">SUM(B23:I23)</f>
        <v>113315</v>
      </c>
      <c r="K23" s="8">
        <f t="shared" si="6"/>
        <v>33994.5</v>
      </c>
      <c r="L23" s="8">
        <f t="shared" si="3"/>
        <v>5665.75</v>
      </c>
      <c r="M23" s="8">
        <f t="shared" si="12"/>
        <v>73654.75</v>
      </c>
    </row>
    <row r="24" spans="1:13" ht="15" customHeight="1" x14ac:dyDescent="0.25">
      <c r="A24" s="11">
        <f t="shared" si="2"/>
        <v>44856</v>
      </c>
      <c r="B24" s="8">
        <v>195218</v>
      </c>
      <c r="C24" s="8">
        <v>-1187</v>
      </c>
      <c r="D24" s="8">
        <v>0</v>
      </c>
      <c r="E24" s="8">
        <v>0</v>
      </c>
      <c r="F24" s="8">
        <v>90</v>
      </c>
      <c r="G24" s="8">
        <v>18513</v>
      </c>
      <c r="H24" s="8">
        <v>0</v>
      </c>
      <c r="I24" s="8">
        <v>1291</v>
      </c>
      <c r="J24" s="8">
        <f t="shared" ref="J24" si="16">SUM(B24:I24)</f>
        <v>213925</v>
      </c>
      <c r="K24" s="8">
        <f t="shared" si="6"/>
        <v>64177.5</v>
      </c>
      <c r="L24" s="8">
        <f t="shared" si="3"/>
        <v>10696.25</v>
      </c>
      <c r="M24" s="8">
        <f t="shared" si="12"/>
        <v>139051.25</v>
      </c>
    </row>
    <row r="25" spans="1:13" ht="15" customHeight="1" x14ac:dyDescent="0.25">
      <c r="A25" s="11">
        <f t="shared" si="2"/>
        <v>44863</v>
      </c>
      <c r="B25" s="8">
        <v>44633.5</v>
      </c>
      <c r="C25" s="8">
        <v>-12140</v>
      </c>
      <c r="D25" s="8">
        <v>0</v>
      </c>
      <c r="E25" s="8">
        <v>0</v>
      </c>
      <c r="F25" s="8">
        <v>80</v>
      </c>
      <c r="G25" s="8">
        <v>87834</v>
      </c>
      <c r="H25" s="8">
        <v>0</v>
      </c>
      <c r="I25" s="8">
        <v>7587</v>
      </c>
      <c r="J25" s="8">
        <f t="shared" ref="J25" si="17">SUM(B25:I25)</f>
        <v>127994.5</v>
      </c>
      <c r="K25" s="8">
        <f t="shared" si="6"/>
        <v>38398.35</v>
      </c>
      <c r="L25" s="8">
        <f t="shared" si="3"/>
        <v>6399.73</v>
      </c>
      <c r="M25" s="8">
        <f>ROUND($J25*0.65,2)-0.01</f>
        <v>83196.42</v>
      </c>
    </row>
    <row r="26" spans="1:13" ht="15" customHeight="1" x14ac:dyDescent="0.25">
      <c r="A26" s="11">
        <f t="shared" si="2"/>
        <v>44870</v>
      </c>
      <c r="B26" s="8">
        <v>44194</v>
      </c>
      <c r="C26" s="8">
        <v>12376</v>
      </c>
      <c r="D26" s="8">
        <v>0</v>
      </c>
      <c r="E26" s="8">
        <v>0</v>
      </c>
      <c r="F26" s="8">
        <v>90</v>
      </c>
      <c r="G26" s="8">
        <v>13881</v>
      </c>
      <c r="H26" s="8">
        <v>0</v>
      </c>
      <c r="I26" s="8">
        <v>9938</v>
      </c>
      <c r="J26" s="8">
        <f t="shared" ref="J26" si="18">SUM(B26:I26)</f>
        <v>80479</v>
      </c>
      <c r="K26" s="8">
        <f t="shared" si="6"/>
        <v>24143.7</v>
      </c>
      <c r="L26" s="8">
        <f t="shared" si="3"/>
        <v>4023.95</v>
      </c>
      <c r="M26" s="8">
        <f>ROUND($J26*0.65,2)</f>
        <v>52311.35</v>
      </c>
    </row>
    <row r="27" spans="1:13" ht="15" customHeight="1" x14ac:dyDescent="0.25">
      <c r="A27" s="11">
        <f t="shared" si="2"/>
        <v>44877</v>
      </c>
      <c r="B27" s="8">
        <v>101083.5</v>
      </c>
      <c r="C27" s="8">
        <v>-907</v>
      </c>
      <c r="D27" s="8">
        <v>0</v>
      </c>
      <c r="E27" s="8">
        <v>0</v>
      </c>
      <c r="F27" s="8">
        <v>105</v>
      </c>
      <c r="G27" s="8">
        <v>375</v>
      </c>
      <c r="H27" s="8">
        <v>0</v>
      </c>
      <c r="I27" s="8">
        <v>10697</v>
      </c>
      <c r="J27" s="8">
        <f t="shared" ref="J27" si="19">SUM(B27:I27)</f>
        <v>111353.5</v>
      </c>
      <c r="K27" s="8">
        <f t="shared" si="6"/>
        <v>33406.050000000003</v>
      </c>
      <c r="L27" s="8">
        <f t="shared" si="3"/>
        <v>5567.68</v>
      </c>
      <c r="M27" s="8">
        <f>ROUND($J27*0.65,2)-0.01</f>
        <v>72379.77</v>
      </c>
    </row>
    <row r="28" spans="1:13" ht="15" customHeight="1" x14ac:dyDescent="0.25">
      <c r="A28" s="11">
        <f t="shared" si="2"/>
        <v>44884</v>
      </c>
      <c r="B28" s="8">
        <v>30183.5</v>
      </c>
      <c r="C28" s="8">
        <v>-43424</v>
      </c>
      <c r="D28" s="8">
        <v>0</v>
      </c>
      <c r="E28" s="8">
        <v>0</v>
      </c>
      <c r="F28" s="8">
        <v>90</v>
      </c>
      <c r="G28" s="8">
        <v>27723.5</v>
      </c>
      <c r="H28" s="8">
        <v>0</v>
      </c>
      <c r="I28" s="8">
        <v>-18191</v>
      </c>
      <c r="J28" s="8">
        <f t="shared" ref="J28" si="20">SUM(B28:I28)</f>
        <v>-3618</v>
      </c>
      <c r="K28" s="8">
        <f t="shared" si="6"/>
        <v>-1085.4000000000001</v>
      </c>
      <c r="L28" s="8">
        <f t="shared" si="3"/>
        <v>-180.9</v>
      </c>
      <c r="M28" s="8">
        <f>ROUND($J28*0.65,2)</f>
        <v>-2351.6999999999998</v>
      </c>
    </row>
    <row r="29" spans="1:13" ht="15" customHeight="1" x14ac:dyDescent="0.25">
      <c r="A29" s="11">
        <f t="shared" si="2"/>
        <v>44891</v>
      </c>
      <c r="B29" s="8">
        <v>131884</v>
      </c>
      <c r="C29" s="8">
        <v>-18029</v>
      </c>
      <c r="D29" s="8">
        <v>55350</v>
      </c>
      <c r="E29" s="8">
        <v>0</v>
      </c>
      <c r="F29" s="8">
        <v>50</v>
      </c>
      <c r="G29" s="8">
        <v>61416.5</v>
      </c>
      <c r="H29" s="8">
        <v>-12122</v>
      </c>
      <c r="I29" s="8">
        <v>10021</v>
      </c>
      <c r="J29" s="8">
        <f t="shared" ref="J29" si="21">SUM(B29:I29)</f>
        <v>228570.5</v>
      </c>
      <c r="K29" s="8">
        <f t="shared" si="6"/>
        <v>68571.149999999994</v>
      </c>
      <c r="L29" s="8">
        <f t="shared" si="3"/>
        <v>11428.53</v>
      </c>
      <c r="M29" s="8">
        <f>ROUND($J29*0.65,2)-0.01</f>
        <v>148570.81999999998</v>
      </c>
    </row>
    <row r="30" spans="1:13" ht="15" customHeight="1" x14ac:dyDescent="0.25">
      <c r="A30" s="11">
        <f t="shared" si="2"/>
        <v>44898</v>
      </c>
      <c r="B30" s="8">
        <v>157258</v>
      </c>
      <c r="C30" s="8">
        <v>12818</v>
      </c>
      <c r="D30" s="8">
        <v>-10432.5</v>
      </c>
      <c r="E30" s="8">
        <v>0</v>
      </c>
      <c r="F30" s="8">
        <v>60</v>
      </c>
      <c r="G30" s="8">
        <v>13720</v>
      </c>
      <c r="H30" s="8">
        <v>1185</v>
      </c>
      <c r="I30" s="8">
        <v>2248</v>
      </c>
      <c r="J30" s="8">
        <f t="shared" ref="J30" si="22">SUM(B30:I30)</f>
        <v>176856.5</v>
      </c>
      <c r="K30" s="8">
        <f t="shared" si="6"/>
        <v>53056.95</v>
      </c>
      <c r="L30" s="8">
        <f t="shared" si="3"/>
        <v>8842.83</v>
      </c>
      <c r="M30" s="8">
        <f>ROUND($J30*0.65,2)-0.01</f>
        <v>114956.72</v>
      </c>
    </row>
    <row r="31" spans="1:13" ht="15" customHeight="1" x14ac:dyDescent="0.25">
      <c r="A31" s="11">
        <f t="shared" si="2"/>
        <v>44905</v>
      </c>
      <c r="B31" s="8">
        <v>71066</v>
      </c>
      <c r="C31" s="8">
        <v>38384</v>
      </c>
      <c r="D31" s="8">
        <v>0</v>
      </c>
      <c r="E31" s="8">
        <v>0</v>
      </c>
      <c r="F31" s="8">
        <v>0</v>
      </c>
      <c r="G31" s="8">
        <v>16064</v>
      </c>
      <c r="H31" s="8">
        <v>-7975</v>
      </c>
      <c r="I31" s="8">
        <v>9971</v>
      </c>
      <c r="J31" s="8">
        <f t="shared" ref="J31" si="23">SUM(B31:I31)</f>
        <v>127510</v>
      </c>
      <c r="K31" s="8">
        <f t="shared" si="6"/>
        <v>38253</v>
      </c>
      <c r="L31" s="8">
        <f t="shared" si="3"/>
        <v>6375.5</v>
      </c>
      <c r="M31" s="8">
        <f>ROUND($J31*0.65,2)</f>
        <v>82881.5</v>
      </c>
    </row>
    <row r="32" spans="1:13" ht="15" customHeight="1" x14ac:dyDescent="0.25">
      <c r="A32" s="11">
        <f t="shared" si="2"/>
        <v>44912</v>
      </c>
      <c r="B32" s="8">
        <v>183048</v>
      </c>
      <c r="C32" s="8">
        <v>-10654</v>
      </c>
      <c r="D32" s="8">
        <v>0</v>
      </c>
      <c r="E32" s="8">
        <v>0</v>
      </c>
      <c r="F32" s="8">
        <v>0</v>
      </c>
      <c r="G32" s="8">
        <v>54466</v>
      </c>
      <c r="H32" s="8"/>
      <c r="I32" s="8">
        <v>5361</v>
      </c>
      <c r="J32" s="8">
        <f t="shared" ref="J32" si="24">SUM(B32:I32)</f>
        <v>232221</v>
      </c>
      <c r="K32" s="8">
        <f t="shared" si="6"/>
        <v>69666.3</v>
      </c>
      <c r="L32" s="8">
        <f t="shared" si="3"/>
        <v>11611.05</v>
      </c>
      <c r="M32" s="8">
        <f>ROUND($J32*0.65,2)</f>
        <v>150943.65</v>
      </c>
    </row>
    <row r="33" spans="1:13" ht="15" customHeight="1" x14ac:dyDescent="0.25">
      <c r="A33" s="11">
        <f t="shared" si="2"/>
        <v>44919</v>
      </c>
      <c r="B33" s="8">
        <v>67760.5</v>
      </c>
      <c r="C33" s="8">
        <v>7770</v>
      </c>
      <c r="D33" s="8">
        <v>0</v>
      </c>
      <c r="E33" s="8">
        <v>0</v>
      </c>
      <c r="F33" s="8">
        <v>0</v>
      </c>
      <c r="G33" s="8">
        <v>13145</v>
      </c>
      <c r="H33" s="8">
        <v>0</v>
      </c>
      <c r="I33" s="8">
        <v>0</v>
      </c>
      <c r="J33" s="8">
        <f t="shared" ref="J33" si="25">SUM(B33:I33)</f>
        <v>88675.5</v>
      </c>
      <c r="K33" s="8">
        <f t="shared" si="6"/>
        <v>26602.65</v>
      </c>
      <c r="L33" s="8">
        <f t="shared" si="3"/>
        <v>4433.78</v>
      </c>
      <c r="M33" s="8">
        <f>ROUND($J33*0.65,2)-0.01</f>
        <v>57639.07</v>
      </c>
    </row>
    <row r="34" spans="1:13" ht="15" customHeight="1" x14ac:dyDescent="0.25">
      <c r="A34" s="11">
        <f t="shared" si="2"/>
        <v>44926</v>
      </c>
      <c r="B34" s="8">
        <v>187503.5</v>
      </c>
      <c r="C34" s="8">
        <v>3724</v>
      </c>
      <c r="D34" s="8">
        <v>0</v>
      </c>
      <c r="E34" s="8">
        <v>0</v>
      </c>
      <c r="F34" s="8">
        <v>0</v>
      </c>
      <c r="G34" s="8">
        <v>-610</v>
      </c>
      <c r="H34" s="8">
        <v>0</v>
      </c>
      <c r="I34" s="8">
        <v>2112</v>
      </c>
      <c r="J34" s="8">
        <f t="shared" ref="J34" si="26">SUM(B34:I34)</f>
        <v>192729.5</v>
      </c>
      <c r="K34" s="8">
        <f t="shared" si="6"/>
        <v>57818.85</v>
      </c>
      <c r="L34" s="8">
        <f t="shared" si="3"/>
        <v>9636.48</v>
      </c>
      <c r="M34" s="8">
        <f>ROUND($J34*0.65,2)-0.01</f>
        <v>125274.17</v>
      </c>
    </row>
    <row r="35" spans="1:13" ht="15" customHeight="1" x14ac:dyDescent="0.25">
      <c r="A35" s="11">
        <f t="shared" si="2"/>
        <v>44933</v>
      </c>
      <c r="B35" s="8">
        <v>-17285.5</v>
      </c>
      <c r="C35" s="8">
        <v>3167</v>
      </c>
      <c r="D35" s="8">
        <v>0</v>
      </c>
      <c r="E35" s="8">
        <v>0</v>
      </c>
      <c r="F35" s="8">
        <v>0</v>
      </c>
      <c r="G35" s="8">
        <v>-10017</v>
      </c>
      <c r="H35" s="8">
        <v>0</v>
      </c>
      <c r="I35" s="8">
        <v>5318</v>
      </c>
      <c r="J35" s="8">
        <f t="shared" ref="J35" si="27">SUM(B35:I35)</f>
        <v>-18817.5</v>
      </c>
      <c r="K35" s="8">
        <f t="shared" si="6"/>
        <v>-5645.25</v>
      </c>
      <c r="L35" s="8">
        <f t="shared" si="3"/>
        <v>-940.88</v>
      </c>
      <c r="M35" s="8">
        <f>ROUND($J35*0.65,2)+0.01</f>
        <v>-12231.369999999999</v>
      </c>
    </row>
    <row r="36" spans="1:13" ht="15" customHeight="1" x14ac:dyDescent="0.25">
      <c r="A36" s="11">
        <f t="shared" si="2"/>
        <v>44940</v>
      </c>
      <c r="B36" s="8">
        <v>91442.5</v>
      </c>
      <c r="C36" s="8">
        <v>10752</v>
      </c>
      <c r="D36" s="8">
        <v>0</v>
      </c>
      <c r="E36" s="8">
        <v>0</v>
      </c>
      <c r="F36" s="8">
        <v>0</v>
      </c>
      <c r="G36" s="8">
        <v>11608</v>
      </c>
      <c r="H36" s="8">
        <v>510</v>
      </c>
      <c r="I36" s="8">
        <v>1581</v>
      </c>
      <c r="J36" s="8">
        <f t="shared" ref="J36" si="28">SUM(B36:I36)</f>
        <v>115893.5</v>
      </c>
      <c r="K36" s="8">
        <f t="shared" si="6"/>
        <v>34768.050000000003</v>
      </c>
      <c r="L36" s="8">
        <f t="shared" si="3"/>
        <v>5794.68</v>
      </c>
      <c r="M36" s="8">
        <f>ROUND($J36*0.65,2)-0.01</f>
        <v>75330.77</v>
      </c>
    </row>
    <row r="37" spans="1:13" ht="15" customHeight="1" x14ac:dyDescent="0.25">
      <c r="A37" s="11">
        <f t="shared" si="2"/>
        <v>44947</v>
      </c>
      <c r="B37" s="8">
        <v>91489.5</v>
      </c>
      <c r="C37" s="8">
        <v>0</v>
      </c>
      <c r="D37" s="8">
        <v>0</v>
      </c>
      <c r="E37" s="8">
        <v>0</v>
      </c>
      <c r="F37" s="8">
        <v>0</v>
      </c>
      <c r="G37" s="8">
        <v>9609</v>
      </c>
      <c r="H37" s="8">
        <v>0</v>
      </c>
      <c r="I37" s="8">
        <v>13499</v>
      </c>
      <c r="J37" s="8">
        <f t="shared" ref="J37" si="29">SUM(B37:I37)</f>
        <v>114597.5</v>
      </c>
      <c r="K37" s="8">
        <f t="shared" si="6"/>
        <v>34379.25</v>
      </c>
      <c r="L37" s="8">
        <f t="shared" si="3"/>
        <v>5729.88</v>
      </c>
      <c r="M37" s="8">
        <f>ROUND($J37*0.65,2)-0.01</f>
        <v>74488.37000000001</v>
      </c>
    </row>
    <row r="38" spans="1:13" ht="15" customHeight="1" x14ac:dyDescent="0.25">
      <c r="A38" s="11">
        <f t="shared" si="2"/>
        <v>44954</v>
      </c>
      <c r="B38" s="8">
        <v>170162</v>
      </c>
      <c r="C38" s="8">
        <v>0</v>
      </c>
      <c r="D38" s="8">
        <v>-1157.5</v>
      </c>
      <c r="E38" s="8">
        <v>0</v>
      </c>
      <c r="F38" s="8">
        <v>0</v>
      </c>
      <c r="G38" s="8">
        <v>14924</v>
      </c>
      <c r="H38" s="8">
        <v>0</v>
      </c>
      <c r="I38" s="8">
        <v>-7027</v>
      </c>
      <c r="J38" s="8">
        <f t="shared" ref="J38" si="30">SUM(B38:I38)</f>
        <v>176901.5</v>
      </c>
      <c r="K38" s="8">
        <f t="shared" si="6"/>
        <v>53070.45</v>
      </c>
      <c r="L38" s="8">
        <f t="shared" si="3"/>
        <v>8845.08</v>
      </c>
      <c r="M38" s="8">
        <f>ROUND($J38*0.65,2)-0.01</f>
        <v>114985.97</v>
      </c>
    </row>
    <row r="39" spans="1:13" ht="15" customHeight="1" x14ac:dyDescent="0.25">
      <c r="A39" s="11">
        <f t="shared" si="2"/>
        <v>44961</v>
      </c>
      <c r="B39" s="8">
        <v>70469</v>
      </c>
      <c r="C39" s="8">
        <v>0</v>
      </c>
      <c r="D39" s="8">
        <v>0</v>
      </c>
      <c r="E39" s="8">
        <v>0</v>
      </c>
      <c r="F39" s="8">
        <v>110</v>
      </c>
      <c r="G39" s="8">
        <v>2042</v>
      </c>
      <c r="H39" s="8">
        <v>0</v>
      </c>
      <c r="I39" s="8">
        <v>24849</v>
      </c>
      <c r="J39" s="8">
        <f t="shared" ref="J39" si="31">SUM(B39:I39)</f>
        <v>97470</v>
      </c>
      <c r="K39" s="8">
        <f t="shared" si="6"/>
        <v>29241</v>
      </c>
      <c r="L39" s="8">
        <f t="shared" si="3"/>
        <v>4873.5</v>
      </c>
      <c r="M39" s="8">
        <f>ROUND($J39*0.65,2)</f>
        <v>63355.5</v>
      </c>
    </row>
    <row r="40" spans="1:13" ht="15" customHeight="1" x14ac:dyDescent="0.25">
      <c r="A40" s="11">
        <f t="shared" si="2"/>
        <v>44968</v>
      </c>
      <c r="B40" s="8">
        <v>88289</v>
      </c>
      <c r="C40" s="8">
        <v>3700</v>
      </c>
      <c r="D40" s="8">
        <v>0</v>
      </c>
      <c r="E40" s="8">
        <v>0</v>
      </c>
      <c r="F40" s="8">
        <v>80</v>
      </c>
      <c r="G40" s="8">
        <v>-994</v>
      </c>
      <c r="H40" s="8">
        <v>0</v>
      </c>
      <c r="I40" s="8">
        <v>10447</v>
      </c>
      <c r="J40" s="8">
        <f t="shared" ref="J40" si="32">SUM(B40:I40)</f>
        <v>101522</v>
      </c>
      <c r="K40" s="8">
        <f t="shared" si="6"/>
        <v>30456.6</v>
      </c>
      <c r="L40" s="8">
        <f t="shared" si="3"/>
        <v>5076.1000000000004</v>
      </c>
      <c r="M40" s="8">
        <f>ROUND($J40*0.65,2)</f>
        <v>65989.3</v>
      </c>
    </row>
    <row r="41" spans="1:13" ht="15" customHeight="1" x14ac:dyDescent="0.25">
      <c r="A41" s="11">
        <f t="shared" si="2"/>
        <v>44975</v>
      </c>
      <c r="B41" s="8">
        <v>85891.5</v>
      </c>
      <c r="C41" s="8">
        <v>-860</v>
      </c>
      <c r="D41" s="8">
        <v>3515</v>
      </c>
      <c r="E41" s="8">
        <v>0</v>
      </c>
      <c r="F41" s="8">
        <v>90</v>
      </c>
      <c r="G41" s="8">
        <v>26386</v>
      </c>
      <c r="H41" s="8">
        <v>37640</v>
      </c>
      <c r="I41" s="8">
        <v>8926</v>
      </c>
      <c r="J41" s="8">
        <f t="shared" ref="J41" si="33">SUM(B41:I41)</f>
        <v>161588.5</v>
      </c>
      <c r="K41" s="8">
        <f t="shared" si="6"/>
        <v>48476.55</v>
      </c>
      <c r="L41" s="8">
        <f t="shared" si="3"/>
        <v>8079.43</v>
      </c>
      <c r="M41" s="8">
        <f>ROUND($J41*0.65,2)-0.01</f>
        <v>105032.52</v>
      </c>
    </row>
    <row r="42" spans="1:13" ht="15" customHeight="1" x14ac:dyDescent="0.25">
      <c r="A42" s="11">
        <f t="shared" si="2"/>
        <v>44982</v>
      </c>
      <c r="B42" s="8">
        <v>164594</v>
      </c>
      <c r="C42" s="8">
        <v>0</v>
      </c>
      <c r="D42" s="8">
        <v>-1010</v>
      </c>
      <c r="E42" s="8">
        <v>0</v>
      </c>
      <c r="F42" s="8">
        <v>85</v>
      </c>
      <c r="G42" s="8">
        <v>27244</v>
      </c>
      <c r="H42" s="8">
        <v>-4200</v>
      </c>
      <c r="I42" s="8">
        <v>13373</v>
      </c>
      <c r="J42" s="8">
        <f t="shared" ref="J42" si="34">SUM(B42:I42)</f>
        <v>200086</v>
      </c>
      <c r="K42" s="8">
        <f t="shared" si="6"/>
        <v>60025.8</v>
      </c>
      <c r="L42" s="8">
        <f t="shared" si="3"/>
        <v>10004.299999999999</v>
      </c>
      <c r="M42" s="8">
        <f>ROUND($J42*0.65,2)</f>
        <v>130055.9</v>
      </c>
    </row>
    <row r="43" spans="1:13" ht="15" customHeight="1" x14ac:dyDescent="0.25">
      <c r="A43" s="11">
        <f t="shared" si="2"/>
        <v>44989</v>
      </c>
      <c r="B43" s="8">
        <v>63634</v>
      </c>
      <c r="C43" s="8">
        <v>0</v>
      </c>
      <c r="D43" s="8">
        <v>-1062.5</v>
      </c>
      <c r="E43" s="8">
        <v>0</v>
      </c>
      <c r="F43" s="8">
        <v>95</v>
      </c>
      <c r="G43" s="8">
        <v>9595</v>
      </c>
      <c r="H43" s="8">
        <v>0</v>
      </c>
      <c r="I43" s="8">
        <v>19608</v>
      </c>
      <c r="J43" s="8">
        <f t="shared" ref="J43" si="35">SUM(B43:I43)</f>
        <v>91869.5</v>
      </c>
      <c r="K43" s="8">
        <f t="shared" ref="K43:K60" si="36">ROUND($J43*0.3,2)</f>
        <v>27560.85</v>
      </c>
      <c r="L43" s="8">
        <f>ROUND($J43*0.05,2)-0.01</f>
        <v>4593.4699999999993</v>
      </c>
      <c r="M43" s="8">
        <f>ROUND($J43*0.65,2)</f>
        <v>59715.18</v>
      </c>
    </row>
    <row r="44" spans="1:13" ht="15" customHeight="1" x14ac:dyDescent="0.25">
      <c r="A44" s="11">
        <f t="shared" si="2"/>
        <v>44996</v>
      </c>
      <c r="B44" s="8">
        <v>-87502</v>
      </c>
      <c r="C44" s="8">
        <v>-86</v>
      </c>
      <c r="D44" s="8">
        <v>0</v>
      </c>
      <c r="E44" s="8">
        <v>0</v>
      </c>
      <c r="F44" s="8">
        <v>95</v>
      </c>
      <c r="G44" s="8">
        <v>16920</v>
      </c>
      <c r="H44" s="8">
        <v>0</v>
      </c>
      <c r="I44" s="8">
        <v>12785</v>
      </c>
      <c r="J44" s="8">
        <f t="shared" ref="J44" si="37">SUM(B44:I44)</f>
        <v>-57788</v>
      </c>
      <c r="K44" s="8">
        <f t="shared" si="36"/>
        <v>-17336.400000000001</v>
      </c>
      <c r="L44" s="8">
        <f t="shared" ref="L44:L60" si="38">ROUND($J44*0.05,2)</f>
        <v>-2889.4</v>
      </c>
      <c r="M44" s="8">
        <f>ROUND($J44*0.65,2)</f>
        <v>-37562.199999999997</v>
      </c>
    </row>
    <row r="45" spans="1:13" ht="15" customHeight="1" x14ac:dyDescent="0.25">
      <c r="A45" s="11">
        <f t="shared" si="2"/>
        <v>45003</v>
      </c>
      <c r="B45" s="8">
        <v>-13745</v>
      </c>
      <c r="C45" s="8">
        <v>-66358</v>
      </c>
      <c r="D45" s="8">
        <v>0</v>
      </c>
      <c r="E45" s="8">
        <v>0</v>
      </c>
      <c r="F45" s="8">
        <v>85</v>
      </c>
      <c r="G45" s="8">
        <v>7173</v>
      </c>
      <c r="H45" s="8">
        <v>41115</v>
      </c>
      <c r="I45" s="8">
        <v>14122</v>
      </c>
      <c r="J45" s="8">
        <f t="shared" ref="J45" si="39">SUM(B45:I45)</f>
        <v>-17608</v>
      </c>
      <c r="K45" s="8">
        <f t="shared" si="36"/>
        <v>-5282.4</v>
      </c>
      <c r="L45" s="8">
        <f t="shared" si="38"/>
        <v>-880.4</v>
      </c>
      <c r="M45" s="8">
        <f>ROUND($J45*0.65,2)</f>
        <v>-11445.2</v>
      </c>
    </row>
    <row r="46" spans="1:13" ht="15" customHeight="1" x14ac:dyDescent="0.25">
      <c r="A46" s="11">
        <f t="shared" si="2"/>
        <v>45010</v>
      </c>
      <c r="B46" s="8">
        <v>148822.49699999997</v>
      </c>
      <c r="C46" s="8">
        <v>8973</v>
      </c>
      <c r="D46" s="8">
        <v>0</v>
      </c>
      <c r="E46" s="8">
        <v>0</v>
      </c>
      <c r="F46" s="8">
        <v>90</v>
      </c>
      <c r="G46" s="8">
        <v>911</v>
      </c>
      <c r="H46" s="8">
        <v>0</v>
      </c>
      <c r="I46" s="8">
        <v>6125</v>
      </c>
      <c r="J46" s="8">
        <f t="shared" ref="J46:J47" si="40">SUM(B46:I46)</f>
        <v>164921.49699999997</v>
      </c>
      <c r="K46" s="8">
        <f t="shared" si="36"/>
        <v>49476.45</v>
      </c>
      <c r="L46" s="8">
        <f t="shared" si="38"/>
        <v>8246.07</v>
      </c>
      <c r="M46" s="8">
        <f>ROUND($J46*0.65,2)+0.01</f>
        <v>107198.98</v>
      </c>
    </row>
    <row r="47" spans="1:13" ht="15" customHeight="1" x14ac:dyDescent="0.25">
      <c r="A47" s="11">
        <f t="shared" si="2"/>
        <v>45017</v>
      </c>
      <c r="B47" s="8">
        <v>15003</v>
      </c>
      <c r="C47" s="8">
        <v>11673</v>
      </c>
      <c r="D47" s="8">
        <v>0</v>
      </c>
      <c r="E47" s="8">
        <v>0</v>
      </c>
      <c r="F47" s="8">
        <v>0</v>
      </c>
      <c r="G47" s="8">
        <v>1738</v>
      </c>
      <c r="H47" s="8">
        <v>0</v>
      </c>
      <c r="I47" s="8">
        <v>1255</v>
      </c>
      <c r="J47" s="8">
        <f t="shared" si="40"/>
        <v>29669</v>
      </c>
      <c r="K47" s="8">
        <f t="shared" si="36"/>
        <v>8900.7000000000007</v>
      </c>
      <c r="L47" s="8">
        <f t="shared" si="38"/>
        <v>1483.45</v>
      </c>
      <c r="M47" s="8">
        <f>ROUND($J47*0.65,2)</f>
        <v>19284.849999999999</v>
      </c>
    </row>
    <row r="48" spans="1:13" ht="15" customHeight="1" x14ac:dyDescent="0.25">
      <c r="A48" s="11">
        <f t="shared" si="2"/>
        <v>45024</v>
      </c>
      <c r="B48" s="8">
        <v>31130</v>
      </c>
      <c r="C48" s="8">
        <v>40787</v>
      </c>
      <c r="D48" s="8">
        <v>6129.25</v>
      </c>
      <c r="E48" s="8">
        <v>0</v>
      </c>
      <c r="F48" s="8">
        <v>0</v>
      </c>
      <c r="G48" s="8">
        <v>8114</v>
      </c>
      <c r="H48" s="8">
        <v>0</v>
      </c>
      <c r="I48" s="8">
        <v>16157</v>
      </c>
      <c r="J48" s="8">
        <f t="shared" ref="J48" si="41">SUM(B48:I48)</f>
        <v>102317.25</v>
      </c>
      <c r="K48" s="8">
        <f t="shared" si="36"/>
        <v>30695.18</v>
      </c>
      <c r="L48" s="8">
        <f t="shared" si="38"/>
        <v>5115.8599999999997</v>
      </c>
      <c r="M48" s="8">
        <f>ROUND($J48*0.65,2)</f>
        <v>66506.210000000006</v>
      </c>
    </row>
    <row r="49" spans="1:13" ht="15" customHeight="1" x14ac:dyDescent="0.25">
      <c r="A49" s="11">
        <f t="shared" si="2"/>
        <v>45031</v>
      </c>
      <c r="B49" s="8">
        <v>41328.5</v>
      </c>
      <c r="C49" s="8">
        <v>43770</v>
      </c>
      <c r="D49" s="8">
        <v>-544</v>
      </c>
      <c r="E49" s="8">
        <v>0</v>
      </c>
      <c r="F49" s="8">
        <v>0</v>
      </c>
      <c r="G49" s="8">
        <v>7660</v>
      </c>
      <c r="H49" s="8">
        <v>0</v>
      </c>
      <c r="I49" s="8">
        <v>1230</v>
      </c>
      <c r="J49" s="8">
        <f t="shared" ref="J49" si="42">SUM(B49:I49)</f>
        <v>93444.5</v>
      </c>
      <c r="K49" s="8">
        <f t="shared" si="36"/>
        <v>28033.35</v>
      </c>
      <c r="L49" s="8">
        <f t="shared" si="38"/>
        <v>4672.2299999999996</v>
      </c>
      <c r="M49" s="8">
        <f>ROUND($J49*0.65,2)-0.01</f>
        <v>60738.92</v>
      </c>
    </row>
    <row r="50" spans="1:13" ht="15" customHeight="1" x14ac:dyDescent="0.25">
      <c r="A50" s="11">
        <f t="shared" si="2"/>
        <v>45038</v>
      </c>
      <c r="B50" s="8">
        <v>120793</v>
      </c>
      <c r="C50" s="8">
        <v>39178</v>
      </c>
      <c r="D50" s="8">
        <v>0</v>
      </c>
      <c r="E50" s="8">
        <v>0</v>
      </c>
      <c r="F50" s="8">
        <v>0</v>
      </c>
      <c r="G50" s="8">
        <v>118389</v>
      </c>
      <c r="H50" s="8">
        <v>0</v>
      </c>
      <c r="I50" s="8">
        <v>16924</v>
      </c>
      <c r="J50" s="8">
        <f t="shared" ref="J50" si="43">SUM(B50:I50)</f>
        <v>295284</v>
      </c>
      <c r="K50" s="8">
        <f t="shared" si="36"/>
        <v>88585.2</v>
      </c>
      <c r="L50" s="8">
        <f t="shared" si="38"/>
        <v>14764.2</v>
      </c>
      <c r="M50" s="8">
        <f>ROUND($J50*0.65,2)</f>
        <v>191934.6</v>
      </c>
    </row>
    <row r="51" spans="1:13" ht="15" customHeight="1" x14ac:dyDescent="0.25">
      <c r="A51" s="11">
        <f t="shared" si="2"/>
        <v>45045</v>
      </c>
      <c r="B51" s="8">
        <v>111381.5</v>
      </c>
      <c r="C51" s="8">
        <v>42135</v>
      </c>
      <c r="D51" s="8">
        <v>0</v>
      </c>
      <c r="E51" s="8">
        <v>0</v>
      </c>
      <c r="F51" s="8">
        <v>0</v>
      </c>
      <c r="G51" s="8">
        <v>19151</v>
      </c>
      <c r="H51" s="8">
        <v>0</v>
      </c>
      <c r="I51" s="8">
        <v>2989</v>
      </c>
      <c r="J51" s="8">
        <f t="shared" ref="J51" si="44">SUM(B51:I51)</f>
        <v>175656.5</v>
      </c>
      <c r="K51" s="8">
        <f t="shared" si="36"/>
        <v>52696.95</v>
      </c>
      <c r="L51" s="8">
        <f t="shared" si="38"/>
        <v>8782.83</v>
      </c>
      <c r="M51" s="8">
        <f>ROUND($J51*0.65,2)-0.01</f>
        <v>114176.72</v>
      </c>
    </row>
    <row r="52" spans="1:13" ht="15" customHeight="1" x14ac:dyDescent="0.25">
      <c r="A52" s="11">
        <f t="shared" si="2"/>
        <v>45052</v>
      </c>
      <c r="B52" s="8">
        <v>7106.5</v>
      </c>
      <c r="C52" s="8">
        <v>7049</v>
      </c>
      <c r="D52" s="8">
        <v>0</v>
      </c>
      <c r="E52" s="8">
        <v>0</v>
      </c>
      <c r="F52" s="8">
        <v>0</v>
      </c>
      <c r="G52" s="8">
        <v>10982</v>
      </c>
      <c r="H52" s="8">
        <v>0</v>
      </c>
      <c r="I52" s="8">
        <v>8717</v>
      </c>
      <c r="J52" s="8">
        <f t="shared" ref="J52:J53" si="45">SUM(B52:I52)</f>
        <v>33854.5</v>
      </c>
      <c r="K52" s="8">
        <f t="shared" si="36"/>
        <v>10156.35</v>
      </c>
      <c r="L52" s="8">
        <f t="shared" si="38"/>
        <v>1692.73</v>
      </c>
      <c r="M52" s="8">
        <f>ROUND($J52*0.65,2)-0.01</f>
        <v>22005.420000000002</v>
      </c>
    </row>
    <row r="53" spans="1:13" ht="15" customHeight="1" x14ac:dyDescent="0.25">
      <c r="A53" s="11">
        <f t="shared" si="2"/>
        <v>45059</v>
      </c>
      <c r="B53" s="8">
        <v>132059.5</v>
      </c>
      <c r="C53" s="8">
        <v>59309</v>
      </c>
      <c r="D53" s="8">
        <v>0</v>
      </c>
      <c r="E53" s="8">
        <v>0</v>
      </c>
      <c r="F53" s="8">
        <v>0</v>
      </c>
      <c r="G53" s="8">
        <v>7780</v>
      </c>
      <c r="H53" s="8">
        <v>0</v>
      </c>
      <c r="I53" s="8">
        <v>6826</v>
      </c>
      <c r="J53" s="8">
        <f t="shared" si="45"/>
        <v>205974.5</v>
      </c>
      <c r="K53" s="8">
        <f t="shared" si="36"/>
        <v>61792.35</v>
      </c>
      <c r="L53" s="8">
        <f t="shared" si="38"/>
        <v>10298.73</v>
      </c>
      <c r="M53" s="8">
        <f>ROUND($J53*0.65,2)-0.01</f>
        <v>133883.41999999998</v>
      </c>
    </row>
    <row r="54" spans="1:13" ht="15" customHeight="1" x14ac:dyDescent="0.25">
      <c r="A54" s="11">
        <f t="shared" si="2"/>
        <v>45066</v>
      </c>
      <c r="B54" s="8">
        <v>153617</v>
      </c>
      <c r="C54" s="8">
        <v>13481</v>
      </c>
      <c r="D54" s="8">
        <v>0</v>
      </c>
      <c r="E54" s="8">
        <v>0</v>
      </c>
      <c r="F54" s="8">
        <v>0</v>
      </c>
      <c r="G54" s="8">
        <v>96262</v>
      </c>
      <c r="H54" s="8">
        <v>0</v>
      </c>
      <c r="I54" s="8">
        <v>5536</v>
      </c>
      <c r="J54" s="8">
        <f t="shared" ref="J54" si="46">SUM(B54:I54)</f>
        <v>268896</v>
      </c>
      <c r="K54" s="8">
        <f t="shared" si="36"/>
        <v>80668.800000000003</v>
      </c>
      <c r="L54" s="8">
        <f t="shared" si="38"/>
        <v>13444.8</v>
      </c>
      <c r="M54" s="8">
        <f>ROUND($J54*0.65,2)</f>
        <v>174782.4</v>
      </c>
    </row>
    <row r="55" spans="1:13" ht="15" customHeight="1" x14ac:dyDescent="0.25">
      <c r="A55" s="11">
        <f t="shared" si="2"/>
        <v>45073</v>
      </c>
      <c r="B55" s="8">
        <v>-50375.5</v>
      </c>
      <c r="C55" s="8">
        <v>54699</v>
      </c>
      <c r="D55" s="8">
        <v>0</v>
      </c>
      <c r="E55" s="8">
        <v>0</v>
      </c>
      <c r="F55" s="8">
        <v>0</v>
      </c>
      <c r="G55" s="8">
        <v>-14856</v>
      </c>
      <c r="H55" s="8">
        <v>0</v>
      </c>
      <c r="I55" s="8">
        <v>2342</v>
      </c>
      <c r="J55" s="8">
        <f t="shared" ref="J55:J56" si="47">SUM(B55:I55)</f>
        <v>-8190.5</v>
      </c>
      <c r="K55" s="8">
        <f t="shared" si="36"/>
        <v>-2457.15</v>
      </c>
      <c r="L55" s="8">
        <f t="shared" si="38"/>
        <v>-409.53</v>
      </c>
      <c r="M55" s="8">
        <f>ROUND($J55*0.65,2)+0.01</f>
        <v>-5323.82</v>
      </c>
    </row>
    <row r="56" spans="1:13" ht="15" customHeight="1" x14ac:dyDescent="0.25">
      <c r="A56" s="11">
        <f t="shared" si="2"/>
        <v>45080</v>
      </c>
      <c r="B56" s="8">
        <v>227552.5</v>
      </c>
      <c r="C56" s="8">
        <v>30339</v>
      </c>
      <c r="D56" s="8">
        <v>114917.5</v>
      </c>
      <c r="E56" s="8">
        <v>0</v>
      </c>
      <c r="F56" s="8">
        <v>0</v>
      </c>
      <c r="G56" s="8">
        <v>-4974</v>
      </c>
      <c r="H56" s="8">
        <v>3495</v>
      </c>
      <c r="I56" s="8">
        <v>19715</v>
      </c>
      <c r="J56" s="8">
        <f t="shared" si="47"/>
        <v>391045</v>
      </c>
      <c r="K56" s="8">
        <f t="shared" si="36"/>
        <v>117313.5</v>
      </c>
      <c r="L56" s="8">
        <f t="shared" si="38"/>
        <v>19552.25</v>
      </c>
      <c r="M56" s="8">
        <f>ROUND($J56*0.65,2)</f>
        <v>254179.25</v>
      </c>
    </row>
    <row r="57" spans="1:13" ht="15" customHeight="1" x14ac:dyDescent="0.25">
      <c r="A57" s="11">
        <f t="shared" si="2"/>
        <v>45087</v>
      </c>
      <c r="B57" s="8">
        <v>-20028</v>
      </c>
      <c r="C57" s="8">
        <v>6512</v>
      </c>
      <c r="D57" s="8">
        <v>-1503</v>
      </c>
      <c r="E57" s="8">
        <v>0</v>
      </c>
      <c r="F57" s="8">
        <v>0</v>
      </c>
      <c r="G57" s="8">
        <v>15611</v>
      </c>
      <c r="H57" s="8">
        <v>0</v>
      </c>
      <c r="I57" s="8">
        <v>9134</v>
      </c>
      <c r="J57" s="8">
        <f t="shared" ref="J57" si="48">SUM(B57:I57)</f>
        <v>9726</v>
      </c>
      <c r="K57" s="8">
        <f t="shared" si="36"/>
        <v>2917.8</v>
      </c>
      <c r="L57" s="8">
        <f t="shared" si="38"/>
        <v>486.3</v>
      </c>
      <c r="M57" s="8">
        <f>ROUND($J57*0.65,2)</f>
        <v>6321.9</v>
      </c>
    </row>
    <row r="58" spans="1:13" ht="15" customHeight="1" x14ac:dyDescent="0.25">
      <c r="A58" s="11">
        <f t="shared" si="2"/>
        <v>45094</v>
      </c>
      <c r="B58" s="8">
        <v>198702</v>
      </c>
      <c r="C58" s="8">
        <v>32480</v>
      </c>
      <c r="D58" s="8">
        <v>0</v>
      </c>
      <c r="E58" s="8">
        <v>0</v>
      </c>
      <c r="F58" s="8">
        <v>0</v>
      </c>
      <c r="G58" s="8">
        <v>26714</v>
      </c>
      <c r="H58" s="8">
        <v>-3530</v>
      </c>
      <c r="I58" s="8">
        <v>7112</v>
      </c>
      <c r="J58" s="8">
        <f t="shared" ref="J58" si="49">SUM(B58:I58)</f>
        <v>261478</v>
      </c>
      <c r="K58" s="8">
        <f t="shared" si="36"/>
        <v>78443.399999999994</v>
      </c>
      <c r="L58" s="8">
        <f t="shared" si="38"/>
        <v>13073.9</v>
      </c>
      <c r="M58" s="8">
        <f>ROUND($J58*0.65,2)</f>
        <v>169960.7</v>
      </c>
    </row>
    <row r="59" spans="1:13" ht="15" customHeight="1" x14ac:dyDescent="0.25">
      <c r="A59" s="11">
        <f t="shared" si="2"/>
        <v>45101</v>
      </c>
      <c r="B59" s="8">
        <v>126742.49699999997</v>
      </c>
      <c r="C59" s="8">
        <v>29535</v>
      </c>
      <c r="D59" s="8">
        <v>0</v>
      </c>
      <c r="E59" s="8">
        <v>0</v>
      </c>
      <c r="F59" s="8">
        <v>0</v>
      </c>
      <c r="G59" s="8">
        <v>10167</v>
      </c>
      <c r="H59" s="8">
        <v>0</v>
      </c>
      <c r="I59" s="8">
        <v>18179</v>
      </c>
      <c r="J59" s="8">
        <f>SUM(B59:I59)</f>
        <v>184623.49699999997</v>
      </c>
      <c r="K59" s="8">
        <f t="shared" si="36"/>
        <v>55387.05</v>
      </c>
      <c r="L59" s="8">
        <f t="shared" si="38"/>
        <v>9231.17</v>
      </c>
      <c r="M59" s="8">
        <f>ROUND($J59*0.65,2)+0.01</f>
        <v>120005.28</v>
      </c>
    </row>
    <row r="60" spans="1:13" ht="15" customHeight="1" x14ac:dyDescent="0.25">
      <c r="A60" s="11" t="s">
        <v>35</v>
      </c>
      <c r="B60" s="8">
        <v>20949</v>
      </c>
      <c r="C60" s="8">
        <v>17460</v>
      </c>
      <c r="D60" s="8">
        <v>0</v>
      </c>
      <c r="E60" s="8">
        <v>0</v>
      </c>
      <c r="F60" s="8">
        <v>0</v>
      </c>
      <c r="G60" s="8">
        <v>-3069</v>
      </c>
      <c r="H60" s="8">
        <v>0</v>
      </c>
      <c r="I60" s="8">
        <v>4893</v>
      </c>
      <c r="J60" s="8">
        <f>SUM(B60:I60)</f>
        <v>40233</v>
      </c>
      <c r="K60" s="8">
        <f t="shared" si="36"/>
        <v>12069.9</v>
      </c>
      <c r="L60" s="8">
        <f t="shared" si="38"/>
        <v>2011.65</v>
      </c>
      <c r="M60" s="8">
        <f>ROUND($J60*0.65,2)</f>
        <v>26151.45</v>
      </c>
    </row>
    <row r="61" spans="1:13" ht="15" customHeight="1" x14ac:dyDescent="0.25">
      <c r="A61" s="11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</row>
    <row r="62" spans="1:13" ht="15" customHeight="1" thickBot="1" x14ac:dyDescent="0.3">
      <c r="B62" s="9">
        <f t="shared" ref="B62:M62" si="50">SUM(B8:B61)</f>
        <v>4145648.9939999999</v>
      </c>
      <c r="C62" s="9">
        <f t="shared" si="50"/>
        <v>655650</v>
      </c>
      <c r="D62" s="9">
        <f t="shared" si="50"/>
        <v>177601</v>
      </c>
      <c r="E62" s="9">
        <f t="shared" si="50"/>
        <v>0</v>
      </c>
      <c r="F62" s="9">
        <f t="shared" si="50"/>
        <v>1380</v>
      </c>
      <c r="G62" s="9">
        <f t="shared" si="50"/>
        <v>1059134</v>
      </c>
      <c r="H62" s="9">
        <f t="shared" si="50"/>
        <v>140432</v>
      </c>
      <c r="I62" s="9">
        <f t="shared" si="50"/>
        <v>385516</v>
      </c>
      <c r="J62" s="9">
        <f t="shared" si="50"/>
        <v>6565361.993999999</v>
      </c>
      <c r="K62" s="9">
        <f t="shared" si="50"/>
        <v>1969608.6100000006</v>
      </c>
      <c r="L62" s="9">
        <f t="shared" si="50"/>
        <v>328268.16999999993</v>
      </c>
      <c r="M62" s="9">
        <f t="shared" si="50"/>
        <v>4267485.2200000007</v>
      </c>
    </row>
    <row r="63" spans="1:13" ht="15" customHeight="1" thickTop="1" x14ac:dyDescent="0.25"/>
    <row r="64" spans="1:13" ht="15" customHeight="1" x14ac:dyDescent="0.25">
      <c r="A64" s="18" t="s">
        <v>29</v>
      </c>
    </row>
    <row r="65" spans="1:1" ht="15" customHeight="1" x14ac:dyDescent="0.25">
      <c r="A65" s="18" t="s">
        <v>34</v>
      </c>
    </row>
  </sheetData>
  <mergeCells count="1">
    <mergeCell ref="A6:M6"/>
  </mergeCells>
  <pageMargins left="0.25" right="0.25" top="0.75" bottom="0.5" header="0.25" footer="0"/>
  <pageSetup scale="73" orientation="landscape" r:id="rId1"/>
  <headerFooter>
    <oddHeader>&amp;C&amp;"Arial,Italic"&amp;10GREENBRIER HISTORIC RESORT TABLE GAMES</oddHeader>
    <oddFooter>&amp;L&amp;"Arial,Regular"&amp;8&amp;F</oddFooter>
  </headerFooter>
  <ignoredErrors>
    <ignoredError sqref="J8" formulaRange="1"/>
    <ignoredError sqref="L1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zoomScaleNormal="100" workbookViewId="0">
      <pane ySplit="3" topLeftCell="A33" activePane="bottomLeft" state="frozen"/>
      <selection pane="bottomLeft" activeCell="A60" sqref="A60"/>
    </sheetView>
  </sheetViews>
  <sheetFormatPr defaultRowHeight="15" customHeight="1" x14ac:dyDescent="0.25"/>
  <cols>
    <col min="1" max="1" width="12.7109375" style="1" customWidth="1"/>
    <col min="2" max="2" width="18" style="1" bestFit="1" customWidth="1"/>
    <col min="3" max="3" width="16.140625" style="1" bestFit="1" customWidth="1"/>
    <col min="4" max="4" width="15" style="1" bestFit="1" customWidth="1"/>
    <col min="5" max="5" width="14.7109375" style="1" customWidth="1"/>
    <col min="6" max="6" width="15" style="1" bestFit="1" customWidth="1"/>
    <col min="7" max="7" width="13.28515625" style="1" bestFit="1" customWidth="1"/>
    <col min="8" max="8" width="13.7109375" style="1" customWidth="1"/>
    <col min="9" max="9" width="15" style="1" bestFit="1" customWidth="1"/>
    <col min="10" max="10" width="11.7109375" style="1" customWidth="1"/>
    <col min="11" max="11" width="13.28515625" style="1" bestFit="1" customWidth="1"/>
    <col min="12" max="12" width="9.140625" style="1"/>
    <col min="13" max="13" width="11.5703125" style="1" bestFit="1" customWidth="1"/>
    <col min="14" max="16384" width="9.140625" style="1"/>
  </cols>
  <sheetData>
    <row r="1" spans="1:11" s="2" customFormat="1" ht="60" x14ac:dyDescent="0.25">
      <c r="B1" s="3" t="s">
        <v>0</v>
      </c>
      <c r="C1" s="3" t="s">
        <v>1</v>
      </c>
      <c r="D1" s="4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38</v>
      </c>
    </row>
    <row r="2" spans="1:11" ht="15" customHeight="1" x14ac:dyDescent="0.25">
      <c r="A2" s="1" t="s">
        <v>31</v>
      </c>
      <c r="B2" s="16">
        <v>73505238.040000007</v>
      </c>
      <c r="C2" s="16">
        <v>67478718.859999999</v>
      </c>
      <c r="D2" s="16">
        <v>815240</v>
      </c>
      <c r="E2" s="16">
        <v>5211279.1800000016</v>
      </c>
      <c r="F2" s="16">
        <v>1876060.58</v>
      </c>
      <c r="G2" s="16">
        <v>885917.48</v>
      </c>
      <c r="H2" s="16">
        <v>244930.11000000002</v>
      </c>
      <c r="I2" s="16">
        <v>2204371.0099999998</v>
      </c>
      <c r="J2" s="16">
        <v>708.99</v>
      </c>
      <c r="K2" s="13">
        <v>137</v>
      </c>
    </row>
    <row r="4" spans="1:11" ht="15" customHeight="1" x14ac:dyDescent="0.25">
      <c r="A4" s="23" t="s">
        <v>32</v>
      </c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1" ht="15" customHeight="1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1" ht="15" customHeight="1" x14ac:dyDescent="0.25">
      <c r="A6" s="11" t="s">
        <v>30</v>
      </c>
      <c r="B6" s="8">
        <v>508903.56</v>
      </c>
      <c r="C6" s="8">
        <v>463890</v>
      </c>
      <c r="D6" s="8">
        <v>8325</v>
      </c>
      <c r="E6" s="8">
        <f t="shared" ref="E6" si="0">B6-C6-D6</f>
        <v>36688.559999999998</v>
      </c>
      <c r="F6" s="8">
        <f>ROUND($E6*0.36,2)+0.01</f>
        <v>13207.89</v>
      </c>
      <c r="G6" s="8">
        <f>ROUND($E6*0.17,2)-0.01</f>
        <v>6237.05</v>
      </c>
      <c r="H6" s="8">
        <f>ROUND($E6*0.047,2)</f>
        <v>1724.36</v>
      </c>
      <c r="I6" s="8">
        <f>ROUND($E6*0.423,2)</f>
        <v>15519.26</v>
      </c>
      <c r="J6" s="12">
        <f t="shared" ref="J6" si="1">E6/K6</f>
        <v>251.29150684931506</v>
      </c>
      <c r="K6" s="13">
        <v>146</v>
      </c>
    </row>
    <row r="7" spans="1:11" ht="15" customHeight="1" x14ac:dyDescent="0.25">
      <c r="A7" s="11">
        <v>44751</v>
      </c>
      <c r="B7" s="8">
        <v>1054646.53</v>
      </c>
      <c r="C7" s="8">
        <v>946976.73</v>
      </c>
      <c r="D7" s="8">
        <v>12125</v>
      </c>
      <c r="E7" s="8">
        <f t="shared" ref="E7" si="2">B7-C7-D7</f>
        <v>95544.800000000047</v>
      </c>
      <c r="F7" s="8">
        <f>ROUND($E7*0.36,2)</f>
        <v>34396.129999999997</v>
      </c>
      <c r="G7" s="8">
        <f>ROUND($E7*0.17,2)-0.01</f>
        <v>16242.61</v>
      </c>
      <c r="H7" s="8">
        <f>ROUND($E7*0.047,2)</f>
        <v>4490.6099999999997</v>
      </c>
      <c r="I7" s="8">
        <f>ROUND($E7*0.423,2)</f>
        <v>40415.449999999997</v>
      </c>
      <c r="J7" s="12">
        <f t="shared" ref="J7" si="3">E7/K7</f>
        <v>729.34961832061106</v>
      </c>
      <c r="K7" s="13">
        <v>131</v>
      </c>
    </row>
    <row r="8" spans="1:11" ht="15" customHeight="1" x14ac:dyDescent="0.25">
      <c r="A8" s="11">
        <f t="shared" ref="A8:A57" si="4">A7+7</f>
        <v>44758</v>
      </c>
      <c r="B8" s="8">
        <v>1412711.7899999998</v>
      </c>
      <c r="C8" s="8">
        <v>1340291.97</v>
      </c>
      <c r="D8" s="8">
        <v>24420</v>
      </c>
      <c r="E8" s="8">
        <f t="shared" ref="E8" si="5">B8-C8-D8</f>
        <v>47999.819999999832</v>
      </c>
      <c r="F8" s="8">
        <f>ROUND($E8*0.36,2)-0.01</f>
        <v>17279.93</v>
      </c>
      <c r="G8" s="8">
        <f>ROUND($E8*0.17,2)</f>
        <v>8159.97</v>
      </c>
      <c r="H8" s="8">
        <f>ROUND($E8*0.047,2)</f>
        <v>2255.9899999999998</v>
      </c>
      <c r="I8" s="8">
        <f>ROUND($E8*0.423,2)+0.01</f>
        <v>20303.929999999997</v>
      </c>
      <c r="J8" s="12">
        <f t="shared" ref="J8" si="6">E8/K8</f>
        <v>347.82478260869442</v>
      </c>
      <c r="K8" s="13">
        <v>138</v>
      </c>
    </row>
    <row r="9" spans="1:11" ht="15" customHeight="1" x14ac:dyDescent="0.25">
      <c r="A9" s="11">
        <f t="shared" si="4"/>
        <v>44765</v>
      </c>
      <c r="B9" s="8">
        <v>1133888.5499999998</v>
      </c>
      <c r="C9" s="8">
        <v>1026873.7000000001</v>
      </c>
      <c r="D9" s="8">
        <v>16877</v>
      </c>
      <c r="E9" s="8">
        <f t="shared" ref="E9" si="7">B9-C9-D9</f>
        <v>90137.849999999744</v>
      </c>
      <c r="F9" s="8">
        <f>ROUND($E9*0.36,2)</f>
        <v>32449.63</v>
      </c>
      <c r="G9" s="8">
        <f>ROUND($E9*0.17,2)+0.01</f>
        <v>15323.44</v>
      </c>
      <c r="H9" s="8">
        <f>ROUND($E9*0.047,2)</f>
        <v>4236.4799999999996</v>
      </c>
      <c r="I9" s="8">
        <f>ROUND($E9*0.423,2)-0.01</f>
        <v>38128.299999999996</v>
      </c>
      <c r="J9" s="12">
        <f t="shared" ref="J9" si="8">E9/K9</f>
        <v>662.77830882352748</v>
      </c>
      <c r="K9" s="13">
        <v>136</v>
      </c>
    </row>
    <row r="10" spans="1:11" ht="15" customHeight="1" x14ac:dyDescent="0.25">
      <c r="A10" s="11">
        <f t="shared" si="4"/>
        <v>44772</v>
      </c>
      <c r="B10" s="8">
        <v>940347.21</v>
      </c>
      <c r="C10" s="8">
        <v>875775.75</v>
      </c>
      <c r="D10" s="8">
        <v>14506</v>
      </c>
      <c r="E10" s="8">
        <f t="shared" ref="E10" si="9">B10-C10-D10</f>
        <v>50065.459999999963</v>
      </c>
      <c r="F10" s="8">
        <f>ROUND($E10*0.36,2)-0.01</f>
        <v>18023.560000000001</v>
      </c>
      <c r="G10" s="8">
        <f>ROUND($E10*0.17,2)</f>
        <v>8511.1299999999992</v>
      </c>
      <c r="H10" s="8">
        <f>ROUND($E10*0.047,2)</f>
        <v>2353.08</v>
      </c>
      <c r="I10" s="8">
        <f t="shared" ref="I10:I19" si="10">ROUND($E10*0.423,2)</f>
        <v>21177.69</v>
      </c>
      <c r="J10" s="12">
        <f t="shared" ref="J10" si="11">E10/K10</f>
        <v>413.76413223140463</v>
      </c>
      <c r="K10" s="13">
        <v>121</v>
      </c>
    </row>
    <row r="11" spans="1:11" ht="15" customHeight="1" x14ac:dyDescent="0.25">
      <c r="A11" s="11">
        <f t="shared" si="4"/>
        <v>44779</v>
      </c>
      <c r="B11" s="8">
        <v>1201877.29</v>
      </c>
      <c r="C11" s="8">
        <v>1064048.29</v>
      </c>
      <c r="D11" s="8">
        <v>25705</v>
      </c>
      <c r="E11" s="8">
        <f t="shared" ref="E11" si="12">B11-C11-D11</f>
        <v>112124</v>
      </c>
      <c r="F11" s="8">
        <f>ROUND($E11*0.36,2)+0.02</f>
        <v>40364.659999999996</v>
      </c>
      <c r="G11" s="8">
        <f>ROUND($E11*0.17,2)-0.01</f>
        <v>19061.070000000003</v>
      </c>
      <c r="H11" s="8">
        <f>ROUND($E11*0.047,2)-0.01</f>
        <v>5269.82</v>
      </c>
      <c r="I11" s="8">
        <f t="shared" si="10"/>
        <v>47428.45</v>
      </c>
      <c r="J11" s="12">
        <f t="shared" ref="J11" si="13">E11/K11</f>
        <v>830.54814814814813</v>
      </c>
      <c r="K11" s="13">
        <v>135</v>
      </c>
    </row>
    <row r="12" spans="1:11" ht="15" customHeight="1" x14ac:dyDescent="0.25">
      <c r="A12" s="11">
        <f t="shared" si="4"/>
        <v>44786</v>
      </c>
      <c r="B12" s="8">
        <v>1230330.3199999998</v>
      </c>
      <c r="C12" s="8">
        <v>1174283.5699999998</v>
      </c>
      <c r="D12" s="8">
        <v>17939</v>
      </c>
      <c r="E12" s="8">
        <f t="shared" ref="E12" si="14">B12-C12-D12</f>
        <v>38107.75</v>
      </c>
      <c r="F12" s="8">
        <f>ROUND($E12*0.36,2)-0.01</f>
        <v>13718.78</v>
      </c>
      <c r="G12" s="8">
        <f>ROUND($E12*0.17,2)+0.01</f>
        <v>6478.33</v>
      </c>
      <c r="H12" s="8">
        <f>ROUND($E12*0.047,2)</f>
        <v>1791.06</v>
      </c>
      <c r="I12" s="8">
        <f t="shared" si="10"/>
        <v>16119.58</v>
      </c>
      <c r="J12" s="12">
        <f t="shared" ref="J12" si="15">E12/K12</f>
        <v>282.27962962962965</v>
      </c>
      <c r="K12" s="13">
        <v>135</v>
      </c>
    </row>
    <row r="13" spans="1:11" ht="15" customHeight="1" x14ac:dyDescent="0.25">
      <c r="A13" s="11">
        <f t="shared" si="4"/>
        <v>44793</v>
      </c>
      <c r="B13" s="8">
        <v>1034293.3799999999</v>
      </c>
      <c r="C13" s="8">
        <v>956917.21</v>
      </c>
      <c r="D13" s="8">
        <v>19675</v>
      </c>
      <c r="E13" s="8">
        <f t="shared" ref="E13" si="16">B13-C13-D13</f>
        <v>57701.169999999925</v>
      </c>
      <c r="F13" s="8">
        <f>ROUND($E13*0.36,2)+0.02</f>
        <v>20772.439999999999</v>
      </c>
      <c r="G13" s="8">
        <f>ROUND($E13*0.17,2)</f>
        <v>9809.2000000000007</v>
      </c>
      <c r="H13" s="8">
        <f>ROUND($E13*0.047,2)-0.01</f>
        <v>2711.9399999999996</v>
      </c>
      <c r="I13" s="8">
        <f t="shared" si="10"/>
        <v>24407.59</v>
      </c>
      <c r="J13" s="12">
        <f t="shared" ref="J13" si="17">E13/K13</f>
        <v>440.46694656488495</v>
      </c>
      <c r="K13" s="13">
        <v>131</v>
      </c>
    </row>
    <row r="14" spans="1:11" ht="15" customHeight="1" x14ac:dyDescent="0.25">
      <c r="A14" s="11">
        <f t="shared" si="4"/>
        <v>44800</v>
      </c>
      <c r="B14" s="8">
        <v>1428216.48</v>
      </c>
      <c r="C14" s="8">
        <v>1297819.71</v>
      </c>
      <c r="D14" s="8">
        <v>28810</v>
      </c>
      <c r="E14" s="8">
        <f t="shared" ref="E14" si="18">B14-C14-D14</f>
        <v>101586.77000000002</v>
      </c>
      <c r="F14" s="8">
        <f>ROUND($E14*0.36,2)-0.01</f>
        <v>36571.229999999996</v>
      </c>
      <c r="G14" s="8">
        <f>ROUND($E14*0.17,2)+0.01</f>
        <v>17269.759999999998</v>
      </c>
      <c r="H14" s="8">
        <f>ROUND($E14*0.047,2)</f>
        <v>4774.58</v>
      </c>
      <c r="I14" s="8">
        <f t="shared" si="10"/>
        <v>42971.199999999997</v>
      </c>
      <c r="J14" s="12">
        <f t="shared" ref="J14" si="19">E14/K14</f>
        <v>700.59841379310353</v>
      </c>
      <c r="K14" s="13">
        <v>145</v>
      </c>
    </row>
    <row r="15" spans="1:11" ht="15" customHeight="1" x14ac:dyDescent="0.25">
      <c r="A15" s="11">
        <f t="shared" si="4"/>
        <v>44807</v>
      </c>
      <c r="B15" s="8">
        <v>907466.72</v>
      </c>
      <c r="C15" s="8">
        <v>851268.32000000007</v>
      </c>
      <c r="D15" s="8">
        <v>19035</v>
      </c>
      <c r="E15" s="8">
        <f t="shared" ref="E15" si="20">B15-C15-D15</f>
        <v>37163.399999999907</v>
      </c>
      <c r="F15" s="8">
        <f>ROUND($E15*0.36,2)-0.01</f>
        <v>13378.81</v>
      </c>
      <c r="G15" s="8">
        <f>ROUND($E15*0.17,2)+0.01</f>
        <v>6317.79</v>
      </c>
      <c r="H15" s="8">
        <f>ROUND($E15*0.047,2)</f>
        <v>1746.68</v>
      </c>
      <c r="I15" s="8">
        <f t="shared" si="10"/>
        <v>15720.12</v>
      </c>
      <c r="J15" s="12">
        <f t="shared" ref="J15" si="21">E15/K15</f>
        <v>263.5702127659568</v>
      </c>
      <c r="K15" s="13">
        <v>141</v>
      </c>
    </row>
    <row r="16" spans="1:11" ht="15" customHeight="1" x14ac:dyDescent="0.25">
      <c r="A16" s="11">
        <f t="shared" si="4"/>
        <v>44814</v>
      </c>
      <c r="B16" s="8">
        <v>1355839.96</v>
      </c>
      <c r="C16" s="8">
        <v>1220081.78</v>
      </c>
      <c r="D16" s="8">
        <v>21064</v>
      </c>
      <c r="E16" s="8">
        <f t="shared" ref="E16" si="22">B16-C16-D16</f>
        <v>114694.17999999993</v>
      </c>
      <c r="F16" s="8">
        <f>ROUND($E16*0.36,2)-0.01</f>
        <v>41289.89</v>
      </c>
      <c r="G16" s="8">
        <f>ROUND($E16*0.17,2)+0.01</f>
        <v>19498.019999999997</v>
      </c>
      <c r="H16" s="8">
        <f>ROUND($E16*0.047,2)</f>
        <v>5390.63</v>
      </c>
      <c r="I16" s="8">
        <f t="shared" si="10"/>
        <v>48515.64</v>
      </c>
      <c r="J16" s="12">
        <f t="shared" ref="J16" si="23">E16/K16</f>
        <v>875.52809160305299</v>
      </c>
      <c r="K16" s="13">
        <v>131</v>
      </c>
    </row>
    <row r="17" spans="1:11" ht="15" customHeight="1" x14ac:dyDescent="0.25">
      <c r="A17" s="11">
        <f t="shared" si="4"/>
        <v>44821</v>
      </c>
      <c r="B17" s="8">
        <v>728780.72</v>
      </c>
      <c r="C17" s="8">
        <v>670699.43000000005</v>
      </c>
      <c r="D17" s="8">
        <v>15591</v>
      </c>
      <c r="E17" s="8">
        <f t="shared" ref="E17" si="24">B17-C17-D17</f>
        <v>42490.289999999921</v>
      </c>
      <c r="F17" s="8">
        <f>ROUND($E17*0.36,2)</f>
        <v>15296.5</v>
      </c>
      <c r="G17" s="8">
        <f>ROUND($E17*0.17,2)</f>
        <v>7223.35</v>
      </c>
      <c r="H17" s="8">
        <f>ROUND($E17*0.047,2)+0.01</f>
        <v>1997.05</v>
      </c>
      <c r="I17" s="8">
        <f t="shared" si="10"/>
        <v>17973.39</v>
      </c>
      <c r="J17" s="12">
        <f t="shared" ref="J17" si="25">E17/K17</f>
        <v>334.5692125984246</v>
      </c>
      <c r="K17" s="13">
        <v>127</v>
      </c>
    </row>
    <row r="18" spans="1:11" ht="15" customHeight="1" x14ac:dyDescent="0.25">
      <c r="A18" s="11">
        <f t="shared" si="4"/>
        <v>44828</v>
      </c>
      <c r="B18" s="8">
        <v>1866878.33</v>
      </c>
      <c r="C18" s="8">
        <v>1816325.0100000002</v>
      </c>
      <c r="D18" s="8">
        <v>27254</v>
      </c>
      <c r="E18" s="8">
        <f t="shared" ref="E18" si="26">B18-C18-D18</f>
        <v>23299.319999999832</v>
      </c>
      <c r="F18" s="8">
        <f>ROUND($E18*0.36,2)-0.01</f>
        <v>8387.75</v>
      </c>
      <c r="G18" s="8">
        <f>ROUND($E18*0.17,2)+0.01</f>
        <v>3960.8900000000003</v>
      </c>
      <c r="H18" s="8">
        <f>ROUND($E18*0.047,2)</f>
        <v>1095.07</v>
      </c>
      <c r="I18" s="8">
        <f t="shared" si="10"/>
        <v>9855.61</v>
      </c>
      <c r="J18" s="12">
        <f t="shared" ref="J18" si="27">E18/K18</f>
        <v>162.93230769230652</v>
      </c>
      <c r="K18" s="13">
        <v>143</v>
      </c>
    </row>
    <row r="19" spans="1:11" ht="15" customHeight="1" x14ac:dyDescent="0.25">
      <c r="A19" s="11">
        <f t="shared" si="4"/>
        <v>44835</v>
      </c>
      <c r="B19" s="8">
        <v>1147642.8500000001</v>
      </c>
      <c r="C19" s="8">
        <v>1049043.9500000002</v>
      </c>
      <c r="D19" s="8">
        <v>17186</v>
      </c>
      <c r="E19" s="8">
        <f t="shared" ref="E19" si="28">B19-C19-D19</f>
        <v>81412.899999999907</v>
      </c>
      <c r="F19" s="8">
        <f>ROUND($E19*0.36,2)</f>
        <v>29308.639999999999</v>
      </c>
      <c r="G19" s="8">
        <f t="shared" ref="G19:G24" si="29">ROUND($E19*0.17,2)</f>
        <v>13840.19</v>
      </c>
      <c r="H19" s="8">
        <f>ROUND($E19*0.047,2)</f>
        <v>3826.41</v>
      </c>
      <c r="I19" s="8">
        <f t="shared" si="10"/>
        <v>34437.660000000003</v>
      </c>
      <c r="J19" s="12">
        <f t="shared" ref="J19" si="30">E19/K19</f>
        <v>569.32097902097837</v>
      </c>
      <c r="K19" s="13">
        <v>143</v>
      </c>
    </row>
    <row r="20" spans="1:11" ht="15" customHeight="1" x14ac:dyDescent="0.25">
      <c r="A20" s="11">
        <f t="shared" si="4"/>
        <v>44842</v>
      </c>
      <c r="B20" s="8">
        <v>1397404.2799999998</v>
      </c>
      <c r="C20" s="8">
        <v>1304254.93</v>
      </c>
      <c r="D20" s="8">
        <v>17256</v>
      </c>
      <c r="E20" s="8">
        <f t="shared" ref="E20" si="31">B20-C20-D20</f>
        <v>75893.34999999986</v>
      </c>
      <c r="F20" s="8">
        <f>ROUND($E20*0.36,2)</f>
        <v>27321.61</v>
      </c>
      <c r="G20" s="8">
        <f t="shared" si="29"/>
        <v>12901.87</v>
      </c>
      <c r="H20" s="8">
        <f>ROUND($E20*0.047,2)</f>
        <v>3566.99</v>
      </c>
      <c r="I20" s="8">
        <f>ROUND($E20*0.423,2)-0.01</f>
        <v>32102.880000000001</v>
      </c>
      <c r="J20" s="12">
        <f t="shared" ref="J20" si="32">E20/K20</f>
        <v>538.25070921985719</v>
      </c>
      <c r="K20" s="13">
        <v>141</v>
      </c>
    </row>
    <row r="21" spans="1:11" ht="15" customHeight="1" x14ac:dyDescent="0.25">
      <c r="A21" s="11">
        <f t="shared" si="4"/>
        <v>44849</v>
      </c>
      <c r="B21" s="8">
        <v>1120347.1299999999</v>
      </c>
      <c r="C21" s="8">
        <v>1004438.8900000001</v>
      </c>
      <c r="D21" s="8">
        <v>18390</v>
      </c>
      <c r="E21" s="8">
        <f t="shared" ref="E21" si="33">B21-C21-D21</f>
        <v>97518.239999999758</v>
      </c>
      <c r="F21" s="8">
        <f>ROUND($E21*0.36,2)</f>
        <v>35106.57</v>
      </c>
      <c r="G21" s="8">
        <f t="shared" si="29"/>
        <v>16578.099999999999</v>
      </c>
      <c r="H21" s="8">
        <f>ROUND($E21*0.047,2)</f>
        <v>4583.3599999999997</v>
      </c>
      <c r="I21" s="8">
        <f>ROUND($E21*0.423,2)-0.01</f>
        <v>41250.21</v>
      </c>
      <c r="J21" s="12">
        <f t="shared" ref="J21" si="34">E21/K21</f>
        <v>755.95534883720745</v>
      </c>
      <c r="K21" s="13">
        <v>129</v>
      </c>
    </row>
    <row r="22" spans="1:11" ht="15" customHeight="1" x14ac:dyDescent="0.25">
      <c r="A22" s="11">
        <f t="shared" si="4"/>
        <v>44856</v>
      </c>
      <c r="B22" s="8">
        <v>977043.76</v>
      </c>
      <c r="C22" s="8">
        <v>876734.89999999991</v>
      </c>
      <c r="D22" s="8">
        <v>15673</v>
      </c>
      <c r="E22" s="8">
        <f t="shared" ref="E22" si="35">B22-C22-D22</f>
        <v>84635.860000000102</v>
      </c>
      <c r="F22" s="8">
        <f>ROUND($E22*0.36,2)+0.02</f>
        <v>30468.93</v>
      </c>
      <c r="G22" s="8">
        <f t="shared" si="29"/>
        <v>14388.1</v>
      </c>
      <c r="H22" s="8">
        <f>ROUND($E22*0.047,2)-0.02</f>
        <v>3977.87</v>
      </c>
      <c r="I22" s="8">
        <f>ROUND($E22*0.423,2)-0.01</f>
        <v>35800.959999999999</v>
      </c>
      <c r="J22" s="12">
        <f t="shared" ref="J22" si="36">E22/K22</f>
        <v>608.89107913669136</v>
      </c>
      <c r="K22" s="13">
        <v>139</v>
      </c>
    </row>
    <row r="23" spans="1:11" ht="15" customHeight="1" x14ac:dyDescent="0.25">
      <c r="A23" s="11">
        <f t="shared" si="4"/>
        <v>44863</v>
      </c>
      <c r="B23" s="8">
        <v>1882097.81</v>
      </c>
      <c r="C23" s="8">
        <v>1690946.1600000001</v>
      </c>
      <c r="D23" s="8">
        <v>56281</v>
      </c>
      <c r="E23" s="8">
        <f t="shared" ref="E23" si="37">B23-C23-D23</f>
        <v>134870.64999999991</v>
      </c>
      <c r="F23" s="8">
        <f>ROUND($E23*0.36,2)</f>
        <v>48553.43</v>
      </c>
      <c r="G23" s="8">
        <f t="shared" si="29"/>
        <v>22928.01</v>
      </c>
      <c r="H23" s="8">
        <f>ROUND($E23*0.047,2)</f>
        <v>6338.92</v>
      </c>
      <c r="I23" s="8">
        <f>ROUND($E23*0.423,2)+0.01</f>
        <v>57050.29</v>
      </c>
      <c r="J23" s="12">
        <f t="shared" ref="J23" si="38">E23/K23</f>
        <v>956.52943262411281</v>
      </c>
      <c r="K23" s="13">
        <v>141</v>
      </c>
    </row>
    <row r="24" spans="1:11" ht="15" customHeight="1" x14ac:dyDescent="0.25">
      <c r="A24" s="11">
        <f t="shared" si="4"/>
        <v>44870</v>
      </c>
      <c r="B24" s="8">
        <v>1267621.3199999998</v>
      </c>
      <c r="C24" s="8">
        <v>1137547.97</v>
      </c>
      <c r="D24" s="8">
        <v>15330</v>
      </c>
      <c r="E24" s="8">
        <f t="shared" ref="E24" si="39">B24-C24-D24</f>
        <v>114743.34999999986</v>
      </c>
      <c r="F24" s="8">
        <f>ROUND($E24*0.36,2)</f>
        <v>41307.61</v>
      </c>
      <c r="G24" s="8">
        <f t="shared" si="29"/>
        <v>19506.37</v>
      </c>
      <c r="H24" s="8">
        <f>ROUND($E24*0.047,2)-0.01</f>
        <v>5392.9299999999994</v>
      </c>
      <c r="I24" s="8">
        <f>ROUND($E24*0.423,2)</f>
        <v>48536.44</v>
      </c>
      <c r="J24" s="12">
        <f t="shared" ref="J24" si="40">E24/K24</f>
        <v>780.56700680272013</v>
      </c>
      <c r="K24" s="13">
        <v>147</v>
      </c>
    </row>
    <row r="25" spans="1:11" ht="15" customHeight="1" x14ac:dyDescent="0.25">
      <c r="A25" s="11">
        <f t="shared" si="4"/>
        <v>44877</v>
      </c>
      <c r="B25" s="8">
        <v>1428788.33</v>
      </c>
      <c r="C25" s="8">
        <v>1330449.76</v>
      </c>
      <c r="D25" s="8">
        <v>15862</v>
      </c>
      <c r="E25" s="8">
        <f t="shared" ref="E25" si="41">B25-C25-D25</f>
        <v>82476.570000000065</v>
      </c>
      <c r="F25" s="8">
        <f>ROUND($E25*0.36,2)-0.02</f>
        <v>29691.55</v>
      </c>
      <c r="G25" s="8">
        <f>ROUND($E25*0.17,2)+0.01</f>
        <v>14021.03</v>
      </c>
      <c r="H25" s="8">
        <f>ROUND($E25*0.047,2)-0.01</f>
        <v>3876.39</v>
      </c>
      <c r="I25" s="8">
        <f>ROUND($E25*0.423,2)+0.01</f>
        <v>34887.599999999999</v>
      </c>
      <c r="J25" s="12">
        <f t="shared" ref="J25" si="42">E25/K25</f>
        <v>580.82091549295819</v>
      </c>
      <c r="K25" s="13">
        <v>142</v>
      </c>
    </row>
    <row r="26" spans="1:11" ht="15" customHeight="1" x14ac:dyDescent="0.25">
      <c r="A26" s="11">
        <f t="shared" si="4"/>
        <v>44884</v>
      </c>
      <c r="B26" s="8">
        <v>839479.7</v>
      </c>
      <c r="C26" s="8">
        <v>737948.31</v>
      </c>
      <c r="D26" s="8">
        <v>25961</v>
      </c>
      <c r="E26" s="8">
        <f t="shared" ref="E26" si="43">B26-C26-D26</f>
        <v>75570.389999999898</v>
      </c>
      <c r="F26" s="8">
        <f>ROUND($E26*0.36,2)-0.02</f>
        <v>27205.32</v>
      </c>
      <c r="G26" s="8">
        <f>ROUND($E26*0.17,2)+0.01</f>
        <v>12846.98</v>
      </c>
      <c r="H26" s="8">
        <f>ROUND($E26*0.047,2)</f>
        <v>3551.81</v>
      </c>
      <c r="I26" s="8">
        <f>ROUND($E26*0.423,2)+0.01</f>
        <v>31966.28</v>
      </c>
      <c r="J26" s="12">
        <f t="shared" ref="J26" si="44">E26/K26</f>
        <v>535.96021276595673</v>
      </c>
      <c r="K26" s="13">
        <v>141</v>
      </c>
    </row>
    <row r="27" spans="1:11" ht="15" customHeight="1" x14ac:dyDescent="0.25">
      <c r="A27" s="11">
        <f t="shared" si="4"/>
        <v>44891</v>
      </c>
      <c r="B27" s="8">
        <v>1954411.51</v>
      </c>
      <c r="C27" s="8">
        <v>1838836.41</v>
      </c>
      <c r="D27" s="8">
        <v>35239</v>
      </c>
      <c r="E27" s="8">
        <f t="shared" ref="E27" si="45">B27-C27-D27</f>
        <v>80336.100000000093</v>
      </c>
      <c r="F27" s="8">
        <f>ROUND($E27*0.36,2)</f>
        <v>28921</v>
      </c>
      <c r="G27" s="8">
        <f>ROUND($E27*0.17,2)</f>
        <v>13657.14</v>
      </c>
      <c r="H27" s="8">
        <f>ROUND($E27*0.047,2)-0.01</f>
        <v>3775.79</v>
      </c>
      <c r="I27" s="8">
        <f>ROUND($E27*0.423,2)</f>
        <v>33982.17</v>
      </c>
      <c r="J27" s="12">
        <f t="shared" ref="J27" si="46">E27/K27</f>
        <v>535.57400000000064</v>
      </c>
      <c r="K27" s="13">
        <v>150</v>
      </c>
    </row>
    <row r="28" spans="1:11" ht="15" customHeight="1" x14ac:dyDescent="0.25">
      <c r="A28" s="11">
        <f t="shared" si="4"/>
        <v>44898</v>
      </c>
      <c r="B28" s="8">
        <v>1537135.81</v>
      </c>
      <c r="C28" s="8">
        <v>1418723.23</v>
      </c>
      <c r="D28" s="8">
        <v>27158</v>
      </c>
      <c r="E28" s="8">
        <f t="shared" ref="E28" si="47">B28-C28-D28</f>
        <v>91254.580000000075</v>
      </c>
      <c r="F28" s="8">
        <f>ROUND($E28*0.36,2)</f>
        <v>32851.65</v>
      </c>
      <c r="G28" s="8">
        <f>ROUND($E28*0.17,2)</f>
        <v>15513.28</v>
      </c>
      <c r="H28" s="8">
        <f>ROUND($E28*0.047,2)-0.01</f>
        <v>4288.96</v>
      </c>
      <c r="I28" s="8">
        <f>ROUND($E28*0.423,2)</f>
        <v>38600.69</v>
      </c>
      <c r="J28" s="12">
        <f t="shared" ref="J28" si="48">E28/K28</f>
        <v>638.14391608391657</v>
      </c>
      <c r="K28" s="13">
        <v>143</v>
      </c>
    </row>
    <row r="29" spans="1:11" ht="15" customHeight="1" x14ac:dyDescent="0.25">
      <c r="A29" s="11">
        <f t="shared" si="4"/>
        <v>44905</v>
      </c>
      <c r="B29" s="8">
        <v>1180084.06</v>
      </c>
      <c r="C29" s="8">
        <v>1094512.26</v>
      </c>
      <c r="D29" s="8">
        <v>13941</v>
      </c>
      <c r="E29" s="8">
        <f t="shared" ref="E29" si="49">B29-C29-D29</f>
        <v>71630.800000000047</v>
      </c>
      <c r="F29" s="8">
        <f>ROUND($E29*0.36,2)+0.02</f>
        <v>25787.11</v>
      </c>
      <c r="G29" s="8">
        <f>ROUND($E29*0.17,2)-0.02</f>
        <v>12177.22</v>
      </c>
      <c r="H29" s="8">
        <f>ROUND($E29*0.047,2)-0.01</f>
        <v>3366.64</v>
      </c>
      <c r="I29" s="8">
        <f>ROUND($E29*0.423,2)</f>
        <v>30299.83</v>
      </c>
      <c r="J29" s="12">
        <f t="shared" ref="J29" si="50">E29/K29</f>
        <v>500.91468531468564</v>
      </c>
      <c r="K29" s="13">
        <v>143</v>
      </c>
    </row>
    <row r="30" spans="1:11" ht="15" customHeight="1" x14ac:dyDescent="0.25">
      <c r="A30" s="11">
        <f t="shared" si="4"/>
        <v>44912</v>
      </c>
      <c r="B30" s="8">
        <v>1501962.0499999998</v>
      </c>
      <c r="C30" s="8">
        <v>1370095.02</v>
      </c>
      <c r="D30" s="8">
        <v>13909</v>
      </c>
      <c r="E30" s="8">
        <f t="shared" ref="E30" si="51">B30-C30-D30</f>
        <v>117958.0299999998</v>
      </c>
      <c r="F30" s="8">
        <f>ROUND($E30*0.36,2)</f>
        <v>42464.89</v>
      </c>
      <c r="G30" s="8">
        <f t="shared" ref="G30:G34" si="52">ROUND($E30*0.17,2)</f>
        <v>20052.87</v>
      </c>
      <c r="H30" s="8">
        <f>ROUND($E30*0.047,2)-0.01</f>
        <v>5544.0199999999995</v>
      </c>
      <c r="I30" s="8">
        <f>ROUND($E30*0.423,2)</f>
        <v>49896.25</v>
      </c>
      <c r="J30" s="12">
        <f t="shared" ref="J30" si="53">E30/K30</f>
        <v>791.66463087248189</v>
      </c>
      <c r="K30" s="13">
        <v>149</v>
      </c>
    </row>
    <row r="31" spans="1:11" ht="15" customHeight="1" x14ac:dyDescent="0.25">
      <c r="A31" s="11">
        <f t="shared" si="4"/>
        <v>44919</v>
      </c>
      <c r="B31" s="8">
        <v>1077292.97</v>
      </c>
      <c r="C31" s="8">
        <v>968034.37</v>
      </c>
      <c r="D31" s="8">
        <v>11211</v>
      </c>
      <c r="E31" s="8">
        <f t="shared" ref="E31" si="54">B31-C31-D31</f>
        <v>98047.599999999977</v>
      </c>
      <c r="F31" s="8">
        <f>ROUND($E31*0.36,2)-0.01</f>
        <v>35297.129999999997</v>
      </c>
      <c r="G31" s="8">
        <f t="shared" si="52"/>
        <v>16668.09</v>
      </c>
      <c r="H31" s="8">
        <f>ROUND($E31*0.047,2)</f>
        <v>4608.24</v>
      </c>
      <c r="I31" s="8">
        <f>ROUND($E31*0.423,2)+0.01</f>
        <v>41474.14</v>
      </c>
      <c r="J31" s="12">
        <f t="shared" ref="J31" si="55">E31/K31</f>
        <v>700.3399999999998</v>
      </c>
      <c r="K31" s="13">
        <v>140</v>
      </c>
    </row>
    <row r="32" spans="1:11" ht="15" customHeight="1" x14ac:dyDescent="0.25">
      <c r="A32" s="11">
        <f t="shared" si="4"/>
        <v>44926</v>
      </c>
      <c r="B32" s="8">
        <v>1592727.69</v>
      </c>
      <c r="C32" s="8">
        <v>1463955.9700000002</v>
      </c>
      <c r="D32" s="8">
        <v>14619</v>
      </c>
      <c r="E32" s="8">
        <f t="shared" ref="E32" si="56">B32-C32-D32</f>
        <v>114152.71999999974</v>
      </c>
      <c r="F32" s="8">
        <f>ROUND($E32*0.36,2)</f>
        <v>41094.980000000003</v>
      </c>
      <c r="G32" s="8">
        <f t="shared" si="52"/>
        <v>19405.96</v>
      </c>
      <c r="H32" s="8">
        <f>ROUND($E32*0.047,2)</f>
        <v>5365.18</v>
      </c>
      <c r="I32" s="8">
        <f>ROUND($E32*0.423,2)</f>
        <v>48286.6</v>
      </c>
      <c r="J32" s="12">
        <f t="shared" ref="J32" si="57">E32/K32</f>
        <v>913.22175999999786</v>
      </c>
      <c r="K32" s="13">
        <v>125</v>
      </c>
    </row>
    <row r="33" spans="1:11" ht="15" customHeight="1" x14ac:dyDescent="0.25">
      <c r="A33" s="11">
        <f t="shared" si="4"/>
        <v>44933</v>
      </c>
      <c r="B33" s="8">
        <v>1140291</v>
      </c>
      <c r="C33" s="8">
        <v>1055802.49</v>
      </c>
      <c r="D33" s="8">
        <v>11710</v>
      </c>
      <c r="E33" s="8">
        <f t="shared" ref="E33" si="58">B33-C33-D33</f>
        <v>72778.510000000009</v>
      </c>
      <c r="F33" s="8">
        <f>ROUND($E33*0.36,2)-0.02</f>
        <v>26200.239999999998</v>
      </c>
      <c r="G33" s="8">
        <f t="shared" si="52"/>
        <v>12372.35</v>
      </c>
      <c r="H33" s="8">
        <f>ROUND($E33*0.047,2)</f>
        <v>3420.59</v>
      </c>
      <c r="I33" s="8">
        <f>ROUND($E33*0.423,2)+0.02</f>
        <v>30785.33</v>
      </c>
      <c r="J33" s="12">
        <f t="shared" ref="J33" si="59">E33/K33</f>
        <v>627.40094827586211</v>
      </c>
      <c r="K33" s="13">
        <v>116</v>
      </c>
    </row>
    <row r="34" spans="1:11" ht="15" customHeight="1" x14ac:dyDescent="0.25">
      <c r="A34" s="11">
        <f t="shared" si="4"/>
        <v>44940</v>
      </c>
      <c r="B34" s="8">
        <v>882465.66999999993</v>
      </c>
      <c r="C34" s="8">
        <v>803395.71</v>
      </c>
      <c r="D34" s="8">
        <v>13415</v>
      </c>
      <c r="E34" s="8">
        <f t="shared" ref="E34" si="60">B34-C34-D34</f>
        <v>65654.959999999963</v>
      </c>
      <c r="F34" s="8">
        <f>ROUND($E34*0.36,2)-0.02</f>
        <v>23635.77</v>
      </c>
      <c r="G34" s="8">
        <f t="shared" si="52"/>
        <v>11161.34</v>
      </c>
      <c r="H34" s="8">
        <f>ROUND($E34*0.047,2)+0.02</f>
        <v>3085.8</v>
      </c>
      <c r="I34" s="8">
        <f>ROUND($E34*0.423,2)</f>
        <v>27772.05</v>
      </c>
      <c r="J34" s="12">
        <f t="shared" ref="J34" si="61">E34/K34</f>
        <v>586.2049999999997</v>
      </c>
      <c r="K34" s="13">
        <v>112</v>
      </c>
    </row>
    <row r="35" spans="1:11" ht="15" customHeight="1" x14ac:dyDescent="0.25">
      <c r="A35" s="11">
        <f t="shared" si="4"/>
        <v>44947</v>
      </c>
      <c r="B35" s="8">
        <v>1405789.79</v>
      </c>
      <c r="C35" s="8">
        <v>1347970.97</v>
      </c>
      <c r="D35" s="8">
        <v>10430</v>
      </c>
      <c r="E35" s="8">
        <f t="shared" ref="E35" si="62">B35-C35-D35</f>
        <v>47388.820000000065</v>
      </c>
      <c r="F35" s="8">
        <f>ROUND($E35*0.36,2)-0.01</f>
        <v>17059.97</v>
      </c>
      <c r="G35" s="8">
        <f>ROUND($E35*0.17,2)-0.01</f>
        <v>8056.09</v>
      </c>
      <c r="H35" s="8">
        <f>ROUND($E35*0.047,2)+0.02</f>
        <v>2227.29</v>
      </c>
      <c r="I35" s="8">
        <f>ROUND($E35*0.423,2)</f>
        <v>20045.47</v>
      </c>
      <c r="J35" s="12">
        <f t="shared" ref="J35" si="63">E35/K35</f>
        <v>318.045771812081</v>
      </c>
      <c r="K35" s="13">
        <v>149</v>
      </c>
    </row>
    <row r="36" spans="1:11" ht="15" customHeight="1" x14ac:dyDescent="0.25">
      <c r="A36" s="11">
        <f t="shared" si="4"/>
        <v>44954</v>
      </c>
      <c r="B36" s="8">
        <v>737460.29</v>
      </c>
      <c r="C36" s="8">
        <v>691340.20000000007</v>
      </c>
      <c r="D36" s="8">
        <v>14376</v>
      </c>
      <c r="E36" s="8">
        <f t="shared" ref="E36" si="64">B36-C36-D36</f>
        <v>31744.089999999967</v>
      </c>
      <c r="F36" s="8">
        <f>ROUND($E36*0.36,2)+0.03</f>
        <v>11427.900000000001</v>
      </c>
      <c r="G36" s="8">
        <f>ROUND($E36*0.17,2)-0.01</f>
        <v>5396.49</v>
      </c>
      <c r="H36" s="8">
        <f>ROUND($E36*0.047,2)-0.01</f>
        <v>1491.96</v>
      </c>
      <c r="I36" s="8">
        <f>ROUND($E36*0.423,2)-0.01</f>
        <v>13427.74</v>
      </c>
      <c r="J36" s="12">
        <f t="shared" ref="J36" si="65">E36/K36</f>
        <v>273.65594827586176</v>
      </c>
      <c r="K36" s="13">
        <v>116</v>
      </c>
    </row>
    <row r="37" spans="1:11" ht="15" customHeight="1" x14ac:dyDescent="0.25">
      <c r="A37" s="11">
        <f t="shared" si="4"/>
        <v>44961</v>
      </c>
      <c r="B37" s="8">
        <v>1037866.3</v>
      </c>
      <c r="C37" s="8">
        <v>975487.81</v>
      </c>
      <c r="D37" s="8">
        <v>14260</v>
      </c>
      <c r="E37" s="8">
        <f t="shared" ref="E37" si="66">B37-C37-D37</f>
        <v>48118.489999999991</v>
      </c>
      <c r="F37" s="8">
        <f>ROUND($E37*0.36,2)+0.01</f>
        <v>17322.669999999998</v>
      </c>
      <c r="G37" s="8">
        <f>ROUND($E37*0.17,2)</f>
        <v>8180.14</v>
      </c>
      <c r="H37" s="8">
        <f>ROUND($E37*0.047,2)-0.01</f>
        <v>2261.56</v>
      </c>
      <c r="I37" s="8">
        <f>ROUND($E37*0.423,2)</f>
        <v>20354.12</v>
      </c>
      <c r="J37" s="12">
        <f t="shared" ref="J37" si="67">E37/K37</f>
        <v>429.62937499999992</v>
      </c>
      <c r="K37" s="13">
        <v>112</v>
      </c>
    </row>
    <row r="38" spans="1:11" ht="15" customHeight="1" x14ac:dyDescent="0.25">
      <c r="A38" s="11">
        <f t="shared" si="4"/>
        <v>44968</v>
      </c>
      <c r="B38" s="8">
        <v>1086623.43</v>
      </c>
      <c r="C38" s="8">
        <v>1049471.26</v>
      </c>
      <c r="D38" s="8">
        <v>13689</v>
      </c>
      <c r="E38" s="8">
        <f t="shared" ref="E38" si="68">B38-C38-D38</f>
        <v>23463.169999999925</v>
      </c>
      <c r="F38" s="8">
        <f>ROUND($E38*0.36,2)</f>
        <v>8446.74</v>
      </c>
      <c r="G38" s="8">
        <f>ROUND($E38*0.17,2)</f>
        <v>3988.74</v>
      </c>
      <c r="H38" s="8">
        <f>ROUND($E38*0.047,2)</f>
        <v>1102.77</v>
      </c>
      <c r="I38" s="8">
        <f>ROUND($E38*0.423,2)</f>
        <v>9924.92</v>
      </c>
      <c r="J38" s="12">
        <f t="shared" ref="J38" si="69">E38/K38</f>
        <v>200.53991452991389</v>
      </c>
      <c r="K38" s="13">
        <v>117</v>
      </c>
    </row>
    <row r="39" spans="1:11" ht="15" customHeight="1" x14ac:dyDescent="0.25">
      <c r="A39" s="11">
        <f t="shared" si="4"/>
        <v>44975</v>
      </c>
      <c r="B39" s="8">
        <v>1376447.3900000001</v>
      </c>
      <c r="C39" s="8">
        <v>1256443.19</v>
      </c>
      <c r="D39" s="8">
        <v>18735</v>
      </c>
      <c r="E39" s="8">
        <f t="shared" ref="E39" si="70">B39-C39-D39</f>
        <v>101269.20000000019</v>
      </c>
      <c r="F39" s="8">
        <f>ROUND($E39*0.36,2)+0.01</f>
        <v>36456.920000000006</v>
      </c>
      <c r="G39" s="8">
        <f>ROUND($E39*0.17,2)+0.01</f>
        <v>17215.769999999997</v>
      </c>
      <c r="H39" s="8">
        <f>ROUND($E39*0.047,2)</f>
        <v>4759.6499999999996</v>
      </c>
      <c r="I39" s="8">
        <f>ROUND($E39*0.423,2)-0.01</f>
        <v>42836.86</v>
      </c>
      <c r="J39" s="12">
        <f t="shared" ref="J39" si="71">E39/K39</f>
        <v>739.19124087591376</v>
      </c>
      <c r="K39" s="13">
        <v>137</v>
      </c>
    </row>
    <row r="40" spans="1:11" ht="15" customHeight="1" x14ac:dyDescent="0.25">
      <c r="A40" s="11">
        <f t="shared" si="4"/>
        <v>44982</v>
      </c>
      <c r="B40" s="8">
        <v>2389068.52</v>
      </c>
      <c r="C40" s="8">
        <v>2147752.89</v>
      </c>
      <c r="D40" s="8">
        <v>57326</v>
      </c>
      <c r="E40" s="8">
        <f t="shared" ref="E40" si="72">B40-C40-D40</f>
        <v>183989.62999999989</v>
      </c>
      <c r="F40" s="8">
        <f>ROUND($E40*0.36,2)+0.01</f>
        <v>66236.28</v>
      </c>
      <c r="G40" s="8">
        <f>ROUND($E40*0.17,2)</f>
        <v>31278.240000000002</v>
      </c>
      <c r="H40" s="8">
        <f>ROUND($E40*0.047,2)-0.01</f>
        <v>8647.5</v>
      </c>
      <c r="I40" s="8">
        <f>ROUND($E40*0.423,2)</f>
        <v>77827.61</v>
      </c>
      <c r="J40" s="12">
        <f t="shared" ref="J40" si="73">E40/K40</f>
        <v>1251.630136054421</v>
      </c>
      <c r="K40" s="13">
        <v>147</v>
      </c>
    </row>
    <row r="41" spans="1:11" ht="15" customHeight="1" x14ac:dyDescent="0.25">
      <c r="A41" s="11">
        <f t="shared" si="4"/>
        <v>44989</v>
      </c>
      <c r="B41" s="8">
        <v>678761.95</v>
      </c>
      <c r="C41" s="8">
        <v>617467.39</v>
      </c>
      <c r="D41" s="8">
        <v>7330</v>
      </c>
      <c r="E41" s="8">
        <f t="shared" ref="E41" si="74">B41-C41-D41</f>
        <v>53964.559999999939</v>
      </c>
      <c r="F41" s="8">
        <f>ROUND($E41*0.36,2)-0.01</f>
        <v>19427.230000000003</v>
      </c>
      <c r="G41" s="8">
        <f>ROUND($E41*0.17,2)+0.01</f>
        <v>9173.99</v>
      </c>
      <c r="H41" s="8">
        <f>ROUND($E41*0.047,2)+0.01</f>
        <v>2536.34</v>
      </c>
      <c r="I41" s="8">
        <f>ROUND($E41*0.423,2)-0.01</f>
        <v>22827</v>
      </c>
      <c r="J41" s="12">
        <f t="shared" ref="J41" si="75">E41/K41</f>
        <v>442.33245901639293</v>
      </c>
      <c r="K41" s="13">
        <v>122</v>
      </c>
    </row>
    <row r="42" spans="1:11" ht="15" customHeight="1" x14ac:dyDescent="0.25">
      <c r="A42" s="11">
        <f t="shared" si="4"/>
        <v>44996</v>
      </c>
      <c r="B42" s="8">
        <v>955607.78</v>
      </c>
      <c r="C42" s="8">
        <v>794790.69000000006</v>
      </c>
      <c r="D42" s="8">
        <v>6290</v>
      </c>
      <c r="E42" s="8">
        <f t="shared" ref="E42" si="76">B42-C42-D42</f>
        <v>154527.08999999997</v>
      </c>
      <c r="F42" s="8">
        <f>ROUND($E42*0.36,2)</f>
        <v>55629.75</v>
      </c>
      <c r="G42" s="8">
        <f>ROUND($E42*0.17,2)-0.01</f>
        <v>26269.600000000002</v>
      </c>
      <c r="H42" s="8">
        <f>ROUND($E42*0.047,2)+0.01</f>
        <v>7262.7800000000007</v>
      </c>
      <c r="I42" s="8">
        <f>ROUND($E42*0.423,2)</f>
        <v>65364.959999999999</v>
      </c>
      <c r="J42" s="12">
        <f t="shared" ref="J42" si="77">E42/K42</f>
        <v>1320.7443589743586</v>
      </c>
      <c r="K42" s="13">
        <v>117</v>
      </c>
    </row>
    <row r="43" spans="1:11" ht="15" customHeight="1" x14ac:dyDescent="0.25">
      <c r="A43" s="11">
        <f t="shared" si="4"/>
        <v>45003</v>
      </c>
      <c r="B43" s="8">
        <v>1873864.23</v>
      </c>
      <c r="C43" s="8">
        <v>1712760.43</v>
      </c>
      <c r="D43" s="8">
        <v>30017</v>
      </c>
      <c r="E43" s="8">
        <f t="shared" ref="E43" si="78">B43-C43-D43</f>
        <v>131086.80000000005</v>
      </c>
      <c r="F43" s="8">
        <f>ROUND($E43*0.36,2)-0.01</f>
        <v>47191.24</v>
      </c>
      <c r="G43" s="8">
        <f>ROUND($E43*0.17,2)</f>
        <v>22284.76</v>
      </c>
      <c r="H43" s="8">
        <f>ROUND($E43*0.047,2)</f>
        <v>6161.08</v>
      </c>
      <c r="I43" s="8">
        <f>ROUND($E43*0.423,2)</f>
        <v>55449.72</v>
      </c>
      <c r="J43" s="12">
        <f t="shared" ref="J43" si="79">E43/K43</f>
        <v>1048.6944000000003</v>
      </c>
      <c r="K43" s="13">
        <v>125</v>
      </c>
    </row>
    <row r="44" spans="1:11" ht="15" customHeight="1" x14ac:dyDescent="0.25">
      <c r="A44" s="11">
        <f t="shared" si="4"/>
        <v>45010</v>
      </c>
      <c r="B44" s="8">
        <v>936189.34</v>
      </c>
      <c r="C44" s="8">
        <v>884395.6100000001</v>
      </c>
      <c r="D44" s="8">
        <v>16435</v>
      </c>
      <c r="E44" s="8">
        <f t="shared" ref="E44" si="80">B44-C44-D44</f>
        <v>35358.729999999865</v>
      </c>
      <c r="F44" s="8">
        <f>ROUND($E44*0.36,2)</f>
        <v>12729.14</v>
      </c>
      <c r="G44" s="8">
        <f>ROUND($E44*0.17,2)</f>
        <v>6010.98</v>
      </c>
      <c r="H44" s="8">
        <f>ROUND($E44*0.047,2)+0.01</f>
        <v>1661.87</v>
      </c>
      <c r="I44" s="8">
        <f>ROUND($E44*0.423,2)</f>
        <v>14956.74</v>
      </c>
      <c r="J44" s="12">
        <f t="shared" ref="J44" si="81">E44/K44</f>
        <v>271.99023076922975</v>
      </c>
      <c r="K44" s="13">
        <v>130</v>
      </c>
    </row>
    <row r="45" spans="1:11" ht="15" customHeight="1" x14ac:dyDescent="0.25">
      <c r="A45" s="11">
        <f t="shared" si="4"/>
        <v>45017</v>
      </c>
      <c r="B45" s="8">
        <v>800807.49</v>
      </c>
      <c r="C45" s="8">
        <v>729441.01</v>
      </c>
      <c r="D45" s="8">
        <v>9885</v>
      </c>
      <c r="E45" s="8">
        <f t="shared" ref="E45" si="82">B45-C45-D45</f>
        <v>61481.479999999981</v>
      </c>
      <c r="F45" s="8">
        <f>ROUND($E45*0.36,2)</f>
        <v>22133.33</v>
      </c>
      <c r="G45" s="8">
        <f>ROUND($E45*0.17,2)</f>
        <v>10451.85</v>
      </c>
      <c r="H45" s="8">
        <f>ROUND($E45*0.047,2)</f>
        <v>2889.63</v>
      </c>
      <c r="I45" s="8">
        <f>ROUND($E45*0.423,2)</f>
        <v>26006.67</v>
      </c>
      <c r="J45" s="12">
        <f t="shared" ref="J45" si="83">E45/K45</f>
        <v>462.26676691729307</v>
      </c>
      <c r="K45" s="13">
        <v>133</v>
      </c>
    </row>
    <row r="46" spans="1:11" ht="15" customHeight="1" x14ac:dyDescent="0.25">
      <c r="A46" s="11">
        <f t="shared" si="4"/>
        <v>45024</v>
      </c>
      <c r="B46" s="8">
        <v>1144691.25</v>
      </c>
      <c r="C46" s="8">
        <v>1014124.83</v>
      </c>
      <c r="D46" s="8">
        <v>21827</v>
      </c>
      <c r="E46" s="8">
        <f t="shared" ref="E46" si="84">B46-C46-D46</f>
        <v>108739.42000000004</v>
      </c>
      <c r="F46" s="8">
        <f>ROUND($E46*0.36,2)+0.02</f>
        <v>39146.21</v>
      </c>
      <c r="G46" s="8">
        <f>ROUND($E46*0.17,2)-0.01</f>
        <v>18485.690000000002</v>
      </c>
      <c r="H46" s="8">
        <f>ROUND($E46*0.047,2)</f>
        <v>5110.75</v>
      </c>
      <c r="I46" s="8">
        <f>ROUND($E46*0.423,2)</f>
        <v>45996.77</v>
      </c>
      <c r="J46" s="12">
        <f t="shared" ref="J46" si="85">E46/K46</f>
        <v>876.93080645161319</v>
      </c>
      <c r="K46" s="13">
        <v>124</v>
      </c>
    </row>
    <row r="47" spans="1:11" ht="15" customHeight="1" x14ac:dyDescent="0.25">
      <c r="A47" s="11">
        <f t="shared" si="4"/>
        <v>45031</v>
      </c>
      <c r="B47" s="8">
        <v>632064.25000000012</v>
      </c>
      <c r="C47" s="8">
        <v>552222.7300000001</v>
      </c>
      <c r="D47" s="8">
        <v>9180</v>
      </c>
      <c r="E47" s="8">
        <f t="shared" ref="E47" si="86">B47-C47-D47</f>
        <v>70661.520000000019</v>
      </c>
      <c r="F47" s="8">
        <f>ROUND($E47*0.36,2)-0.02</f>
        <v>25438.13</v>
      </c>
      <c r="G47" s="8">
        <f>ROUND($E47*0.17,2)</f>
        <v>12012.46</v>
      </c>
      <c r="H47" s="8">
        <f>ROUND($E47*0.047,2)+0.01</f>
        <v>3321.1000000000004</v>
      </c>
      <c r="I47" s="8">
        <f>ROUND($E47*0.423,2)+0.01</f>
        <v>29889.829999999998</v>
      </c>
      <c r="J47" s="12">
        <f t="shared" ref="J47" si="87">E47/K47</f>
        <v>609.15103448275875</v>
      </c>
      <c r="K47" s="13">
        <v>116</v>
      </c>
    </row>
    <row r="48" spans="1:11" ht="15" customHeight="1" x14ac:dyDescent="0.25">
      <c r="A48" s="11">
        <f t="shared" si="4"/>
        <v>45038</v>
      </c>
      <c r="B48" s="8">
        <v>1960003.17</v>
      </c>
      <c r="C48" s="8">
        <v>1867722.27</v>
      </c>
      <c r="D48" s="8">
        <v>27135</v>
      </c>
      <c r="E48" s="8">
        <f t="shared" ref="E48" si="88">B48-C48-D48</f>
        <v>65145.899999999907</v>
      </c>
      <c r="F48" s="8">
        <f>ROUND($E48*0.36,2)</f>
        <v>23452.52</v>
      </c>
      <c r="G48" s="8">
        <f>ROUND($E48*0.17,2)+0.01</f>
        <v>11074.81</v>
      </c>
      <c r="H48" s="8">
        <f>ROUND($E48*0.047,2)</f>
        <v>3061.86</v>
      </c>
      <c r="I48" s="8">
        <f>ROUND($E48*0.423,2)-0.01</f>
        <v>27556.710000000003</v>
      </c>
      <c r="J48" s="12">
        <f t="shared" ref="J48" si="89">E48/K48</f>
        <v>556.80256410256334</v>
      </c>
      <c r="K48" s="13">
        <v>117</v>
      </c>
    </row>
    <row r="49" spans="1:13" ht="15" customHeight="1" x14ac:dyDescent="0.25">
      <c r="A49" s="11">
        <f t="shared" si="4"/>
        <v>45045</v>
      </c>
      <c r="B49" s="8">
        <v>1109178.5099999998</v>
      </c>
      <c r="C49" s="8">
        <v>987933.61999999988</v>
      </c>
      <c r="D49" s="8">
        <v>18735</v>
      </c>
      <c r="E49" s="8">
        <f t="shared" ref="E49" si="90">B49-C49-D49</f>
        <v>102509.8899999999</v>
      </c>
      <c r="F49" s="8">
        <f>ROUND($E49*0.36,2)</f>
        <v>36903.56</v>
      </c>
      <c r="G49" s="8">
        <f>ROUND($E49*0.17,2)</f>
        <v>17426.68</v>
      </c>
      <c r="H49" s="8">
        <f>ROUND($E49*0.047,2)+0.01</f>
        <v>4817.97</v>
      </c>
      <c r="I49" s="8">
        <f>ROUND($E49*0.423,2)</f>
        <v>43361.68</v>
      </c>
      <c r="J49" s="12">
        <f t="shared" ref="J49" si="91">E49/K49</f>
        <v>782.51824427480835</v>
      </c>
      <c r="K49" s="13">
        <v>131</v>
      </c>
    </row>
    <row r="50" spans="1:13" ht="15" customHeight="1" x14ac:dyDescent="0.25">
      <c r="A50" s="11">
        <f t="shared" si="4"/>
        <v>45052</v>
      </c>
      <c r="B50" s="8">
        <v>1134005.9900000002</v>
      </c>
      <c r="C50" s="8">
        <v>1031077.8200000001</v>
      </c>
      <c r="D50" s="8">
        <v>22614</v>
      </c>
      <c r="E50" s="8">
        <f t="shared" ref="E50" si="92">B50-C50-D50</f>
        <v>80314.170000000158</v>
      </c>
      <c r="F50" s="8">
        <f>ROUND($E50*0.36,2)-0.02</f>
        <v>28913.079999999998</v>
      </c>
      <c r="G50" s="8">
        <f>ROUND($E50*0.17,2)+0.01</f>
        <v>13653.42</v>
      </c>
      <c r="H50" s="8">
        <f>ROUND($E50*0.047,2)</f>
        <v>3774.77</v>
      </c>
      <c r="I50" s="8">
        <f>ROUND($E50*0.423,2)+0.01</f>
        <v>33972.9</v>
      </c>
      <c r="J50" s="12">
        <f t="shared" ref="J50" si="93">E50/K50</f>
        <v>686.44589743589881</v>
      </c>
      <c r="K50" s="13">
        <v>117</v>
      </c>
    </row>
    <row r="51" spans="1:13" ht="15" customHeight="1" x14ac:dyDescent="0.25">
      <c r="A51" s="11">
        <f t="shared" si="4"/>
        <v>45059</v>
      </c>
      <c r="B51" s="8">
        <v>947157.07000000007</v>
      </c>
      <c r="C51" s="8">
        <v>861712.85999999987</v>
      </c>
      <c r="D51" s="8">
        <v>11785</v>
      </c>
      <c r="E51" s="8">
        <f t="shared" ref="E51" si="94">B51-C51-D51</f>
        <v>73659.210000000196</v>
      </c>
      <c r="F51" s="8">
        <f>ROUND($E51*0.36,2)-0.01</f>
        <v>26517.31</v>
      </c>
      <c r="G51" s="8">
        <f>ROUND($E51*0.17,2)-0.01</f>
        <v>12522.06</v>
      </c>
      <c r="H51" s="8">
        <f>ROUND($E51*0.047,2)+0.01</f>
        <v>3461.9900000000002</v>
      </c>
      <c r="I51" s="8">
        <f>ROUND($E51*0.423,2)</f>
        <v>31157.85</v>
      </c>
      <c r="J51" s="12">
        <f t="shared" ref="J51" si="95">E51/K51</f>
        <v>603.76401639344419</v>
      </c>
      <c r="K51" s="13">
        <v>122</v>
      </c>
    </row>
    <row r="52" spans="1:13" ht="15" customHeight="1" x14ac:dyDescent="0.25">
      <c r="A52" s="11">
        <f t="shared" si="4"/>
        <v>45066</v>
      </c>
      <c r="B52" s="8">
        <v>915423.61</v>
      </c>
      <c r="C52" s="8">
        <v>774870</v>
      </c>
      <c r="D52" s="8">
        <v>9231</v>
      </c>
      <c r="E52" s="8">
        <f t="shared" ref="E52" si="96">B52-C52-D52</f>
        <v>131322.60999999999</v>
      </c>
      <c r="F52" s="8">
        <f>ROUND($E52*0.36,2)</f>
        <v>47276.14</v>
      </c>
      <c r="G52" s="8">
        <f>ROUND($E52*0.17,2)</f>
        <v>22324.84</v>
      </c>
      <c r="H52" s="8">
        <f>ROUND($E52*0.047,2)</f>
        <v>6172.16</v>
      </c>
      <c r="I52" s="8">
        <f>ROUND($E52*0.423,2)+0.01</f>
        <v>55549.47</v>
      </c>
      <c r="J52" s="12">
        <f t="shared" ref="J52" si="97">E52/K52</f>
        <v>1085.3108264462808</v>
      </c>
      <c r="K52" s="13">
        <v>121</v>
      </c>
    </row>
    <row r="53" spans="1:13" ht="15" customHeight="1" x14ac:dyDescent="0.25">
      <c r="A53" s="11">
        <f t="shared" si="4"/>
        <v>45073</v>
      </c>
      <c r="B53" s="8">
        <v>1174722.3500000001</v>
      </c>
      <c r="C53" s="8">
        <v>1067603.6400000001</v>
      </c>
      <c r="D53" s="8">
        <v>15133</v>
      </c>
      <c r="E53" s="8">
        <f t="shared" ref="E53" si="98">B53-C53-D53</f>
        <v>91985.709999999963</v>
      </c>
      <c r="F53" s="8">
        <f>ROUND($E53*0.36,2)-0.02</f>
        <v>33114.840000000004</v>
      </c>
      <c r="G53" s="8">
        <f>ROUND($E53*0.17,2)</f>
        <v>15637.57</v>
      </c>
      <c r="H53" s="8">
        <f>ROUND($E53*0.047,2)</f>
        <v>4323.33</v>
      </c>
      <c r="I53" s="8">
        <f>ROUND($E53*0.423,2)+0.01</f>
        <v>38909.97</v>
      </c>
      <c r="J53" s="12">
        <f t="shared" ref="J53" si="99">E53/K53</f>
        <v>766.54758333333302</v>
      </c>
      <c r="K53" s="13">
        <v>120</v>
      </c>
    </row>
    <row r="54" spans="1:13" ht="15" customHeight="1" x14ac:dyDescent="0.25">
      <c r="A54" s="11">
        <f t="shared" si="4"/>
        <v>45080</v>
      </c>
      <c r="B54" s="8">
        <v>1313277.4399999999</v>
      </c>
      <c r="C54" s="8">
        <v>1175893.28</v>
      </c>
      <c r="D54" s="8">
        <v>29392</v>
      </c>
      <c r="E54" s="8">
        <f t="shared" ref="E54" si="100">B54-C54-D54</f>
        <v>107992.15999999992</v>
      </c>
      <c r="F54" s="8">
        <f>ROUND($E54*0.36,2)</f>
        <v>38877.18</v>
      </c>
      <c r="G54" s="8">
        <f>ROUND($E54*0.17,2)</f>
        <v>18358.669999999998</v>
      </c>
      <c r="H54" s="8">
        <f>ROUND($E54*0.047,2)-0.01</f>
        <v>5075.62</v>
      </c>
      <c r="I54" s="8">
        <f>ROUND($E54*0.423,2)+0.01</f>
        <v>45680.69</v>
      </c>
      <c r="J54" s="12">
        <f t="shared" ref="J54" si="101">E54/K54</f>
        <v>824.36763358778558</v>
      </c>
      <c r="K54" s="13">
        <v>131</v>
      </c>
    </row>
    <row r="55" spans="1:13" ht="15" customHeight="1" x14ac:dyDescent="0.25">
      <c r="A55" s="11">
        <f t="shared" si="4"/>
        <v>45087</v>
      </c>
      <c r="B55" s="8">
        <v>758813.04999999993</v>
      </c>
      <c r="C55" s="8">
        <v>668476.18000000005</v>
      </c>
      <c r="D55" s="8">
        <v>9135</v>
      </c>
      <c r="E55" s="8">
        <f t="shared" ref="E55" si="102">B55-C55-D55</f>
        <v>81201.869999999879</v>
      </c>
      <c r="F55" s="8">
        <f>ROUND($E55*0.36,2)</f>
        <v>29232.67</v>
      </c>
      <c r="G55" s="8">
        <f>ROUND($E55*0.17,2)+0.01</f>
        <v>13804.33</v>
      </c>
      <c r="H55" s="8">
        <f>ROUND($E55*0.047,2)-0.01</f>
        <v>3816.4799999999996</v>
      </c>
      <c r="I55" s="8">
        <f>ROUND($E55*0.423,2)</f>
        <v>34348.39</v>
      </c>
      <c r="J55" s="12">
        <f t="shared" ref="J55" si="103">E55/K55</f>
        <v>694.0330769230759</v>
      </c>
      <c r="K55" s="13">
        <v>117</v>
      </c>
      <c r="M55" s="16"/>
    </row>
    <row r="56" spans="1:13" ht="15" customHeight="1" x14ac:dyDescent="0.25">
      <c r="A56" s="11">
        <f t="shared" si="4"/>
        <v>45094</v>
      </c>
      <c r="B56" s="8">
        <v>632448.53</v>
      </c>
      <c r="C56" s="8">
        <v>559981.38</v>
      </c>
      <c r="D56" s="8">
        <v>7380</v>
      </c>
      <c r="E56" s="8">
        <f t="shared" ref="E56" si="104">B56-C56-D56</f>
        <v>65087.150000000023</v>
      </c>
      <c r="F56" s="8">
        <f>ROUND($E56*0.36,2)-0.01</f>
        <v>23431.360000000001</v>
      </c>
      <c r="G56" s="8">
        <f>ROUND($E56*0.17,2)+0.01</f>
        <v>11064.83</v>
      </c>
      <c r="H56" s="8">
        <f>ROUND($E56*0.047,2)-0.01</f>
        <v>3059.0899999999997</v>
      </c>
      <c r="I56" s="8">
        <f>ROUND($E56*0.423,2)+0.01</f>
        <v>27531.87</v>
      </c>
      <c r="J56" s="12">
        <f t="shared" ref="J56" si="105">E56/K56</f>
        <v>551.58601694915274</v>
      </c>
      <c r="K56" s="13">
        <v>118</v>
      </c>
      <c r="M56" s="16"/>
    </row>
    <row r="57" spans="1:13" ht="15" customHeight="1" x14ac:dyDescent="0.25">
      <c r="A57" s="11">
        <f t="shared" si="4"/>
        <v>45101</v>
      </c>
      <c r="B57" s="8">
        <v>1544111.96</v>
      </c>
      <c r="C57" s="8">
        <v>1520614.1999999997</v>
      </c>
      <c r="D57" s="8">
        <v>17741</v>
      </c>
      <c r="E57" s="8">
        <f t="shared" ref="E57" si="106">B57-C57-D57</f>
        <v>5756.7600000002421</v>
      </c>
      <c r="F57" s="8">
        <f>ROUND($E57*0.36,2)</f>
        <v>2072.4299999999998</v>
      </c>
      <c r="G57" s="8">
        <f>ROUND($E57*0.17,2)</f>
        <v>978.65</v>
      </c>
      <c r="H57" s="8">
        <f>ROUND($E57*0.047,2)</f>
        <v>270.57</v>
      </c>
      <c r="I57" s="8">
        <f>ROUND($E57*0.423,2)</f>
        <v>2435.11</v>
      </c>
      <c r="J57" s="12">
        <f t="shared" ref="J57" si="107">E57/K57</f>
        <v>47.576528925621837</v>
      </c>
      <c r="K57" s="13">
        <v>121</v>
      </c>
      <c r="M57" s="16"/>
    </row>
    <row r="58" spans="1:13" ht="15" customHeight="1" x14ac:dyDescent="0.25">
      <c r="A58" s="11" t="s">
        <v>35</v>
      </c>
      <c r="B58" s="8">
        <v>1877181.4899999998</v>
      </c>
      <c r="C58" s="8">
        <v>1899282.2799999998</v>
      </c>
      <c r="D58" s="8">
        <v>35152</v>
      </c>
      <c r="E58" s="8">
        <f t="shared" ref="E58" si="108">B58-C58-D58</f>
        <v>-57252.790000000037</v>
      </c>
      <c r="F58" s="8">
        <f>ROUND($E58*0.36,2)-0.01</f>
        <v>-20611.009999999998</v>
      </c>
      <c r="G58" s="8">
        <f>ROUND($E58*0.17,2)-0.01</f>
        <v>-9732.98</v>
      </c>
      <c r="H58" s="8">
        <f>ROUND($E58*0.047,2)</f>
        <v>-2690.88</v>
      </c>
      <c r="I58" s="8">
        <f>ROUND($E58*0.423,2)+0.01</f>
        <v>-24217.920000000002</v>
      </c>
      <c r="J58" s="12">
        <f t="shared" ref="J58" si="109">E58/K58</f>
        <v>-424.09474074074103</v>
      </c>
      <c r="K58" s="13">
        <v>135</v>
      </c>
      <c r="M58" s="16"/>
    </row>
    <row r="59" spans="1:13" ht="15" customHeight="1" x14ac:dyDescent="0.25">
      <c r="A59" s="11"/>
      <c r="B59" s="8"/>
      <c r="C59" s="8"/>
      <c r="D59" s="8"/>
      <c r="E59" s="8"/>
      <c r="F59" s="8"/>
      <c r="G59" s="8"/>
      <c r="H59" s="8"/>
      <c r="I59" s="8"/>
      <c r="J59" s="12"/>
      <c r="K59" s="13"/>
    </row>
    <row r="60" spans="1:13" ht="15" customHeight="1" thickBot="1" x14ac:dyDescent="0.3">
      <c r="B60" s="9">
        <f>SUM(B6:B59)</f>
        <v>64152541.960000008</v>
      </c>
      <c r="C60" s="9">
        <f t="shared" ref="C60:H60" si="110">SUM(C6:C59)</f>
        <v>59038808.339999996</v>
      </c>
      <c r="D60" s="9">
        <f t="shared" si="110"/>
        <v>1007680</v>
      </c>
      <c r="E60" s="9">
        <f t="shared" si="110"/>
        <v>4106053.6199999973</v>
      </c>
      <c r="F60" s="9">
        <f>SUM(F6:F59)</f>
        <v>1478179.22</v>
      </c>
      <c r="G60" s="9">
        <f t="shared" si="110"/>
        <v>698029.19000000018</v>
      </c>
      <c r="H60" s="9">
        <f t="shared" si="110"/>
        <v>192984.48999999993</v>
      </c>
      <c r="I60" s="9">
        <f>SUM(I6:I59)</f>
        <v>1736860.7200000002</v>
      </c>
      <c r="J60" s="14">
        <f>AVERAGE(J6:J59)</f>
        <v>591.22494390316115</v>
      </c>
      <c r="K60" s="15">
        <f>AVERAGE(K6:K59)</f>
        <v>131.24528301886792</v>
      </c>
    </row>
    <row r="61" spans="1:13" ht="15" customHeight="1" thickTop="1" x14ac:dyDescent="0.25"/>
    <row r="62" spans="1:13" ht="15" customHeight="1" x14ac:dyDescent="0.25">
      <c r="A62" s="19" t="s">
        <v>29</v>
      </c>
    </row>
    <row r="63" spans="1:13" ht="15" customHeight="1" x14ac:dyDescent="0.25">
      <c r="A63" s="19" t="s">
        <v>37</v>
      </c>
    </row>
    <row r="64" spans="1:13" ht="15" customHeight="1" x14ac:dyDescent="0.25">
      <c r="A64" s="20" t="s">
        <v>36</v>
      </c>
    </row>
  </sheetData>
  <mergeCells count="1">
    <mergeCell ref="A4:K4"/>
  </mergeCells>
  <printOptions horizontalCentered="1"/>
  <pageMargins left="0.25" right="0.25" top="0.75" bottom="0.5" header="0.25" footer="0"/>
  <pageSetup scale="53" orientation="landscape" r:id="rId1"/>
  <headerFooter>
    <oddHeader>&amp;C&amp;"Arial,Italic"&amp;10GREENBRIER HISTORIC RESORT VIDEO LOTTERY</oddHeader>
    <oddFooter>&amp;L&amp;"Arial,Regular"&amp;8&amp;F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Weekly Summary</vt:lpstr>
      <vt:lpstr>Table Games</vt:lpstr>
      <vt:lpstr>Video</vt:lpstr>
      <vt:lpstr>'Table Games'!Print_Area</vt:lpstr>
      <vt:lpstr>Video!Print_Area</vt:lpstr>
      <vt:lpstr>'Weekly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2022-10-05T17:17:21Z</cp:lastPrinted>
  <dcterms:created xsi:type="dcterms:W3CDTF">2017-06-16T18:01:39Z</dcterms:created>
  <dcterms:modified xsi:type="dcterms:W3CDTF">2023-07-07T14:20:53Z</dcterms:modified>
</cp:coreProperties>
</file>