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bookViews>
    <workbookView xWindow="285" yWindow="0" windowWidth="13710" windowHeight="13395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Town'!$A$1:$O$30</definedName>
    <definedName name="_xlnm.Print_Area" localSheetId="3">'Mardi Gras'!$A$1:$O$39</definedName>
    <definedName name="_xlnm.Print_Area" localSheetId="1">Mountaineer!$A$1:$O$24</definedName>
    <definedName name="_xlnm.Print_Area" localSheetId="0">Summary!$A$1:$O$15</definedName>
    <definedName name="_xlnm.Print_Area" localSheetId="2">Wheeling!$A$1:$O$39</definedName>
  </definedNames>
  <calcPr calcId="162913"/>
</workbook>
</file>

<file path=xl/calcChain.xml><?xml version="1.0" encoding="utf-8"?>
<calcChain xmlns="http://schemas.openxmlformats.org/spreadsheetml/2006/main">
  <c r="O9" i="4" l="1"/>
  <c r="N9" i="4"/>
  <c r="L9" i="4"/>
  <c r="C9" i="4"/>
  <c r="O9" i="3"/>
  <c r="N9" i="3"/>
  <c r="L9" i="3"/>
  <c r="I9" i="3"/>
  <c r="F9" i="3"/>
  <c r="E9" i="3"/>
  <c r="D9" i="3"/>
  <c r="C9" i="3"/>
  <c r="O9" i="2"/>
  <c r="N9" i="2"/>
  <c r="I9" i="2"/>
  <c r="G9" i="2"/>
  <c r="D9" i="2"/>
  <c r="C9" i="2"/>
  <c r="O9" i="1"/>
  <c r="N9" i="1"/>
  <c r="L9" i="1"/>
  <c r="I9" i="1"/>
  <c r="H9" i="1"/>
  <c r="G9" i="1"/>
  <c r="D9" i="1"/>
  <c r="C9" i="1"/>
  <c r="A10" i="5" l="1"/>
  <c r="A9" i="3"/>
  <c r="A9" i="2"/>
  <c r="A9" i="1"/>
  <c r="K11" i="1"/>
  <c r="B11" i="1"/>
  <c r="O11" i="1"/>
  <c r="N11" i="1"/>
  <c r="M9" i="1"/>
  <c r="M11" i="1" s="1"/>
  <c r="L11" i="1"/>
  <c r="J9" i="1"/>
  <c r="J11" i="1" s="1"/>
  <c r="I11" i="1"/>
  <c r="H11" i="1"/>
  <c r="G11" i="1"/>
  <c r="F9" i="1"/>
  <c r="F11" i="1" s="1"/>
  <c r="E9" i="1"/>
  <c r="E11" i="1" s="1"/>
  <c r="D11" i="1"/>
  <c r="C11" i="1"/>
  <c r="K11" i="2"/>
  <c r="F11" i="2"/>
  <c r="B11" i="2"/>
  <c r="O11" i="2"/>
  <c r="N11" i="2"/>
  <c r="M9" i="2"/>
  <c r="M11" i="2" s="1"/>
  <c r="L9" i="2"/>
  <c r="L11" i="2" s="1"/>
  <c r="J9" i="2"/>
  <c r="J11" i="2" s="1"/>
  <c r="I11" i="2"/>
  <c r="H9" i="2"/>
  <c r="H11" i="2" s="1"/>
  <c r="G11" i="2"/>
  <c r="F9" i="2"/>
  <c r="E9" i="2"/>
  <c r="E11" i="2" s="1"/>
  <c r="D11" i="2"/>
  <c r="C11" i="2"/>
  <c r="K11" i="3"/>
  <c r="B11" i="3"/>
  <c r="O11" i="3"/>
  <c r="N11" i="3"/>
  <c r="M9" i="3"/>
  <c r="M11" i="3" s="1"/>
  <c r="L11" i="3"/>
  <c r="J9" i="3"/>
  <c r="J11" i="3" s="1"/>
  <c r="I11" i="3"/>
  <c r="H9" i="3"/>
  <c r="H11" i="3" s="1"/>
  <c r="G9" i="3"/>
  <c r="G11" i="3" s="1"/>
  <c r="F11" i="3"/>
  <c r="E11" i="3"/>
  <c r="D11" i="3"/>
  <c r="C11" i="3"/>
  <c r="E9" i="4"/>
  <c r="M9" i="4" l="1"/>
  <c r="J9" i="4"/>
  <c r="I9" i="4"/>
  <c r="H9" i="4"/>
  <c r="G9" i="4"/>
  <c r="F9" i="4"/>
  <c r="D9" i="4"/>
  <c r="K11" i="4" l="1"/>
  <c r="O11" i="4" l="1"/>
  <c r="N11" i="4"/>
  <c r="L11" i="4" l="1"/>
  <c r="E11" i="4"/>
  <c r="C11" i="4"/>
  <c r="B11" i="4" l="1"/>
  <c r="M11" i="4"/>
  <c r="J11" i="4"/>
  <c r="I11" i="4"/>
  <c r="H11" i="4"/>
  <c r="G11" i="4"/>
  <c r="F11" i="4"/>
  <c r="D11" i="4"/>
  <c r="B10" i="5" l="1"/>
  <c r="K10" i="5"/>
  <c r="K12" i="5" s="1"/>
  <c r="O10" i="5" l="1"/>
  <c r="O12" i="5" s="1"/>
  <c r="N10" i="5"/>
  <c r="N12" i="5" s="1"/>
  <c r="L10" i="5"/>
  <c r="L12" i="5" s="1"/>
  <c r="C10" i="5"/>
  <c r="C12" i="5" s="1"/>
  <c r="G10" i="5" l="1"/>
  <c r="G12" i="5" s="1"/>
  <c r="E10" i="5"/>
  <c r="E12" i="5" s="1"/>
  <c r="D10" i="5"/>
  <c r="D12" i="5" s="1"/>
  <c r="J10" i="5"/>
  <c r="J12" i="5" s="1"/>
  <c r="F10" i="5"/>
  <c r="F12" i="5" s="1"/>
  <c r="M10" i="5"/>
  <c r="M12" i="5" s="1"/>
  <c r="H10" i="5"/>
  <c r="H12" i="5" s="1"/>
  <c r="I10" i="5"/>
  <c r="I12" i="5" s="1"/>
  <c r="B12" i="5" l="1"/>
</calcChain>
</file>

<file path=xl/sharedStrings.xml><?xml version="1.0" encoding="utf-8"?>
<sst xmlns="http://schemas.openxmlformats.org/spreadsheetml/2006/main" count="97" uniqueCount="30">
  <si>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</si>
  <si>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</si>
  <si>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</si>
  <si>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</si>
  <si>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</si>
  <si>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</si>
  <si>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</si>
  <si>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</si>
  <si>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</si>
  <si>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</si>
  <si>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</si>
  <si>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</si>
  <si>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</si>
  <si>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</si>
  <si>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</si>
  <si>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</si>
  <si>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</si>
  <si>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</si>
  <si>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</si>
  <si>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</si>
  <si>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</si>
  <si>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</si>
  <si>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</si>
  <si>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</si>
  <si>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</si>
  <si>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Non-Racetrack Municipalities (202/200) *</t>
  </si>
  <si>
    <t>FOR THE MONTH ENDING JULY 31, 2024</t>
  </si>
  <si>
    <t>FISCAL YEAR 2025</t>
  </si>
  <si>
    <t>July 2024</t>
  </si>
  <si>
    <t>FY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</si>
</sst>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4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44" fontId="9" fillId="0" borderId="0" xfId="1" applyFont="1"/>
    <xf numFmtId="44" fontId="9" fillId="0" borderId="2" xfId="0" applyNumberFormat="1" applyFont="1" applyBorder="1"/>
    <xf numFmtId="0" fontId="11" fillId="0" borderId="0" xfId="0" applyFont="1"/>
    <xf numFmtId="44" fontId="9" fillId="0" borderId="0" xfId="1" applyNumberFormat="1" applyFont="1"/>
    <xf numFmtId="0" fontId="9" fillId="0" borderId="0" xfId="0" applyFont="1" applyFill="1"/>
    <xf numFmtId="0" fontId="6" fillId="0" borderId="0" xfId="0" applyFont="1" applyFill="1"/>
    <xf numFmtId="0" fontId="5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quotePrefix="1" applyFont="1"/>
    <xf numFmtId="0" fontId="1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workbookViewId="0">
      <selection activeCell="A7" sqref="A7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19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15" customHeight="1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15" customHeight="1" x14ac:dyDescent="0.25">
      <c r="A3" s="20" t="s">
        <v>26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5" t="s">
        <v>24</v>
      </c>
      <c r="O8" s="16" t="s">
        <v>25</v>
      </c>
    </row>
    <row r="9" spans="1:15" x14ac:dyDescent="0.25">
      <c r="B9" s="5"/>
      <c r="C9" s="6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7" t="str">
        <f>Mountaineer!A9</f>
        <v>July 2024</v>
      </c>
      <c r="B10" s="7">
        <f>SUM('Mountaineer:Charles Town'!B9)</f>
        <v>6649583.9900000002</v>
      </c>
      <c r="C10" s="7">
        <f>SUM('Mountaineer:Charles Town'!C9)</f>
        <v>2327354.41</v>
      </c>
      <c r="D10" s="7">
        <f>SUM('Mountaineer:Charles Town'!D9)</f>
        <v>199487.52000000002</v>
      </c>
      <c r="E10" s="7">
        <f>SUM('Mountaineer:Charles Town'!E9)</f>
        <v>29923.14</v>
      </c>
      <c r="F10" s="7">
        <f>SUM('Mountaineer:Charles Town'!F9)</f>
        <v>149615.62</v>
      </c>
      <c r="G10" s="7">
        <f>SUM('Mountaineer:Charles Town'!G9)</f>
        <v>119692.53</v>
      </c>
      <c r="H10" s="7">
        <f>SUM('Mountaineer:Charles Town'!H9)</f>
        <v>132991.69999999998</v>
      </c>
      <c r="I10" s="7">
        <f>SUM('Mountaineer:Charles Town'!I9)</f>
        <v>199487.52000000002</v>
      </c>
      <c r="J10" s="7">
        <f>SUM('Mountaineer:Charles Town'!J9)</f>
        <v>33247.919999999998</v>
      </c>
      <c r="K10" s="7">
        <f>SUM('Mountaineer:Charles Town'!K9)</f>
        <v>24672.329999999998</v>
      </c>
      <c r="L10" s="7">
        <f>SUM('Mountaineer:Charles Town'!L9)</f>
        <v>1130561.3999999999</v>
      </c>
      <c r="M10" s="7">
        <f>SUM('Mountaineer:Charles Town'!M9)</f>
        <v>59503.229999999996</v>
      </c>
      <c r="N10" s="7">
        <f>SUM('Mountaineer:Charles Town'!N9)</f>
        <v>148758.33000000002</v>
      </c>
      <c r="O10" s="7">
        <f>SUM('Mountaineer:Charles Town'!O9)</f>
        <v>148758</v>
      </c>
    </row>
    <row r="11" spans="1:15" ht="13.5" customHeight="1" x14ac:dyDescent="0.25"/>
    <row r="12" spans="1:15" ht="15" customHeight="1" thickBot="1" x14ac:dyDescent="0.3">
      <c r="B12" s="8">
        <f t="shared" ref="B12:O12" si="0">SUM(B10:B11)</f>
        <v>6649583.9900000002</v>
      </c>
      <c r="C12" s="8">
        <f t="shared" si="0"/>
        <v>2327354.41</v>
      </c>
      <c r="D12" s="8">
        <f t="shared" si="0"/>
        <v>199487.52000000002</v>
      </c>
      <c r="E12" s="8">
        <f t="shared" si="0"/>
        <v>29923.14</v>
      </c>
      <c r="F12" s="8">
        <f t="shared" si="0"/>
        <v>149615.62</v>
      </c>
      <c r="G12" s="8">
        <f t="shared" si="0"/>
        <v>119692.53</v>
      </c>
      <c r="H12" s="8">
        <f t="shared" si="0"/>
        <v>132991.69999999998</v>
      </c>
      <c r="I12" s="8">
        <f t="shared" si="0"/>
        <v>199487.52000000002</v>
      </c>
      <c r="J12" s="8">
        <f t="shared" si="0"/>
        <v>33247.919999999998</v>
      </c>
      <c r="K12" s="8">
        <f t="shared" si="0"/>
        <v>24672.329999999998</v>
      </c>
      <c r="L12" s="8">
        <f t="shared" si="0"/>
        <v>1130561.3999999999</v>
      </c>
      <c r="M12" s="8">
        <f t="shared" si="0"/>
        <v>59503.229999999996</v>
      </c>
      <c r="N12" s="8">
        <f t="shared" si="0"/>
        <v>148758.33000000002</v>
      </c>
      <c r="O12" s="8">
        <f t="shared" si="0"/>
        <v>148758</v>
      </c>
    </row>
    <row r="13" spans="1:15" ht="15" customHeight="1" thickTop="1" x14ac:dyDescent="0.25"/>
    <row r="14" spans="1:15" ht="15" customHeight="1" x14ac:dyDescent="0.25">
      <c r="A14" s="9" t="s">
        <v>14</v>
      </c>
    </row>
    <row r="15" spans="1:15" ht="15" customHeight="1" x14ac:dyDescent="0.25">
      <c r="A15" s="9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workbookViewId="0">
      <selection activeCell="P9" sqref="P9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3"/>
    </row>
    <row r="3" spans="1:15" ht="15" customHeight="1" x14ac:dyDescent="0.25">
      <c r="A3" s="12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8" t="s">
        <v>29</v>
      </c>
      <c r="B5" s="10">
        <v>10138697.75</v>
      </c>
      <c r="C5" s="10">
        <v>3548544.2800000003</v>
      </c>
      <c r="D5" s="10">
        <v>304160.86000000004</v>
      </c>
      <c r="E5" s="10">
        <v>45624.159999999996</v>
      </c>
      <c r="F5" s="10">
        <v>228120.70999999996</v>
      </c>
      <c r="G5" s="10">
        <v>182496.54</v>
      </c>
      <c r="H5" s="10">
        <v>202773.96</v>
      </c>
      <c r="I5" s="10">
        <v>304160.86000000004</v>
      </c>
      <c r="J5" s="10">
        <v>50693.47</v>
      </c>
      <c r="K5" s="10">
        <v>75403.149999999994</v>
      </c>
      <c r="L5" s="10">
        <v>1752496.8099999998</v>
      </c>
      <c r="M5" s="10">
        <v>92236.680000000008</v>
      </c>
      <c r="N5" s="10">
        <v>230591.59</v>
      </c>
      <c r="O5" s="10">
        <v>230591.91999999998</v>
      </c>
    </row>
    <row r="7" spans="1:15" ht="15" customHeight="1" x14ac:dyDescent="0.25">
      <c r="A7" s="22" t="s">
        <v>27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7" t="s">
        <v>28</v>
      </c>
      <c r="B9" s="7">
        <v>819116</v>
      </c>
      <c r="C9" s="7">
        <f>ROUND($B9*0.35,2)+0.01</f>
        <v>286690.61</v>
      </c>
      <c r="D9" s="7">
        <f>ROUND($B9*0.03,2)</f>
        <v>24573.48</v>
      </c>
      <c r="E9" s="7">
        <f>ROUND($B9*0.0045,2)</f>
        <v>3686.02</v>
      </c>
      <c r="F9" s="7">
        <f t="shared" ref="F9" si="0">ROUND(($B9*0.025)*0.9,2)</f>
        <v>18430.11</v>
      </c>
      <c r="G9" s="7">
        <f t="shared" ref="G9" si="1">ROUND(($B9*0.02)*0.9,2)</f>
        <v>14744.09</v>
      </c>
      <c r="H9" s="7">
        <f t="shared" ref="H9" si="2">ROUND($B9*0.02,2)</f>
        <v>16382.32</v>
      </c>
      <c r="I9" s="7">
        <f>ROUND($B9*0.03,2)</f>
        <v>24573.48</v>
      </c>
      <c r="J9" s="7">
        <f t="shared" ref="J9" si="3">ROUND($B9*0.005,2)</f>
        <v>4095.58</v>
      </c>
      <c r="K9" s="7">
        <v>6168.08</v>
      </c>
      <c r="L9" s="7">
        <f>ROUND((($B9*0.22)+$K9)*0.76,2)+0.01</f>
        <v>141643.95000000001</v>
      </c>
      <c r="M9" s="7">
        <f t="shared" ref="M9" si="4">ROUND((($B9*0.22)+$K9)*0.04,2)</f>
        <v>7454.94</v>
      </c>
      <c r="N9" s="7">
        <f>ROUND((($B9*0.22)+$K9)*0.1,2)+0.06</f>
        <v>18637.420000000002</v>
      </c>
      <c r="O9" s="7">
        <f>ROUND((($B9*0.22)+$K9)*0.1,2)-0.02</f>
        <v>18637.34</v>
      </c>
    </row>
    <row r="11" spans="1:15" ht="15" customHeight="1" thickBot="1" x14ac:dyDescent="0.3">
      <c r="B11" s="8">
        <f t="shared" ref="B11:O11" si="5">SUM(B9:B10)</f>
        <v>819116</v>
      </c>
      <c r="C11" s="8">
        <f t="shared" si="5"/>
        <v>286690.61</v>
      </c>
      <c r="D11" s="8">
        <f t="shared" si="5"/>
        <v>24573.48</v>
      </c>
      <c r="E11" s="8">
        <f t="shared" si="5"/>
        <v>3686.02</v>
      </c>
      <c r="F11" s="8">
        <f t="shared" si="5"/>
        <v>18430.11</v>
      </c>
      <c r="G11" s="8">
        <f t="shared" si="5"/>
        <v>14744.09</v>
      </c>
      <c r="H11" s="8">
        <f t="shared" si="5"/>
        <v>16382.32</v>
      </c>
      <c r="I11" s="8">
        <f t="shared" si="5"/>
        <v>24573.48</v>
      </c>
      <c r="J11" s="8">
        <f t="shared" si="5"/>
        <v>4095.58</v>
      </c>
      <c r="K11" s="8">
        <f t="shared" si="5"/>
        <v>6168.08</v>
      </c>
      <c r="L11" s="8">
        <f t="shared" si="5"/>
        <v>141643.95000000001</v>
      </c>
      <c r="M11" s="8">
        <f t="shared" si="5"/>
        <v>7454.94</v>
      </c>
      <c r="N11" s="8">
        <f t="shared" si="5"/>
        <v>18637.420000000002</v>
      </c>
      <c r="O11" s="8">
        <f t="shared" si="5"/>
        <v>18637.34</v>
      </c>
    </row>
    <row r="12" spans="1:15" ht="15" customHeight="1" thickTop="1" x14ac:dyDescent="0.25"/>
    <row r="13" spans="1:15" ht="15" customHeight="1" x14ac:dyDescent="0.25">
      <c r="A13" s="9" t="s">
        <v>14</v>
      </c>
    </row>
    <row r="14" spans="1:15" ht="15" customHeight="1" x14ac:dyDescent="0.25">
      <c r="A14" s="9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workbookViewId="0">
      <selection activeCell="P9" sqref="P9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3"/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8" t="s">
        <v>29</v>
      </c>
      <c r="B5" s="10">
        <v>6432181.04</v>
      </c>
      <c r="C5" s="10">
        <v>2251263.4</v>
      </c>
      <c r="D5" s="10">
        <v>192965.41999999998</v>
      </c>
      <c r="E5" s="10">
        <v>28944.81</v>
      </c>
      <c r="F5" s="10">
        <v>144724.07999999999</v>
      </c>
      <c r="G5" s="10">
        <v>115779.24</v>
      </c>
      <c r="H5" s="10">
        <v>128643.59999999998</v>
      </c>
      <c r="I5" s="10">
        <v>192965.41999999998</v>
      </c>
      <c r="J5" s="10">
        <v>32160.929999999997</v>
      </c>
      <c r="K5" s="10">
        <v>75403.139999999985</v>
      </c>
      <c r="L5" s="10">
        <v>1132767.0799999998</v>
      </c>
      <c r="M5" s="10">
        <v>59619.340000000004</v>
      </c>
      <c r="N5" s="10">
        <v>149048.21000000002</v>
      </c>
      <c r="O5" s="10">
        <v>149048.53999999998</v>
      </c>
    </row>
    <row r="7" spans="1:15" ht="15" customHeight="1" x14ac:dyDescent="0.25">
      <c r="A7" s="22" t="s">
        <v>27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7" t="str">
        <f>Mountaineer!A9</f>
        <v>July 2024</v>
      </c>
      <c r="B9" s="7">
        <v>380474.8600000001</v>
      </c>
      <c r="C9" s="7">
        <f>ROUND($B9*0.35,2)+0.02</f>
        <v>133166.22</v>
      </c>
      <c r="D9" s="7">
        <f>ROUND($B9*0.03,2)-0.01</f>
        <v>11414.24</v>
      </c>
      <c r="E9" s="7">
        <f>ROUND($B9*0.0045,2)+0.01</f>
        <v>1712.15</v>
      </c>
      <c r="F9" s="7">
        <f>ROUND(($B9*0.025)*0.9,2)-0.01</f>
        <v>8560.67</v>
      </c>
      <c r="G9" s="7">
        <f t="shared" ref="G9" si="0">ROUND(($B9*0.02)*0.9,2)</f>
        <v>6848.55</v>
      </c>
      <c r="H9" s="7">
        <f t="shared" ref="H9" si="1">ROUND($B9*0.02,2)</f>
        <v>7609.5</v>
      </c>
      <c r="I9" s="7">
        <f>ROUND($B9*0.03,2)-0.01</f>
        <v>11414.24</v>
      </c>
      <c r="J9" s="7">
        <f t="shared" ref="J9" si="2">ROUND($B9*0.005,2)</f>
        <v>1902.37</v>
      </c>
      <c r="K9" s="7">
        <v>6168.08</v>
      </c>
      <c r="L9" s="7">
        <f>ROUND((($B9*0.22)+$K9)*0.76,2)+0.02</f>
        <v>68303.16</v>
      </c>
      <c r="M9" s="7">
        <f t="shared" ref="M9" si="3">ROUND((($B9*0.22)+$K9)*0.04,2)</f>
        <v>3594.9</v>
      </c>
      <c r="N9" s="7">
        <f>ROUND((($B9*0.22)+$K9)*0.1,2)+0.07</f>
        <v>8987.32</v>
      </c>
      <c r="O9" s="7">
        <f>ROUND((($B9*0.22)+$K9)*0.1,2)-0.01</f>
        <v>8987.24</v>
      </c>
    </row>
    <row r="11" spans="1:15" ht="15" customHeight="1" thickBot="1" x14ac:dyDescent="0.3">
      <c r="B11" s="8">
        <f t="shared" ref="B11:O11" si="4">SUM(B9:B10)</f>
        <v>380474.8600000001</v>
      </c>
      <c r="C11" s="8">
        <f t="shared" si="4"/>
        <v>133166.22</v>
      </c>
      <c r="D11" s="8">
        <f t="shared" si="4"/>
        <v>11414.24</v>
      </c>
      <c r="E11" s="8">
        <f t="shared" si="4"/>
        <v>1712.15</v>
      </c>
      <c r="F11" s="8">
        <f t="shared" si="4"/>
        <v>8560.67</v>
      </c>
      <c r="G11" s="8">
        <f t="shared" si="4"/>
        <v>6848.55</v>
      </c>
      <c r="H11" s="8">
        <f t="shared" si="4"/>
        <v>7609.5</v>
      </c>
      <c r="I11" s="8">
        <f t="shared" si="4"/>
        <v>11414.24</v>
      </c>
      <c r="J11" s="8">
        <f t="shared" si="4"/>
        <v>1902.37</v>
      </c>
      <c r="K11" s="8">
        <f t="shared" si="4"/>
        <v>6168.08</v>
      </c>
      <c r="L11" s="8">
        <f t="shared" si="4"/>
        <v>68303.16</v>
      </c>
      <c r="M11" s="8">
        <f t="shared" si="4"/>
        <v>3594.9</v>
      </c>
      <c r="N11" s="8">
        <f t="shared" si="4"/>
        <v>8987.32</v>
      </c>
      <c r="O11" s="8">
        <f t="shared" si="4"/>
        <v>8987.24</v>
      </c>
    </row>
    <row r="12" spans="1:15" ht="15" customHeight="1" thickTop="1" x14ac:dyDescent="0.25"/>
    <row r="13" spans="1:15" ht="15" customHeight="1" x14ac:dyDescent="0.25">
      <c r="A13" s="9" t="s">
        <v>14</v>
      </c>
    </row>
    <row r="14" spans="1:15" ht="15" customHeight="1" x14ac:dyDescent="0.25">
      <c r="A14" s="9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workbookViewId="0">
      <selection activeCell="P9" sqref="P9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1" t="s">
        <v>16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4"/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8" t="s">
        <v>29</v>
      </c>
      <c r="B5" s="10">
        <v>15694924.16</v>
      </c>
      <c r="C5" s="10">
        <v>5493223.4800000004</v>
      </c>
      <c r="D5" s="10">
        <v>470847.76000000013</v>
      </c>
      <c r="E5" s="10">
        <v>70627.19</v>
      </c>
      <c r="F5" s="10">
        <v>353135.76000000013</v>
      </c>
      <c r="G5" s="10">
        <v>282508.64</v>
      </c>
      <c r="H5" s="10">
        <v>313898.50999999995</v>
      </c>
      <c r="I5" s="10">
        <v>470847.76000000013</v>
      </c>
      <c r="J5" s="10">
        <v>78474.63</v>
      </c>
      <c r="K5" s="10">
        <v>75403.14</v>
      </c>
      <c r="L5" s="10">
        <v>2681497.6400000006</v>
      </c>
      <c r="M5" s="10">
        <v>141131.45000000001</v>
      </c>
      <c r="N5" s="10">
        <v>352828.53</v>
      </c>
      <c r="O5" s="10">
        <v>352828.88</v>
      </c>
    </row>
    <row r="7" spans="1:15" ht="15" customHeight="1" x14ac:dyDescent="0.25">
      <c r="A7" s="22" t="s">
        <v>27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7" t="str">
        <f>Mountaineer!A9</f>
        <v>July 2024</v>
      </c>
      <c r="B9" s="7">
        <v>1186695.75</v>
      </c>
      <c r="C9" s="7">
        <f>ROUND($B9*0.35,2)-0.02</f>
        <v>415343.49</v>
      </c>
      <c r="D9" s="7">
        <f>ROUND($B9*0.03,2)-0.01</f>
        <v>35600.86</v>
      </c>
      <c r="E9" s="7">
        <f>ROUND($B9*0.0045,2)</f>
        <v>5340.13</v>
      </c>
      <c r="F9" s="7">
        <f t="shared" ref="F9" si="0">ROUND(($B9*0.025)*0.9,2)</f>
        <v>26700.65</v>
      </c>
      <c r="G9" s="7">
        <f>ROUND(($B9*0.02)*0.9,2)+0.01</f>
        <v>21360.53</v>
      </c>
      <c r="H9" s="7">
        <f t="shared" ref="H9" si="1">ROUND($B9*0.02,2)</f>
        <v>23733.919999999998</v>
      </c>
      <c r="I9" s="7">
        <f>ROUND($B9*0.03,2)-0.01</f>
        <v>35600.86</v>
      </c>
      <c r="J9" s="7">
        <f t="shared" ref="J9" si="2">ROUND($B9*0.005,2)</f>
        <v>5933.48</v>
      </c>
      <c r="K9" s="7">
        <v>6168.08</v>
      </c>
      <c r="L9" s="7">
        <f>ROUND((($B9*0.22)+$K9)*0.76,2)</f>
        <v>203103.27</v>
      </c>
      <c r="M9" s="7">
        <f t="shared" ref="M9" si="3">ROUND((($B9*0.22)+$K9)*0.04,2)</f>
        <v>10689.65</v>
      </c>
      <c r="N9" s="7">
        <f>ROUND((($B9*0.22)+$K9)*0.1,2)+0.07</f>
        <v>26724.18</v>
      </c>
      <c r="O9" s="7">
        <f>ROUND((($B9*0.22)+$K9)*0.1,2)-0.03</f>
        <v>26724.080000000002</v>
      </c>
    </row>
    <row r="11" spans="1:15" ht="15" customHeight="1" thickBot="1" x14ac:dyDescent="0.3">
      <c r="B11" s="8">
        <f t="shared" ref="B11:O11" si="4">SUM(B9:B10)</f>
        <v>1186695.75</v>
      </c>
      <c r="C11" s="8">
        <f t="shared" si="4"/>
        <v>415343.49</v>
      </c>
      <c r="D11" s="8">
        <f t="shared" si="4"/>
        <v>35600.86</v>
      </c>
      <c r="E11" s="8">
        <f t="shared" si="4"/>
        <v>5340.13</v>
      </c>
      <c r="F11" s="8">
        <f t="shared" si="4"/>
        <v>26700.65</v>
      </c>
      <c r="G11" s="8">
        <f t="shared" si="4"/>
        <v>21360.53</v>
      </c>
      <c r="H11" s="8">
        <f t="shared" si="4"/>
        <v>23733.919999999998</v>
      </c>
      <c r="I11" s="8">
        <f t="shared" si="4"/>
        <v>35600.86</v>
      </c>
      <c r="J11" s="8">
        <f t="shared" si="4"/>
        <v>5933.48</v>
      </c>
      <c r="K11" s="8">
        <f t="shared" si="4"/>
        <v>6168.08</v>
      </c>
      <c r="L11" s="8">
        <f t="shared" si="4"/>
        <v>203103.27</v>
      </c>
      <c r="M11" s="8">
        <f t="shared" si="4"/>
        <v>10689.65</v>
      </c>
      <c r="N11" s="8">
        <f t="shared" si="4"/>
        <v>26724.18</v>
      </c>
      <c r="O11" s="8">
        <f t="shared" si="4"/>
        <v>26724.080000000002</v>
      </c>
    </row>
    <row r="12" spans="1:15" ht="15" customHeight="1" thickTop="1" x14ac:dyDescent="0.25"/>
    <row r="13" spans="1:15" ht="15" customHeight="1" x14ac:dyDescent="0.25">
      <c r="A13" s="9" t="s">
        <v>14</v>
      </c>
    </row>
    <row r="14" spans="1:15" ht="15" customHeight="1" x14ac:dyDescent="0.25">
      <c r="A14" s="9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workbookViewId="0">
      <selection activeCell="P9" sqref="P9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4"/>
    </row>
    <row r="3" spans="1:15" ht="15" customHeight="1" x14ac:dyDescent="0.25">
      <c r="A3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8" t="s">
        <v>29</v>
      </c>
      <c r="B5" s="10">
        <v>61377894.230000004</v>
      </c>
      <c r="C5" s="10">
        <v>21482263.070000004</v>
      </c>
      <c r="D5" s="10">
        <v>1841336.82</v>
      </c>
      <c r="E5" s="10">
        <v>276200.50999999995</v>
      </c>
      <c r="F5" s="10">
        <v>1381002.61</v>
      </c>
      <c r="G5" s="10">
        <v>1104802.1199999999</v>
      </c>
      <c r="H5" s="10">
        <v>1227557.8800000001</v>
      </c>
      <c r="I5" s="10">
        <v>1841336.82</v>
      </c>
      <c r="J5" s="10">
        <v>306889.47000000009</v>
      </c>
      <c r="K5" s="10">
        <v>75403.13</v>
      </c>
      <c r="L5" s="10">
        <v>10319690.391000001</v>
      </c>
      <c r="M5" s="10">
        <v>543141.6</v>
      </c>
      <c r="N5" s="10">
        <v>1357853.88</v>
      </c>
      <c r="O5" s="10">
        <v>1357854.2199999997</v>
      </c>
    </row>
    <row r="7" spans="1:15" ht="15" customHeight="1" x14ac:dyDescent="0.25">
      <c r="A7" s="22" t="s">
        <v>27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7" t="str">
        <f>Mountaineer!A9</f>
        <v>July 2024</v>
      </c>
      <c r="B9" s="7">
        <v>4263297.38</v>
      </c>
      <c r="C9" s="7">
        <f>ROUND($B9*0.35,2)+0.01</f>
        <v>1492154.09</v>
      </c>
      <c r="D9" s="7">
        <f>ROUND($B9*0.03,2)+0.02</f>
        <v>127898.94</v>
      </c>
      <c r="E9" s="7">
        <f>ROUND($B9*0.0045,2)</f>
        <v>19184.84</v>
      </c>
      <c r="F9" s="7">
        <f t="shared" ref="F9" si="0">ROUND(($B9*0.025)*0.9,2)</f>
        <v>95924.19</v>
      </c>
      <c r="G9" s="7">
        <f>ROUND(($B9*0.02)*0.9,2)+0.01</f>
        <v>76739.360000000001</v>
      </c>
      <c r="H9" s="7">
        <f>ROUND($B9*0.02,2)+0.01</f>
        <v>85265.959999999992</v>
      </c>
      <c r="I9" s="7">
        <f>ROUND($B9*0.03,2)+0.02</f>
        <v>127898.94</v>
      </c>
      <c r="J9" s="7">
        <f t="shared" ref="J9" si="1">ROUND($B9*0.005,2)</f>
        <v>21316.49</v>
      </c>
      <c r="K9" s="7">
        <v>6168.09</v>
      </c>
      <c r="L9" s="7">
        <f>ROUND((($B9*0.22)+$K9)*0.76,2)-0.05</f>
        <v>717511.0199999999</v>
      </c>
      <c r="M9" s="7">
        <f t="shared" ref="M9" si="2">ROUND((($B9*0.22)+$K9)*0.04,2)</f>
        <v>37763.74</v>
      </c>
      <c r="N9" s="7">
        <f>ROUND((($B9*0.22)+$K9)*0.1,2)+0.06</f>
        <v>94409.41</v>
      </c>
      <c r="O9" s="7">
        <f>ROUND((($B9*0.22)+$K9)*0.1,2)-0.01</f>
        <v>94409.340000000011</v>
      </c>
    </row>
    <row r="11" spans="1:15" ht="15" customHeight="1" thickBot="1" x14ac:dyDescent="0.3">
      <c r="B11" s="8">
        <f t="shared" ref="B11:O11" si="3">SUM(B9:B10)</f>
        <v>4263297.38</v>
      </c>
      <c r="C11" s="8">
        <f t="shared" si="3"/>
        <v>1492154.09</v>
      </c>
      <c r="D11" s="8">
        <f t="shared" si="3"/>
        <v>127898.94</v>
      </c>
      <c r="E11" s="8">
        <f t="shared" si="3"/>
        <v>19184.84</v>
      </c>
      <c r="F11" s="8">
        <f t="shared" si="3"/>
        <v>95924.19</v>
      </c>
      <c r="G11" s="8">
        <f t="shared" si="3"/>
        <v>76739.360000000001</v>
      </c>
      <c r="H11" s="8">
        <f t="shared" si="3"/>
        <v>85265.959999999992</v>
      </c>
      <c r="I11" s="8">
        <f t="shared" si="3"/>
        <v>127898.94</v>
      </c>
      <c r="J11" s="8">
        <f t="shared" si="3"/>
        <v>21316.49</v>
      </c>
      <c r="K11" s="8">
        <f t="shared" si="3"/>
        <v>6168.09</v>
      </c>
      <c r="L11" s="8">
        <f t="shared" si="3"/>
        <v>717511.0199999999</v>
      </c>
      <c r="M11" s="8">
        <f t="shared" si="3"/>
        <v>37763.74</v>
      </c>
      <c r="N11" s="8">
        <f t="shared" si="3"/>
        <v>94409.41</v>
      </c>
      <c r="O11" s="8">
        <f t="shared" si="3"/>
        <v>94409.340000000011</v>
      </c>
    </row>
    <row r="12" spans="1:15" ht="15" customHeight="1" thickTop="1" x14ac:dyDescent="0.25"/>
    <row r="13" spans="1:15" ht="15" customHeight="1" x14ac:dyDescent="0.25">
      <c r="A13" s="9" t="s">
        <v>14</v>
      </c>
    </row>
    <row r="14" spans="1:15" ht="15" customHeight="1" x14ac:dyDescent="0.25">
      <c r="A14" s="9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2022-05-24T13:43:06Z</cp:lastPrinted>
  <dcterms:created xsi:type="dcterms:W3CDTF">2017-06-26T17:33:37Z</dcterms:created>
  <dcterms:modified xsi:type="dcterms:W3CDTF">2024-08-09T17:30:47Z</dcterms:modified>
</cp:coreProperties>
</file>