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bookViews>
    <workbookView xWindow="285" yWindow="0" windowWidth="13710" windowHeight="13395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Town'!$A$1:$O$31</definedName>
    <definedName name="_xlnm.Print_Area" localSheetId="3">'Mardi Gras'!$A$1:$O$40</definedName>
    <definedName name="_xlnm.Print_Area" localSheetId="1">Mountaineer!$A$1:$O$34</definedName>
    <definedName name="_xlnm.Print_Area" localSheetId="0">Summary!$A$1:$O$25</definedName>
    <definedName name="_xlnm.Print_Area" localSheetId="2">Wheeling!$A$1:$O$40</definedName>
  </definedNames>
  <calcPr calcId="162913"/>
</workbook>
</file>

<file path=xl/calcChain.xml><?xml version="1.0" encoding="utf-8"?>
<calcChain xmlns="http://schemas.openxmlformats.org/spreadsheetml/2006/main">
  <c r="L19" i="2" l="1"/>
  <c r="L19" i="4"/>
  <c r="O19" i="1" l="1"/>
  <c r="N19" i="1"/>
  <c r="L19" i="1"/>
  <c r="I19" i="1"/>
  <c r="D19" i="1"/>
  <c r="C19" i="1"/>
  <c r="O19" i="2"/>
  <c r="N19" i="2"/>
  <c r="I19" i="2"/>
  <c r="E19" i="2"/>
  <c r="D19" i="2"/>
  <c r="C19" i="2"/>
  <c r="O19" i="3"/>
  <c r="N19" i="3"/>
  <c r="L19" i="3"/>
  <c r="C19" i="3"/>
  <c r="O19" i="4"/>
  <c r="N19" i="4"/>
  <c r="C19" i="4"/>
  <c r="K20" i="5" l="1"/>
  <c r="B20" i="5"/>
  <c r="E19" i="1"/>
  <c r="C20" i="5"/>
  <c r="M19" i="1"/>
  <c r="J19" i="1"/>
  <c r="H19" i="1"/>
  <c r="G19" i="1"/>
  <c r="F19" i="1"/>
  <c r="O20" i="5"/>
  <c r="N20" i="5"/>
  <c r="M19" i="2"/>
  <c r="J19" i="2"/>
  <c r="H19" i="2"/>
  <c r="G19" i="2"/>
  <c r="F19" i="2"/>
  <c r="M19" i="3"/>
  <c r="J19" i="3"/>
  <c r="I19" i="3"/>
  <c r="H19" i="3"/>
  <c r="G19" i="3"/>
  <c r="F19" i="3"/>
  <c r="E19" i="3"/>
  <c r="D19" i="3"/>
  <c r="J19" i="4"/>
  <c r="M19" i="4"/>
  <c r="I19" i="4"/>
  <c r="H19" i="4"/>
  <c r="G19" i="4"/>
  <c r="F19" i="4"/>
  <c r="E19" i="4"/>
  <c r="D19" i="4"/>
  <c r="D20" i="5" l="1"/>
  <c r="H20" i="5"/>
  <c r="J20" i="5"/>
  <c r="G20" i="5"/>
  <c r="F20" i="5"/>
  <c r="I20" i="5"/>
  <c r="M20" i="5"/>
  <c r="L20" i="5"/>
  <c r="E20" i="5"/>
  <c r="O18" i="1"/>
  <c r="N18" i="1"/>
  <c r="L18" i="1"/>
  <c r="I18" i="1"/>
  <c r="E18" i="1"/>
  <c r="D18" i="1"/>
  <c r="C18" i="1"/>
  <c r="O18" i="2"/>
  <c r="N18" i="2"/>
  <c r="L18" i="2"/>
  <c r="C18" i="2"/>
  <c r="O18" i="3"/>
  <c r="N18" i="3"/>
  <c r="L18" i="3"/>
  <c r="C18" i="3"/>
  <c r="O18" i="4"/>
  <c r="N18" i="4"/>
  <c r="L18" i="4"/>
  <c r="J18" i="4"/>
  <c r="C18" i="4"/>
  <c r="K19" i="5" l="1"/>
  <c r="B19" i="5"/>
  <c r="M18" i="1"/>
  <c r="J18" i="1"/>
  <c r="H18" i="1"/>
  <c r="G18" i="1"/>
  <c r="F18" i="1"/>
  <c r="I18" i="2"/>
  <c r="D18" i="2"/>
  <c r="M18" i="2"/>
  <c r="J18" i="2"/>
  <c r="H18" i="2"/>
  <c r="G18" i="2"/>
  <c r="F18" i="2"/>
  <c r="E18" i="2"/>
  <c r="I18" i="3"/>
  <c r="H18" i="3"/>
  <c r="G18" i="3"/>
  <c r="D18" i="3"/>
  <c r="M18" i="3"/>
  <c r="J18" i="3"/>
  <c r="F18" i="3"/>
  <c r="E18" i="3"/>
  <c r="O19" i="5" l="1"/>
  <c r="N19" i="5"/>
  <c r="L19" i="5"/>
  <c r="I18" i="4"/>
  <c r="I19" i="5" s="1"/>
  <c r="H18" i="4"/>
  <c r="H19" i="5" s="1"/>
  <c r="E18" i="4"/>
  <c r="E19" i="5" s="1"/>
  <c r="D18" i="4"/>
  <c r="D19" i="5" s="1"/>
  <c r="C19" i="5"/>
  <c r="F18" i="4"/>
  <c r="F19" i="5" s="1"/>
  <c r="G18" i="4"/>
  <c r="G19" i="5" s="1"/>
  <c r="J19" i="5"/>
  <c r="M18" i="4"/>
  <c r="M19" i="5" s="1"/>
  <c r="O17" i="1" l="1"/>
  <c r="L17" i="1"/>
  <c r="O17" i="2"/>
  <c r="L17" i="2"/>
  <c r="O17" i="3"/>
  <c r="L17" i="3"/>
  <c r="O17" i="4"/>
  <c r="L17" i="4"/>
  <c r="I17" i="4" l="1"/>
  <c r="N17" i="1"/>
  <c r="C17" i="1"/>
  <c r="N17" i="2"/>
  <c r="I17" i="2"/>
  <c r="D17" i="2"/>
  <c r="C17" i="2"/>
  <c r="N17" i="3"/>
  <c r="I17" i="3"/>
  <c r="H17" i="3"/>
  <c r="G17" i="3"/>
  <c r="D17" i="3"/>
  <c r="C17" i="3"/>
  <c r="N17" i="4"/>
  <c r="H17" i="4"/>
  <c r="E17" i="4"/>
  <c r="D17" i="4"/>
  <c r="K18" i="5" l="1"/>
  <c r="B18" i="5"/>
  <c r="O18" i="5"/>
  <c r="J17" i="1"/>
  <c r="I17" i="1"/>
  <c r="I18" i="5" s="1"/>
  <c r="H17" i="1"/>
  <c r="D17" i="1"/>
  <c r="D18" i="5" s="1"/>
  <c r="M17" i="1"/>
  <c r="G17" i="1"/>
  <c r="F17" i="1"/>
  <c r="E17" i="1"/>
  <c r="N18" i="5"/>
  <c r="L18" i="5"/>
  <c r="H17" i="2"/>
  <c r="G17" i="2"/>
  <c r="C18" i="5"/>
  <c r="M17" i="2"/>
  <c r="J17" i="2"/>
  <c r="F17" i="2"/>
  <c r="E17" i="2"/>
  <c r="M17" i="3"/>
  <c r="J17" i="3"/>
  <c r="F17" i="3"/>
  <c r="E17" i="3"/>
  <c r="M17" i="4"/>
  <c r="J17" i="4"/>
  <c r="H18" i="5"/>
  <c r="G17" i="4"/>
  <c r="F17" i="4"/>
  <c r="C17" i="4"/>
  <c r="J18" i="5" l="1"/>
  <c r="E18" i="5"/>
  <c r="G18" i="5"/>
  <c r="M18" i="5"/>
  <c r="F18" i="5"/>
  <c r="L16" i="1"/>
  <c r="J16" i="1"/>
  <c r="O16" i="1" l="1"/>
  <c r="N16" i="1"/>
  <c r="I16" i="1"/>
  <c r="H16" i="1"/>
  <c r="D16" i="1"/>
  <c r="O16" i="2"/>
  <c r="N16" i="2"/>
  <c r="L16" i="2"/>
  <c r="I16" i="2"/>
  <c r="H16" i="2"/>
  <c r="G16" i="2"/>
  <c r="D16" i="2"/>
  <c r="C16" i="2"/>
  <c r="O16" i="3"/>
  <c r="N16" i="3"/>
  <c r="L16" i="3"/>
  <c r="H16" i="3"/>
  <c r="C16" i="3"/>
  <c r="O16" i="4"/>
  <c r="N16" i="4"/>
  <c r="L16" i="4"/>
  <c r="I16" i="4"/>
  <c r="F16" i="4"/>
  <c r="E16" i="4"/>
  <c r="D16" i="4"/>
  <c r="K17" i="5" l="1"/>
  <c r="B17" i="5"/>
  <c r="N17" i="5"/>
  <c r="L17" i="5"/>
  <c r="M16" i="1"/>
  <c r="G16" i="1"/>
  <c r="F16" i="1"/>
  <c r="E16" i="1"/>
  <c r="C16" i="1"/>
  <c r="C17" i="5" s="1"/>
  <c r="O17" i="5"/>
  <c r="J16" i="2"/>
  <c r="M16" i="2"/>
  <c r="F16" i="2"/>
  <c r="E16" i="2"/>
  <c r="G16" i="3"/>
  <c r="M16" i="3"/>
  <c r="J16" i="3"/>
  <c r="I16" i="3"/>
  <c r="I17" i="5" s="1"/>
  <c r="F16" i="3"/>
  <c r="E16" i="3"/>
  <c r="D16" i="3"/>
  <c r="M16" i="4"/>
  <c r="J16" i="4"/>
  <c r="H16" i="4"/>
  <c r="H17" i="5" s="1"/>
  <c r="G16" i="4"/>
  <c r="C16" i="4"/>
  <c r="E17" i="5" l="1"/>
  <c r="J17" i="5"/>
  <c r="G17" i="5"/>
  <c r="F17" i="5"/>
  <c r="D17" i="5"/>
  <c r="M17" i="5"/>
  <c r="J15" i="1"/>
  <c r="D15" i="1"/>
  <c r="L15" i="1"/>
  <c r="L15" i="2"/>
  <c r="J15" i="2"/>
  <c r="K16" i="5" l="1"/>
  <c r="B16" i="5"/>
  <c r="M15" i="1"/>
  <c r="O15" i="1"/>
  <c r="N15" i="1"/>
  <c r="I15" i="1"/>
  <c r="O15" i="2"/>
  <c r="N15" i="2"/>
  <c r="I15" i="2"/>
  <c r="D15" i="2"/>
  <c r="O15" i="3"/>
  <c r="O16" i="5" s="1"/>
  <c r="N15" i="3"/>
  <c r="N16" i="5" s="1"/>
  <c r="G15" i="3"/>
  <c r="O15" i="4"/>
  <c r="N15" i="4"/>
  <c r="L15" i="4"/>
  <c r="I15" i="4"/>
  <c r="D15" i="4"/>
  <c r="H15" i="1" l="1"/>
  <c r="G15" i="1"/>
  <c r="F15" i="1"/>
  <c r="E15" i="1"/>
  <c r="C15" i="1"/>
  <c r="F15" i="2"/>
  <c r="C15" i="2"/>
  <c r="M15" i="2"/>
  <c r="H15" i="2"/>
  <c r="G15" i="2"/>
  <c r="E15" i="2"/>
  <c r="L15" i="3"/>
  <c r="L16" i="5" s="1"/>
  <c r="C15" i="3"/>
  <c r="C16" i="5" s="1"/>
  <c r="M15" i="3"/>
  <c r="J15" i="3"/>
  <c r="I15" i="3"/>
  <c r="I16" i="5" s="1"/>
  <c r="H15" i="3"/>
  <c r="F15" i="3"/>
  <c r="E15" i="3"/>
  <c r="D15" i="3"/>
  <c r="D16" i="5" s="1"/>
  <c r="E15" i="4"/>
  <c r="C15" i="4"/>
  <c r="M15" i="4"/>
  <c r="J15" i="4"/>
  <c r="H15" i="4"/>
  <c r="G15" i="4"/>
  <c r="F15" i="4"/>
  <c r="F16" i="5" s="1"/>
  <c r="E16" i="5" l="1"/>
  <c r="J16" i="5"/>
  <c r="G16" i="5"/>
  <c r="H16" i="5"/>
  <c r="M16" i="5"/>
  <c r="N14" i="4"/>
  <c r="O14" i="1"/>
  <c r="N14" i="1"/>
  <c r="L14" i="1"/>
  <c r="I14" i="1"/>
  <c r="H14" i="1"/>
  <c r="G14" i="1"/>
  <c r="D14" i="1"/>
  <c r="O14" i="2"/>
  <c r="N14" i="2"/>
  <c r="L14" i="2"/>
  <c r="F14" i="2"/>
  <c r="C14" i="2"/>
  <c r="O14" i="3"/>
  <c r="N14" i="3"/>
  <c r="O14" i="4"/>
  <c r="L14" i="3"/>
  <c r="C14" i="3"/>
  <c r="L14" i="4"/>
  <c r="E14" i="4"/>
  <c r="C14" i="4"/>
  <c r="K15" i="5" l="1"/>
  <c r="B15" i="5"/>
  <c r="C14" i="1"/>
  <c r="M14" i="1"/>
  <c r="J14" i="1"/>
  <c r="F14" i="1"/>
  <c r="E14" i="1"/>
  <c r="L15" i="5"/>
  <c r="J14" i="2"/>
  <c r="M14" i="2"/>
  <c r="I14" i="2"/>
  <c r="H14" i="2"/>
  <c r="G14" i="2"/>
  <c r="E14" i="2"/>
  <c r="D14" i="2"/>
  <c r="F14" i="3"/>
  <c r="E14" i="3"/>
  <c r="M14" i="3"/>
  <c r="J14" i="3"/>
  <c r="I14" i="3"/>
  <c r="I15" i="5" s="1"/>
  <c r="H14" i="3"/>
  <c r="G14" i="3"/>
  <c r="D14" i="3"/>
  <c r="N15" i="5"/>
  <c r="M14" i="4"/>
  <c r="J14" i="4"/>
  <c r="I14" i="4"/>
  <c r="H14" i="4"/>
  <c r="G14" i="4"/>
  <c r="F14" i="4"/>
  <c r="D14" i="4"/>
  <c r="C15" i="5"/>
  <c r="E15" i="5" l="1"/>
  <c r="F15" i="5"/>
  <c r="J15" i="5"/>
  <c r="M15" i="5"/>
  <c r="H15" i="5"/>
  <c r="G15" i="5"/>
  <c r="D15" i="5"/>
  <c r="O15" i="5"/>
  <c r="L13" i="1"/>
  <c r="O13" i="1" l="1"/>
  <c r="N13" i="1"/>
  <c r="I13" i="1"/>
  <c r="D13" i="1"/>
  <c r="C13" i="1"/>
  <c r="O13" i="2"/>
  <c r="N13" i="2"/>
  <c r="L13" i="2"/>
  <c r="J13" i="2"/>
  <c r="C13" i="2"/>
  <c r="O13" i="3"/>
  <c r="N13" i="3"/>
  <c r="L13" i="3"/>
  <c r="F13" i="3"/>
  <c r="E13" i="3"/>
  <c r="C13" i="3"/>
  <c r="O13" i="4"/>
  <c r="N13" i="4"/>
  <c r="E13" i="4"/>
  <c r="K14" i="5"/>
  <c r="B14" i="5"/>
  <c r="M13" i="1"/>
  <c r="J13" i="1"/>
  <c r="H13" i="1"/>
  <c r="G13" i="1"/>
  <c r="F13" i="1"/>
  <c r="E13" i="1"/>
  <c r="M13" i="2"/>
  <c r="I13" i="2"/>
  <c r="H13" i="2"/>
  <c r="G13" i="2"/>
  <c r="F13" i="2"/>
  <c r="E13" i="2"/>
  <c r="D13" i="2"/>
  <c r="J13" i="3"/>
  <c r="I13" i="3"/>
  <c r="D13" i="3"/>
  <c r="M13" i="3"/>
  <c r="H13" i="3"/>
  <c r="G13" i="3"/>
  <c r="L13" i="4"/>
  <c r="I13" i="4"/>
  <c r="D13" i="4"/>
  <c r="C13" i="4"/>
  <c r="M13" i="4"/>
  <c r="J13" i="4"/>
  <c r="H13" i="4"/>
  <c r="G13" i="4"/>
  <c r="F13" i="4"/>
  <c r="F14" i="5" l="1"/>
  <c r="H14" i="5"/>
  <c r="I14" i="5"/>
  <c r="J14" i="5"/>
  <c r="D14" i="5"/>
  <c r="M14" i="5"/>
  <c r="E14" i="5"/>
  <c r="C14" i="5"/>
  <c r="N14" i="5"/>
  <c r="O14" i="5"/>
  <c r="L14" i="5"/>
  <c r="G14" i="5"/>
  <c r="L12" i="2"/>
  <c r="O12" i="1" l="1"/>
  <c r="N12" i="1"/>
  <c r="L12" i="1"/>
  <c r="C12" i="1"/>
  <c r="O12" i="2"/>
  <c r="N12" i="2"/>
  <c r="O12" i="3"/>
  <c r="N12" i="3"/>
  <c r="L12" i="3"/>
  <c r="J12" i="3"/>
  <c r="I12" i="3"/>
  <c r="E12" i="3"/>
  <c r="D12" i="3"/>
  <c r="C12" i="3"/>
  <c r="O12" i="4"/>
  <c r="N12" i="4"/>
  <c r="L12" i="4"/>
  <c r="I12" i="4"/>
  <c r="D12" i="4"/>
  <c r="C12" i="4"/>
  <c r="K13" i="5" l="1"/>
  <c r="B13" i="5"/>
  <c r="F12" i="1"/>
  <c r="E12" i="1"/>
  <c r="N13" i="5"/>
  <c r="O13" i="5"/>
  <c r="C12" i="2"/>
  <c r="F12" i="3"/>
  <c r="G12" i="4"/>
  <c r="C13" i="5"/>
  <c r="M12" i="1"/>
  <c r="J12" i="1"/>
  <c r="I12" i="1"/>
  <c r="H12" i="1"/>
  <c r="G12" i="1"/>
  <c r="D12" i="1"/>
  <c r="O11" i="2"/>
  <c r="N11" i="2"/>
  <c r="M11" i="2"/>
  <c r="L11" i="2"/>
  <c r="J11" i="2"/>
  <c r="I11" i="2"/>
  <c r="H11" i="2"/>
  <c r="G11" i="2"/>
  <c r="F11" i="2"/>
  <c r="E11" i="2"/>
  <c r="D11" i="2"/>
  <c r="C11" i="2"/>
  <c r="M12" i="3"/>
  <c r="L13" i="5"/>
  <c r="H12" i="3"/>
  <c r="G12" i="3"/>
  <c r="M12" i="4"/>
  <c r="J12" i="4"/>
  <c r="H12" i="4"/>
  <c r="F12" i="4"/>
  <c r="E12" i="4"/>
  <c r="F11" i="1" l="1"/>
  <c r="K12" i="5"/>
  <c r="D12" i="5"/>
  <c r="B12" i="5"/>
  <c r="O11" i="1"/>
  <c r="N11" i="1"/>
  <c r="L11" i="1"/>
  <c r="E11" i="1"/>
  <c r="C11" i="1"/>
  <c r="O11" i="3"/>
  <c r="O12" i="5" s="1"/>
  <c r="N11" i="3"/>
  <c r="N12" i="5" s="1"/>
  <c r="I11" i="3"/>
  <c r="I12" i="5" s="1"/>
  <c r="F11" i="3"/>
  <c r="D11" i="3"/>
  <c r="C11" i="3"/>
  <c r="C12" i="5" s="1"/>
  <c r="O11" i="4"/>
  <c r="N11" i="4"/>
  <c r="G11" i="4"/>
  <c r="C11" i="4"/>
  <c r="M11" i="1" l="1"/>
  <c r="J11" i="1"/>
  <c r="I11" i="1"/>
  <c r="H11" i="1"/>
  <c r="G11" i="1"/>
  <c r="D11" i="1"/>
  <c r="I12" i="2"/>
  <c r="I13" i="5" s="1"/>
  <c r="F12" i="2"/>
  <c r="F13" i="5" s="1"/>
  <c r="E12" i="2"/>
  <c r="E13" i="5" s="1"/>
  <c r="D12" i="2"/>
  <c r="D13" i="5" s="1"/>
  <c r="M12" i="2"/>
  <c r="M13" i="5" s="1"/>
  <c r="J12" i="2"/>
  <c r="J13" i="5" s="1"/>
  <c r="H12" i="2"/>
  <c r="H13" i="5" s="1"/>
  <c r="G12" i="2"/>
  <c r="G13" i="5" s="1"/>
  <c r="M11" i="3"/>
  <c r="L11" i="3"/>
  <c r="L12" i="5" s="1"/>
  <c r="G11" i="3"/>
  <c r="G12" i="5" s="1"/>
  <c r="J11" i="3"/>
  <c r="H11" i="3"/>
  <c r="E11" i="3"/>
  <c r="E12" i="5" s="1"/>
  <c r="L11" i="4"/>
  <c r="I11" i="4"/>
  <c r="D11" i="4"/>
  <c r="M11" i="4"/>
  <c r="J11" i="4"/>
  <c r="H11" i="4"/>
  <c r="F11" i="4"/>
  <c r="F12" i="5" s="1"/>
  <c r="E11" i="4"/>
  <c r="J12" i="5" l="1"/>
  <c r="H12" i="5"/>
  <c r="M12" i="5"/>
  <c r="M10" i="4"/>
  <c r="O10" i="1"/>
  <c r="N10" i="1"/>
  <c r="F10" i="1"/>
  <c r="C10" i="1"/>
  <c r="O10" i="2"/>
  <c r="N10" i="2"/>
  <c r="L10" i="2"/>
  <c r="I10" i="2"/>
  <c r="F10" i="2"/>
  <c r="E10" i="2"/>
  <c r="D10" i="2"/>
  <c r="C10" i="2"/>
  <c r="O10" i="3"/>
  <c r="N10" i="3"/>
  <c r="M10" i="3"/>
  <c r="L10" i="3"/>
  <c r="I10" i="3"/>
  <c r="G10" i="3"/>
  <c r="D10" i="3"/>
  <c r="C10" i="3"/>
  <c r="O10" i="4"/>
  <c r="N10" i="4"/>
  <c r="L10" i="4"/>
  <c r="I10" i="4"/>
  <c r="G10" i="4"/>
  <c r="D10" i="4"/>
  <c r="K11" i="5" l="1"/>
  <c r="B11" i="5"/>
  <c r="O11" i="5"/>
  <c r="N11" i="5"/>
  <c r="L10" i="1"/>
  <c r="L11" i="5" s="1"/>
  <c r="I10" i="1"/>
  <c r="H10" i="1"/>
  <c r="G10" i="1"/>
  <c r="D10" i="1"/>
  <c r="M10" i="1"/>
  <c r="J10" i="1"/>
  <c r="E10" i="1"/>
  <c r="I11" i="5"/>
  <c r="D11" i="5"/>
  <c r="M10" i="2"/>
  <c r="J10" i="2"/>
  <c r="H10" i="2"/>
  <c r="G10" i="2"/>
  <c r="F10" i="3"/>
  <c r="E10" i="3"/>
  <c r="J10" i="3"/>
  <c r="H10" i="3"/>
  <c r="C10" i="4"/>
  <c r="C11" i="5" s="1"/>
  <c r="J10" i="4"/>
  <c r="H10" i="4"/>
  <c r="F10" i="4"/>
  <c r="E10" i="4"/>
  <c r="M11" i="5" l="1"/>
  <c r="J11" i="5"/>
  <c r="G11" i="5"/>
  <c r="E11" i="5"/>
  <c r="F11" i="5"/>
  <c r="H11" i="5"/>
  <c r="O9" i="1"/>
  <c r="N9" i="1"/>
  <c r="L9" i="1"/>
  <c r="I9" i="1"/>
  <c r="H9" i="1"/>
  <c r="G9" i="1"/>
  <c r="D9" i="1"/>
  <c r="C9" i="1"/>
  <c r="O9" i="2"/>
  <c r="N9" i="2"/>
  <c r="L9" i="2"/>
  <c r="I9" i="2"/>
  <c r="E9" i="2"/>
  <c r="D9" i="2"/>
  <c r="O9" i="3"/>
  <c r="N9" i="3"/>
  <c r="L9" i="3"/>
  <c r="F9" i="3"/>
  <c r="E9" i="3"/>
  <c r="C9" i="3"/>
  <c r="O9" i="4"/>
  <c r="N9" i="4"/>
  <c r="L9" i="4"/>
  <c r="C9" i="4"/>
  <c r="K21" i="4" l="1"/>
  <c r="B21" i="4"/>
  <c r="O21" i="4"/>
  <c r="N21" i="4"/>
  <c r="M9" i="4"/>
  <c r="M21" i="4" s="1"/>
  <c r="L21" i="4"/>
  <c r="J9" i="4"/>
  <c r="J21" i="4" s="1"/>
  <c r="I9" i="4"/>
  <c r="I21" i="4" s="1"/>
  <c r="H9" i="4"/>
  <c r="H21" i="4" s="1"/>
  <c r="G9" i="4"/>
  <c r="G21" i="4" s="1"/>
  <c r="F9" i="4"/>
  <c r="F21" i="4" s="1"/>
  <c r="E9" i="4"/>
  <c r="E21" i="4" s="1"/>
  <c r="D9" i="4"/>
  <c r="D21" i="4" s="1"/>
  <c r="C21" i="4"/>
  <c r="K21" i="3"/>
  <c r="D21" i="3"/>
  <c r="B21" i="3"/>
  <c r="O21" i="3"/>
  <c r="N21" i="3"/>
  <c r="M9" i="3"/>
  <c r="M21" i="3" s="1"/>
  <c r="L21" i="3"/>
  <c r="J9" i="3"/>
  <c r="J21" i="3" s="1"/>
  <c r="I9" i="3"/>
  <c r="I21" i="3" s="1"/>
  <c r="H9" i="3"/>
  <c r="H21" i="3" s="1"/>
  <c r="G9" i="3"/>
  <c r="G21" i="3" s="1"/>
  <c r="F21" i="3"/>
  <c r="E21" i="3"/>
  <c r="D9" i="3"/>
  <c r="C21" i="3"/>
  <c r="K21" i="2"/>
  <c r="B21" i="2"/>
  <c r="O21" i="2"/>
  <c r="N21" i="2"/>
  <c r="M9" i="2"/>
  <c r="M21" i="2" s="1"/>
  <c r="L21" i="2"/>
  <c r="J9" i="2"/>
  <c r="J21" i="2" s="1"/>
  <c r="I21" i="2"/>
  <c r="H9" i="2"/>
  <c r="H21" i="2" s="1"/>
  <c r="G9" i="2"/>
  <c r="G21" i="2" s="1"/>
  <c r="F9" i="2"/>
  <c r="F21" i="2" s="1"/>
  <c r="E21" i="2"/>
  <c r="D21" i="2"/>
  <c r="C9" i="2"/>
  <c r="C21" i="2" s="1"/>
  <c r="J9" i="1"/>
  <c r="B10" i="5" l="1"/>
  <c r="K10" i="5"/>
  <c r="O10" i="5" l="1"/>
  <c r="N10" i="5"/>
  <c r="M9" i="1"/>
  <c r="L10" i="5"/>
  <c r="F9" i="1"/>
  <c r="E9" i="1"/>
  <c r="C10" i="5"/>
  <c r="G10" i="5" l="1"/>
  <c r="E10" i="5"/>
  <c r="D10" i="5"/>
  <c r="J10" i="5"/>
  <c r="F10" i="5"/>
  <c r="M10" i="5"/>
  <c r="H10" i="5"/>
  <c r="I10" i="5"/>
  <c r="K21" i="1"/>
  <c r="B21" i="1"/>
  <c r="O21" i="1"/>
  <c r="N21" i="1"/>
  <c r="M21" i="1"/>
  <c r="L21" i="1"/>
  <c r="J21" i="1"/>
  <c r="I21" i="1"/>
  <c r="H21" i="1"/>
  <c r="G21" i="1"/>
  <c r="F21" i="1"/>
  <c r="E21" i="1"/>
  <c r="D21" i="1"/>
  <c r="C21" i="1"/>
  <c r="K22" i="5" l="1"/>
  <c r="D22" i="5" l="1"/>
  <c r="J22" i="5"/>
  <c r="C22" i="5"/>
  <c r="O22" i="5"/>
  <c r="N22" i="5"/>
  <c r="I22" i="5"/>
  <c r="E22" i="5"/>
  <c r="L22" i="5"/>
  <c r="B22" i="5"/>
  <c r="H22" i="5" l="1"/>
  <c r="G22" i="5"/>
  <c r="F22" i="5"/>
  <c r="M22" i="5"/>
</calcChain>
</file>

<file path=xl/sharedStrings.xml><?xml version="1.0" encoding="utf-8"?>
<sst xmlns="http://schemas.openxmlformats.org/spreadsheetml/2006/main" count="155" uniqueCount="42">
  <si>
    <t>HOLLYWOOD CASINO AT CHARLES TOWN RACES TABLE GAMES</t>
  </si>
  <si>
    <t>Total Adjusted
Gross Receipts</t>
  </si>
  <si>
    <t>Privilege Tax</t>
  </si>
  <si>
    <t>Administrative</t>
  </si>
  <si>
    <t>Excess Lottery
Fund</t>
  </si>
  <si>
    <t>Thoroughbred Development Fund</t>
  </si>
  <si>
    <t>Racetrack County</t>
  </si>
  <si>
    <t>Racetrack Municipality</t>
  </si>
  <si>
    <t>Racetracks Within Municipalities</t>
  </si>
  <si>
    <t>Interest **</t>
  </si>
  <si>
    <t>Excess Lottery Fund</t>
  </si>
  <si>
    <t>Pension Fund</t>
  </si>
  <si>
    <t>Non-Racetrack Counties *</t>
  </si>
  <si>
    <t>Non-Racetrack Municipalities *</t>
  </si>
  <si>
    <t>*  To get an even distribution amount there will be cents carried forward each month.</t>
  </si>
  <si>
    <t>**  Interest is only used in the calculation of Excess Lottery Fund, Pension Fund, and Non-Racetrack Counties and Municipalities.</t>
  </si>
  <si>
    <t>MARDI GRAS CASINO TABLE GAMES</t>
  </si>
  <si>
    <t>WHEELING ISLAND CASINO TABLE GAMES</t>
  </si>
  <si>
    <t>MOUNTAINEER CASINO TABLE GAMES</t>
  </si>
  <si>
    <t>Thoroughbred Purse Fund</t>
  </si>
  <si>
    <t>Thoroughbred / Greyhound Purse Fund</t>
  </si>
  <si>
    <t>Thoroughbred / Greyhound Development Fund</t>
  </si>
  <si>
    <t>WEST VIRGINIA LOTTERY</t>
  </si>
  <si>
    <t>TABLE GAMES DISTRIBUTION SUMMARY</t>
  </si>
  <si>
    <t>FISCAL YEAR 2022</t>
  </si>
  <si>
    <t>FY 2021</t>
  </si>
  <si>
    <t>July 2021</t>
  </si>
  <si>
    <t>August 2021</t>
  </si>
  <si>
    <t>September 2021</t>
  </si>
  <si>
    <t>October 2021</t>
  </si>
  <si>
    <t>November 2021</t>
  </si>
  <si>
    <t>December 2021</t>
  </si>
  <si>
    <t>January 2022</t>
  </si>
  <si>
    <t># Tables : 32</t>
  </si>
  <si>
    <t>February 2022</t>
  </si>
  <si>
    <t>March 2022</t>
  </si>
  <si>
    <t>April 2022</t>
  </si>
  <si>
    <t>FOR THE MONTH ENDING MAY 31, 2022</t>
  </si>
  <si>
    <t>May 2022</t>
  </si>
  <si>
    <t># Tables : 33</t>
  </si>
  <si>
    <t># Tables : 44</t>
  </si>
  <si>
    <t># Tables : 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</si>
</sst>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2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33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18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44" fontId="18" fillId="0" borderId="0" xfId="1" applyFont="1"/>
    <xf numFmtId="44" fontId="18" fillId="0" borderId="2" xfId="0" applyNumberFormat="1" applyFont="1" applyBorder="1"/>
    <xf numFmtId="0" fontId="20" fillId="0" borderId="0" xfId="0" applyFont="1"/>
    <xf numFmtId="44" fontId="18" fillId="0" borderId="0" xfId="1" applyNumberFormat="1" applyFont="1"/>
    <xf numFmtId="0" fontId="18" fillId="0" borderId="0" xfId="0" applyFont="1" applyFill="1"/>
    <xf numFmtId="0" fontId="15" fillId="0" borderId="0" xfId="0" applyFont="1" applyFill="1"/>
    <xf numFmtId="0" fontId="14" fillId="0" borderId="0" xfId="0" applyFont="1"/>
    <xf numFmtId="0" fontId="14" fillId="0" borderId="0" xfId="0" quotePrefix="1" applyFont="1"/>
    <xf numFmtId="0" fontId="13" fillId="0" borderId="0" xfId="0" quotePrefix="1" applyFont="1"/>
    <xf numFmtId="0" fontId="12" fillId="0" borderId="0" xfId="0" quotePrefix="1" applyFont="1"/>
    <xf numFmtId="0" fontId="11" fillId="0" borderId="0" xfId="0" quotePrefix="1" applyFont="1"/>
    <xf numFmtId="0" fontId="10" fillId="0" borderId="0" xfId="0" quotePrefix="1" applyFont="1"/>
    <xf numFmtId="0" fontId="9" fillId="0" borderId="0" xfId="0" quotePrefix="1" applyFont="1"/>
    <xf numFmtId="0" fontId="8" fillId="0" borderId="0" xfId="0" quotePrefix="1" applyFont="1"/>
    <xf numFmtId="0" fontId="7" fillId="0" borderId="0" xfId="0" quotePrefix="1" applyFont="1"/>
    <xf numFmtId="0" fontId="6" fillId="0" borderId="0" xfId="0" quotePrefix="1" applyFont="1"/>
    <xf numFmtId="0" fontId="6" fillId="0" borderId="0" xfId="0" applyFont="1"/>
    <xf numFmtId="0" fontId="5" fillId="0" borderId="0" xfId="0" quotePrefix="1" applyFont="1"/>
    <xf numFmtId="0" fontId="4" fillId="0" borderId="0" xfId="0" quotePrefix="1" applyFont="1"/>
    <xf numFmtId="0" fontId="3" fillId="0" borderId="0" xfId="0" quotePrefix="1" applyFont="1"/>
    <xf numFmtId="0" fontId="2" fillId="0" borderId="0" xfId="0" quotePrefix="1" applyFont="1"/>
    <xf numFmtId="0" fontId="19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5"/>
  <sheetViews>
    <sheetView tabSelected="1" workbookViewId="0">
      <selection sqref="A1:O1"/>
    </sheetView>
  </sheetViews>
  <sheetFormatPr defaultColWidth="9.140625" defaultRowHeight="15" customHeight="1" x14ac:dyDescent="0.25"/>
  <cols>
    <col min="1" max="1" width="15.7109375" style="1" customWidth="1"/>
    <col min="2" max="3" width="15.28515625" style="1" bestFit="1" customWidth="1"/>
    <col min="4" max="4" width="14.28515625" style="1" bestFit="1" customWidth="1"/>
    <col min="5" max="5" width="13.7109375" style="1" customWidth="1"/>
    <col min="6" max="6" width="14.28515625" style="1" bestFit="1" customWidth="1"/>
    <col min="7" max="7" width="15.140625" style="1" customWidth="1"/>
    <col min="8" max="9" width="14.28515625" style="1" bestFit="1" customWidth="1"/>
    <col min="10" max="10" width="13.7109375" style="1" bestFit="1" customWidth="1"/>
    <col min="11" max="11" width="11.5703125" style="1" bestFit="1" customWidth="1"/>
    <col min="12" max="12" width="15.28515625" style="1" bestFit="1" customWidth="1"/>
    <col min="13" max="13" width="12.5703125" style="1" bestFit="1" customWidth="1"/>
    <col min="14" max="14" width="14.28515625" style="1" bestFit="1" customWidth="1"/>
    <col min="15" max="15" width="15.140625" style="1" customWidth="1"/>
    <col min="16" max="16384" width="9.140625" style="1"/>
  </cols>
  <sheetData>
    <row r="1" spans="1:15" ht="18.75" x14ac:dyDescent="0.3">
      <c r="A1" s="28" t="s">
        <v>22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spans="1:15" ht="15" customHeight="1" x14ac:dyDescent="0.25">
      <c r="A2" s="29" t="s">
        <v>23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5" customHeight="1" x14ac:dyDescent="0.25">
      <c r="A3" s="29" t="s">
        <v>37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15" customHeight="1" x14ac:dyDescent="0.25">
      <c r="A4" s="29" t="s">
        <v>24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</row>
    <row r="5" spans="1:15" ht="15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1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8" spans="1:15" ht="60" customHeight="1" x14ac:dyDescent="0.25">
      <c r="B8" s="3" t="s">
        <v>1</v>
      </c>
      <c r="C8" s="4" t="s">
        <v>2</v>
      </c>
      <c r="D8" s="4" t="s">
        <v>3</v>
      </c>
      <c r="E8" s="3" t="s">
        <v>4</v>
      </c>
      <c r="F8" s="3" t="s">
        <v>20</v>
      </c>
      <c r="G8" s="3" t="s">
        <v>21</v>
      </c>
      <c r="H8" s="3" t="s">
        <v>6</v>
      </c>
      <c r="I8" s="3" t="s">
        <v>7</v>
      </c>
      <c r="J8" s="3" t="s">
        <v>8</v>
      </c>
      <c r="K8" s="3" t="s">
        <v>9</v>
      </c>
      <c r="L8" s="3" t="s">
        <v>10</v>
      </c>
      <c r="M8" s="3" t="s">
        <v>11</v>
      </c>
      <c r="N8" s="3" t="s">
        <v>12</v>
      </c>
      <c r="O8" s="3" t="s">
        <v>13</v>
      </c>
    </row>
    <row r="9" spans="1:15" x14ac:dyDescent="0.25">
      <c r="B9" s="5"/>
      <c r="C9" s="6"/>
      <c r="D9" s="6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" customHeight="1" x14ac:dyDescent="0.25">
      <c r="A10" s="14" t="s">
        <v>26</v>
      </c>
      <c r="B10" s="7">
        <f>SUM('Mountaineer:Charles Town'!B9)</f>
        <v>9243120.0800000001</v>
      </c>
      <c r="C10" s="7">
        <f>SUM('Mountaineer:Charles Town'!C9)</f>
        <v>3235092.05</v>
      </c>
      <c r="D10" s="7">
        <f>SUM('Mountaineer:Charles Town'!D9)</f>
        <v>277293.59999999998</v>
      </c>
      <c r="E10" s="7">
        <f>SUM('Mountaineer:Charles Town'!E9)</f>
        <v>41594.039999999994</v>
      </c>
      <c r="F10" s="7">
        <f>SUM('Mountaineer:Charles Town'!F9)</f>
        <v>207970.2</v>
      </c>
      <c r="G10" s="7">
        <f>SUM('Mountaineer:Charles Town'!G9)</f>
        <v>166376.16</v>
      </c>
      <c r="H10" s="7">
        <f>SUM('Mountaineer:Charles Town'!H9)</f>
        <v>184862.4</v>
      </c>
      <c r="I10" s="7">
        <f>SUM('Mountaineer:Charles Town'!I9)</f>
        <v>277293.59999999998</v>
      </c>
      <c r="J10" s="7">
        <f>SUM('Mountaineer:Charles Town'!J9)</f>
        <v>46215.6</v>
      </c>
      <c r="K10" s="7">
        <f>SUM('Mountaineer:Charles Town'!K9)</f>
        <v>198.76</v>
      </c>
      <c r="L10" s="7">
        <f>SUM('Mountaineer:Charles Town'!L9)</f>
        <v>1545600.76</v>
      </c>
      <c r="M10" s="7">
        <f>SUM('Mountaineer:Charles Town'!M9)</f>
        <v>81347.41</v>
      </c>
      <c r="N10" s="7">
        <f>SUM('Mountaineer:Charles Town'!N9)</f>
        <v>203368.11</v>
      </c>
      <c r="O10" s="7">
        <f>SUM('Mountaineer:Charles Town'!O9)</f>
        <v>203369.46</v>
      </c>
    </row>
    <row r="11" spans="1:15" ht="15" customHeight="1" x14ac:dyDescent="0.25">
      <c r="A11" s="15" t="s">
        <v>27</v>
      </c>
      <c r="B11" s="7">
        <f>SUM('Mountaineer:Charles Town'!B10)</f>
        <v>8401391.5399999991</v>
      </c>
      <c r="C11" s="7">
        <f>SUM('Mountaineer:Charles Town'!C10)</f>
        <v>2940487.08</v>
      </c>
      <c r="D11" s="7">
        <f>SUM('Mountaineer:Charles Town'!D10)</f>
        <v>252041.76</v>
      </c>
      <c r="E11" s="7">
        <f>SUM('Mountaineer:Charles Town'!E10)</f>
        <v>37806.25</v>
      </c>
      <c r="F11" s="7">
        <f>SUM('Mountaineer:Charles Town'!F10)</f>
        <v>189031.34</v>
      </c>
      <c r="G11" s="7">
        <f>SUM('Mountaineer:Charles Town'!G10)</f>
        <v>151225.07</v>
      </c>
      <c r="H11" s="7">
        <f>SUM('Mountaineer:Charles Town'!H10)</f>
        <v>168027.84</v>
      </c>
      <c r="I11" s="7">
        <f>SUM('Mountaineer:Charles Town'!I10)</f>
        <v>252041.76</v>
      </c>
      <c r="J11" s="7">
        <f>SUM('Mountaineer:Charles Town'!J10)</f>
        <v>42006.96</v>
      </c>
      <c r="K11" s="7">
        <f>SUM('Mountaineer:Charles Town'!K10)</f>
        <v>205.39000000000001</v>
      </c>
      <c r="L11" s="7">
        <f>SUM('Mountaineer:Charles Town'!L10)</f>
        <v>1404868.74</v>
      </c>
      <c r="M11" s="7">
        <f>SUM('Mountaineer:Charles Town'!M10)</f>
        <v>73940.450000000012</v>
      </c>
      <c r="N11" s="7">
        <f>SUM('Mountaineer:Charles Town'!N10)</f>
        <v>184851.53999999998</v>
      </c>
      <c r="O11" s="7">
        <f>SUM('Mountaineer:Charles Town'!O10)</f>
        <v>184851.8</v>
      </c>
    </row>
    <row r="12" spans="1:15" ht="15" customHeight="1" x14ac:dyDescent="0.25">
      <c r="A12" s="17" t="s">
        <v>28</v>
      </c>
      <c r="B12" s="7">
        <f>SUM('Mountaineer:Charles Town'!B11)</f>
        <v>7974998.8599999994</v>
      </c>
      <c r="C12" s="7">
        <f>SUM('Mountaineer:Charles Town'!C11)</f>
        <v>2791249.64</v>
      </c>
      <c r="D12" s="7">
        <f>SUM('Mountaineer:Charles Town'!D11)</f>
        <v>239249.96</v>
      </c>
      <c r="E12" s="7">
        <f>SUM('Mountaineer:Charles Town'!E11)</f>
        <v>35887.509999999995</v>
      </c>
      <c r="F12" s="7">
        <f>SUM('Mountaineer:Charles Town'!F11)</f>
        <v>179437.46000000002</v>
      </c>
      <c r="G12" s="7">
        <f>SUM('Mountaineer:Charles Town'!G11)</f>
        <v>143549.98000000001</v>
      </c>
      <c r="H12" s="7">
        <f>SUM('Mountaineer:Charles Town'!H11)</f>
        <v>159499.97999999998</v>
      </c>
      <c r="I12" s="7">
        <f>SUM('Mountaineer:Charles Town'!I11)</f>
        <v>239249.96</v>
      </c>
      <c r="J12" s="7">
        <f>SUM('Mountaineer:Charles Town'!J11)</f>
        <v>39875</v>
      </c>
      <c r="K12" s="7">
        <f>SUM('Mountaineer:Charles Town'!K11)</f>
        <v>137.38999999999999</v>
      </c>
      <c r="L12" s="7">
        <f>SUM('Mountaineer:Charles Town'!L11)</f>
        <v>1333524.2599999998</v>
      </c>
      <c r="M12" s="7">
        <f>SUM('Mountaineer:Charles Town'!M11)</f>
        <v>70185.48000000001</v>
      </c>
      <c r="N12" s="7">
        <f>SUM('Mountaineer:Charles Town'!N11)</f>
        <v>175463.46000000002</v>
      </c>
      <c r="O12" s="7">
        <f>SUM('Mountaineer:Charles Town'!O11)</f>
        <v>175463.05</v>
      </c>
    </row>
    <row r="13" spans="1:15" ht="15" customHeight="1" x14ac:dyDescent="0.25">
      <c r="A13" s="18" t="s">
        <v>29</v>
      </c>
      <c r="B13" s="7">
        <f>SUM('Mountaineer:Charles Town'!B12)</f>
        <v>8637880.7199999988</v>
      </c>
      <c r="C13" s="7">
        <f>SUM('Mountaineer:Charles Town'!C12)</f>
        <v>3023258.2700000005</v>
      </c>
      <c r="D13" s="7">
        <f>SUM('Mountaineer:Charles Town'!D12)</f>
        <v>259136.41999999998</v>
      </c>
      <c r="E13" s="7">
        <f>SUM('Mountaineer:Charles Town'!E12)</f>
        <v>38870.460000000006</v>
      </c>
      <c r="F13" s="7">
        <f>SUM('Mountaineer:Charles Town'!F12)</f>
        <v>194352.32</v>
      </c>
      <c r="G13" s="7">
        <f>SUM('Mountaineer:Charles Town'!G12)</f>
        <v>155481.85</v>
      </c>
      <c r="H13" s="7">
        <f>SUM('Mountaineer:Charles Town'!H12)</f>
        <v>172757.61</v>
      </c>
      <c r="I13" s="7">
        <f>SUM('Mountaineer:Charles Town'!I12)</f>
        <v>259136.41999999998</v>
      </c>
      <c r="J13" s="7">
        <f>SUM('Mountaineer:Charles Town'!J12)</f>
        <v>43189.4</v>
      </c>
      <c r="K13" s="7">
        <f>SUM('Mountaineer:Charles Town'!K12)</f>
        <v>161.99</v>
      </c>
      <c r="L13" s="7">
        <f>SUM('Mountaineer:Charles Town'!L12)</f>
        <v>1444376.8</v>
      </c>
      <c r="M13" s="7">
        <f>SUM('Mountaineer:Charles Town'!M12)</f>
        <v>76019.820000000007</v>
      </c>
      <c r="N13" s="7">
        <f>SUM('Mountaineer:Charles Town'!N12)</f>
        <v>190049.46</v>
      </c>
      <c r="O13" s="7">
        <f>SUM('Mountaineer:Charles Town'!O12)</f>
        <v>190048.59999999998</v>
      </c>
    </row>
    <row r="14" spans="1:15" ht="15" customHeight="1" x14ac:dyDescent="0.25">
      <c r="A14" s="19" t="s">
        <v>30</v>
      </c>
      <c r="B14" s="7">
        <f>SUM('Mountaineer:Charles Town'!B13)</f>
        <v>9951219.0199999996</v>
      </c>
      <c r="C14" s="7">
        <f>SUM('Mountaineer:Charles Town'!C13)</f>
        <v>3482926.67</v>
      </c>
      <c r="D14" s="7">
        <f>SUM('Mountaineer:Charles Town'!D13)</f>
        <v>298536.58</v>
      </c>
      <c r="E14" s="7">
        <f>SUM('Mountaineer:Charles Town'!E13)</f>
        <v>44780.5</v>
      </c>
      <c r="F14" s="7">
        <f>SUM('Mountaineer:Charles Town'!F13)</f>
        <v>223902.41999999998</v>
      </c>
      <c r="G14" s="7">
        <f>SUM('Mountaineer:Charles Town'!G13)</f>
        <v>179121.94</v>
      </c>
      <c r="H14" s="7">
        <f>SUM('Mountaineer:Charles Town'!H13)</f>
        <v>199024.38999999998</v>
      </c>
      <c r="I14" s="7">
        <f>SUM('Mountaineer:Charles Town'!I13)</f>
        <v>298536.58</v>
      </c>
      <c r="J14" s="7">
        <f>SUM('Mountaineer:Charles Town'!J13)</f>
        <v>49756.1</v>
      </c>
      <c r="K14" s="7">
        <f>SUM('Mountaineer:Charles Town'!K13)</f>
        <v>159.24</v>
      </c>
      <c r="L14" s="7">
        <f>SUM('Mountaineer:Charles Town'!L13)</f>
        <v>1663964.83</v>
      </c>
      <c r="M14" s="7">
        <f>SUM('Mountaineer:Charles Town'!M13)</f>
        <v>87577.09</v>
      </c>
      <c r="N14" s="7">
        <f>SUM('Mountaineer:Charles Town'!N13)</f>
        <v>218943</v>
      </c>
      <c r="O14" s="7">
        <f>SUM('Mountaineer:Charles Town'!O13)</f>
        <v>218943.62</v>
      </c>
    </row>
    <row r="15" spans="1:15" x14ac:dyDescent="0.25">
      <c r="A15" s="20" t="s">
        <v>31</v>
      </c>
      <c r="B15" s="7">
        <f>SUM('Mountaineer:Charles Town'!B14)</f>
        <v>8562979.0600000005</v>
      </c>
      <c r="C15" s="7">
        <f>SUM('Mountaineer:Charles Town'!C14)</f>
        <v>2997042.7199999997</v>
      </c>
      <c r="D15" s="7">
        <f>SUM('Mountaineer:Charles Town'!D14)</f>
        <v>256889.37</v>
      </c>
      <c r="E15" s="7">
        <f>SUM('Mountaineer:Charles Town'!E14)</f>
        <v>38533.410000000003</v>
      </c>
      <c r="F15" s="7">
        <f>SUM('Mountaineer:Charles Town'!F14)</f>
        <v>192667.02000000002</v>
      </c>
      <c r="G15" s="7">
        <f>SUM('Mountaineer:Charles Town'!G14)</f>
        <v>154133.62</v>
      </c>
      <c r="H15" s="7">
        <f>SUM('Mountaineer:Charles Town'!H14)</f>
        <v>171259.58000000002</v>
      </c>
      <c r="I15" s="7">
        <f>SUM('Mountaineer:Charles Town'!I14)</f>
        <v>256889.37</v>
      </c>
      <c r="J15" s="7">
        <f>SUM('Mountaineer:Charles Town'!J14)</f>
        <v>42814.9</v>
      </c>
      <c r="K15" s="7">
        <f>SUM('Mountaineer:Charles Town'!K14)</f>
        <v>265.15000000000003</v>
      </c>
      <c r="L15" s="7">
        <f>SUM('Mountaineer:Charles Town'!L14)</f>
        <v>1431931.6400000001</v>
      </c>
      <c r="M15" s="7">
        <f>SUM('Mountaineer:Charles Town'!M14)</f>
        <v>75364.820000000007</v>
      </c>
      <c r="N15" s="7">
        <f>SUM('Mountaineer:Charles Town'!N14)</f>
        <v>188411.84999999998</v>
      </c>
      <c r="O15" s="7">
        <f>SUM('Mountaineer:Charles Town'!O14)</f>
        <v>188412.41999999998</v>
      </c>
    </row>
    <row r="16" spans="1:15" x14ac:dyDescent="0.25">
      <c r="A16" s="22" t="s">
        <v>32</v>
      </c>
      <c r="B16" s="7">
        <f>SUM('Mountaineer:Charles Town'!B15)</f>
        <v>7559371.6699999999</v>
      </c>
      <c r="C16" s="7">
        <f>SUM('Mountaineer:Charles Town'!C15)</f>
        <v>2645780.08</v>
      </c>
      <c r="D16" s="7">
        <f>SUM('Mountaineer:Charles Town'!D15)</f>
        <v>226781.16</v>
      </c>
      <c r="E16" s="7">
        <f>SUM('Mountaineer:Charles Town'!E15)</f>
        <v>34017.160000000003</v>
      </c>
      <c r="F16" s="7">
        <f>SUM('Mountaineer:Charles Town'!F15)</f>
        <v>170085.86</v>
      </c>
      <c r="G16" s="7">
        <f>SUM('Mountaineer:Charles Town'!G15)</f>
        <v>136068.70000000001</v>
      </c>
      <c r="H16" s="7">
        <f>SUM('Mountaineer:Charles Town'!H15)</f>
        <v>151187.44</v>
      </c>
      <c r="I16" s="7">
        <f>SUM('Mountaineer:Charles Town'!I15)</f>
        <v>226781.16</v>
      </c>
      <c r="J16" s="7">
        <f>SUM('Mountaineer:Charles Town'!J15)</f>
        <v>37796.86</v>
      </c>
      <c r="K16" s="7">
        <f>SUM('Mountaineer:Charles Town'!K15)</f>
        <v>263.23</v>
      </c>
      <c r="L16" s="7">
        <f>SUM('Mountaineer:Charles Town'!L15)</f>
        <v>1264126.99</v>
      </c>
      <c r="M16" s="7">
        <f>SUM('Mountaineer:Charles Town'!M15)</f>
        <v>66533</v>
      </c>
      <c r="N16" s="7">
        <f>SUM('Mountaineer:Charles Town'!N15)</f>
        <v>166332.41999999998</v>
      </c>
      <c r="O16" s="7">
        <f>SUM('Mountaineer:Charles Town'!O15)</f>
        <v>166332.11000000002</v>
      </c>
    </row>
    <row r="17" spans="1:15" x14ac:dyDescent="0.25">
      <c r="A17" s="24" t="s">
        <v>34</v>
      </c>
      <c r="B17" s="7">
        <f>SUM('Mountaineer:Charles Town'!B16)</f>
        <v>8402165.4199999999</v>
      </c>
      <c r="C17" s="7">
        <f>SUM('Mountaineer:Charles Town'!C16)</f>
        <v>2940757.92</v>
      </c>
      <c r="D17" s="7">
        <f>SUM('Mountaineer:Charles Town'!D16)</f>
        <v>252064.97999999998</v>
      </c>
      <c r="E17" s="7">
        <f>SUM('Mountaineer:Charles Town'!E16)</f>
        <v>37809.74</v>
      </c>
      <c r="F17" s="7">
        <f>SUM('Mountaineer:Charles Town'!F16)</f>
        <v>189048.72</v>
      </c>
      <c r="G17" s="7">
        <f>SUM('Mountaineer:Charles Town'!G16)</f>
        <v>151238.97</v>
      </c>
      <c r="H17" s="7">
        <f>SUM('Mountaineer:Charles Town'!H16)</f>
        <v>168043.3</v>
      </c>
      <c r="I17" s="7">
        <f>SUM('Mountaineer:Charles Town'!I16)</f>
        <v>252064.97999999998</v>
      </c>
      <c r="J17" s="7">
        <f>SUM('Mountaineer:Charles Town'!J16)</f>
        <v>42010.82</v>
      </c>
      <c r="K17" s="7">
        <f>SUM('Mountaineer:Charles Town'!K16)</f>
        <v>272.59000000000003</v>
      </c>
      <c r="L17" s="7">
        <f>SUM('Mountaineer:Charles Town'!L16)</f>
        <v>1405049.2400000002</v>
      </c>
      <c r="M17" s="7">
        <f>SUM('Mountaineer:Charles Town'!M16)</f>
        <v>73949.959999999992</v>
      </c>
      <c r="N17" s="7">
        <f>SUM('Mountaineer:Charles Town'!N16)</f>
        <v>184875</v>
      </c>
      <c r="O17" s="7">
        <f>SUM('Mountaineer:Charles Town'!O16)</f>
        <v>184874.13</v>
      </c>
    </row>
    <row r="18" spans="1:15" x14ac:dyDescent="0.25">
      <c r="A18" s="25" t="s">
        <v>35</v>
      </c>
      <c r="B18" s="7">
        <f>SUM('Mountaineer:Charles Town'!B17)</f>
        <v>9048799.5600000005</v>
      </c>
      <c r="C18" s="7">
        <f>SUM('Mountaineer:Charles Town'!C17)</f>
        <v>3167079.91</v>
      </c>
      <c r="D18" s="7">
        <f>SUM('Mountaineer:Charles Town'!D17)</f>
        <v>271464</v>
      </c>
      <c r="E18" s="7">
        <f>SUM('Mountaineer:Charles Town'!E17)</f>
        <v>40719.589999999997</v>
      </c>
      <c r="F18" s="7">
        <f>SUM('Mountaineer:Charles Town'!F17)</f>
        <v>203597.99</v>
      </c>
      <c r="G18" s="7">
        <f>SUM('Mountaineer:Charles Town'!G17)</f>
        <v>162878.41</v>
      </c>
      <c r="H18" s="7">
        <f>SUM('Mountaineer:Charles Town'!H17)</f>
        <v>180976</v>
      </c>
      <c r="I18" s="7">
        <f>SUM('Mountaineer:Charles Town'!I17)</f>
        <v>271464</v>
      </c>
      <c r="J18" s="7">
        <f>SUM('Mountaineer:Charles Town'!J17)</f>
        <v>45244</v>
      </c>
      <c r="K18" s="7">
        <f>SUM('Mountaineer:Charles Town'!K17)</f>
        <v>626.22</v>
      </c>
      <c r="L18" s="7">
        <f>SUM('Mountaineer:Charles Town'!L17)</f>
        <v>1513435.2400000002</v>
      </c>
      <c r="M18" s="7">
        <f>SUM('Mountaineer:Charles Town'!M17)</f>
        <v>79654.48000000001</v>
      </c>
      <c r="N18" s="7">
        <f>SUM('Mountaineer:Charles Town'!N17)</f>
        <v>199136.13</v>
      </c>
      <c r="O18" s="7">
        <f>SUM('Mountaineer:Charles Town'!O17)</f>
        <v>199137.97</v>
      </c>
    </row>
    <row r="19" spans="1:15" x14ac:dyDescent="0.25">
      <c r="A19" s="26" t="s">
        <v>36</v>
      </c>
      <c r="B19" s="7">
        <f>SUM('Mountaineer:Charles Town'!B18)</f>
        <v>8791797.2699999996</v>
      </c>
      <c r="C19" s="7">
        <f>SUM('Mountaineer:Charles Town'!C18)</f>
        <v>3077129.05</v>
      </c>
      <c r="D19" s="7">
        <f>SUM('Mountaineer:Charles Town'!D18)</f>
        <v>263753.91000000003</v>
      </c>
      <c r="E19" s="7">
        <f>SUM('Mountaineer:Charles Town'!E18)</f>
        <v>39563.08</v>
      </c>
      <c r="F19" s="7">
        <f>SUM('Mountaineer:Charles Town'!F18)</f>
        <v>197815.45</v>
      </c>
      <c r="G19" s="7">
        <f>SUM('Mountaineer:Charles Town'!G18)</f>
        <v>158252.35</v>
      </c>
      <c r="H19" s="7">
        <f>SUM('Mountaineer:Charles Town'!H18)</f>
        <v>175835.95</v>
      </c>
      <c r="I19" s="7">
        <f>SUM('Mountaineer:Charles Town'!I18)</f>
        <v>263753.91000000003</v>
      </c>
      <c r="J19" s="7">
        <f>SUM('Mountaineer:Charles Town'!J18)</f>
        <v>43958.979999999996</v>
      </c>
      <c r="K19" s="7">
        <f>SUM('Mountaineer:Charles Town'!K18)</f>
        <v>1282.08</v>
      </c>
      <c r="L19" s="7">
        <f>SUM('Mountaineer:Charles Town'!L18)</f>
        <v>1470962.9</v>
      </c>
      <c r="M19" s="7">
        <f>SUM('Mountaineer:Charles Town'!M18)</f>
        <v>77419.100000000006</v>
      </c>
      <c r="N19" s="7">
        <f>SUM('Mountaineer:Charles Town'!N18)</f>
        <v>193548.06</v>
      </c>
      <c r="O19" s="7">
        <f>SUM('Mountaineer:Charles Town'!O18)</f>
        <v>193546.3</v>
      </c>
    </row>
    <row r="20" spans="1:15" x14ac:dyDescent="0.25">
      <c r="A20" s="27" t="s">
        <v>38</v>
      </c>
      <c r="B20" s="7">
        <f>SUM('Mountaineer:Charles Town'!B19)</f>
        <v>9045959.8900000006</v>
      </c>
      <c r="C20" s="7">
        <f>SUM('Mountaineer:Charles Town'!C19)</f>
        <v>3166086.01</v>
      </c>
      <c r="D20" s="7">
        <f>SUM('Mountaineer:Charles Town'!D19)</f>
        <v>271378.8</v>
      </c>
      <c r="E20" s="7">
        <f>SUM('Mountaineer:Charles Town'!E19)</f>
        <v>40706.81</v>
      </c>
      <c r="F20" s="7">
        <f>SUM('Mountaineer:Charles Town'!F19)</f>
        <v>203534.09</v>
      </c>
      <c r="G20" s="7">
        <f>SUM('Mountaineer:Charles Town'!G19)</f>
        <v>162827.28</v>
      </c>
      <c r="H20" s="7">
        <f>SUM('Mountaineer:Charles Town'!H19)</f>
        <v>180919.19</v>
      </c>
      <c r="I20" s="7">
        <f>SUM('Mountaineer:Charles Town'!I19)</f>
        <v>271378.8</v>
      </c>
      <c r="J20" s="7">
        <f>SUM('Mountaineer:Charles Town'!J19)</f>
        <v>45229.8</v>
      </c>
      <c r="K20" s="7">
        <f>SUM('Mountaineer:Charles Town'!K19)</f>
        <v>2522.58</v>
      </c>
      <c r="L20" s="7">
        <f>SUM('Mountaineer:Charles Town'!L19)</f>
        <v>1514401.71</v>
      </c>
      <c r="M20" s="7">
        <f>SUM('Mountaineer:Charles Town'!M19)</f>
        <v>79705.350000000006</v>
      </c>
      <c r="N20" s="7">
        <f>SUM('Mountaineer:Charles Town'!N19)</f>
        <v>199263.12</v>
      </c>
      <c r="O20" s="7">
        <f>SUM('Mountaineer:Charles Town'!O19)</f>
        <v>199262.9</v>
      </c>
    </row>
    <row r="22" spans="1:15" ht="15" customHeight="1" thickBot="1" x14ac:dyDescent="0.3">
      <c r="B22" s="8">
        <f t="shared" ref="B22:O22" si="0">SUM(B10:B21)</f>
        <v>95619683.090000004</v>
      </c>
      <c r="C22" s="8">
        <f t="shared" si="0"/>
        <v>33466889.399999999</v>
      </c>
      <c r="D22" s="8">
        <f t="shared" si="0"/>
        <v>2868590.54</v>
      </c>
      <c r="E22" s="8">
        <f t="shared" si="0"/>
        <v>430288.55000000005</v>
      </c>
      <c r="F22" s="8">
        <f t="shared" si="0"/>
        <v>2151442.87</v>
      </c>
      <c r="G22" s="8">
        <f t="shared" si="0"/>
        <v>1721154.33</v>
      </c>
      <c r="H22" s="8">
        <f t="shared" si="0"/>
        <v>1912393.68</v>
      </c>
      <c r="I22" s="8">
        <f t="shared" si="0"/>
        <v>2868590.54</v>
      </c>
      <c r="J22" s="8">
        <f t="shared" si="0"/>
        <v>478098.42</v>
      </c>
      <c r="K22" s="8">
        <f t="shared" si="0"/>
        <v>6094.62</v>
      </c>
      <c r="L22" s="8">
        <f t="shared" si="0"/>
        <v>15992243.109999999</v>
      </c>
      <c r="M22" s="8">
        <f t="shared" si="0"/>
        <v>841696.96</v>
      </c>
      <c r="N22" s="8">
        <f t="shared" si="0"/>
        <v>2104242.15</v>
      </c>
      <c r="O22" s="8">
        <f t="shared" si="0"/>
        <v>2104242.36</v>
      </c>
    </row>
    <row r="23" spans="1:15" ht="15" customHeight="1" thickTop="1" x14ac:dyDescent="0.25"/>
    <row r="24" spans="1:15" ht="15" customHeight="1" x14ac:dyDescent="0.25">
      <c r="A24" s="9" t="s">
        <v>14</v>
      </c>
    </row>
    <row r="25" spans="1:15" ht="15" customHeight="1" x14ac:dyDescent="0.25">
      <c r="A25" s="9" t="s">
        <v>15</v>
      </c>
    </row>
  </sheetData>
  <mergeCells count="4">
    <mergeCell ref="A1:O1"/>
    <mergeCell ref="A2:O2"/>
    <mergeCell ref="A3:O3"/>
    <mergeCell ref="A4:O4"/>
  </mergeCells>
  <pageMargins left="0.25" right="0.25" top="0.5" bottom="0.5" header="0" footer="0"/>
  <pageSetup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3.5703125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42578125" style="1" customWidth="1"/>
    <col min="16" max="16384" width="9.140625" style="1"/>
  </cols>
  <sheetData>
    <row r="1" spans="1:15" ht="15" customHeight="1" x14ac:dyDescent="0.2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" customHeight="1" x14ac:dyDescent="0.25">
      <c r="A2" s="23" t="s">
        <v>33</v>
      </c>
    </row>
    <row r="3" spans="1:15" ht="15" customHeight="1" x14ac:dyDescent="0.25">
      <c r="A3" s="12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3" t="s">
        <v>25</v>
      </c>
      <c r="B5" s="10">
        <v>12144808.75</v>
      </c>
      <c r="C5" s="10">
        <v>4250683.1100000003</v>
      </c>
      <c r="D5" s="10">
        <v>364344.28</v>
      </c>
      <c r="E5" s="10">
        <v>54651.649999999987</v>
      </c>
      <c r="F5" s="10">
        <v>273258.19</v>
      </c>
      <c r="G5" s="10">
        <v>218606.57999999996</v>
      </c>
      <c r="H5" s="10">
        <v>242896.2</v>
      </c>
      <c r="I5" s="10">
        <v>364344.28000000009</v>
      </c>
      <c r="J5" s="10">
        <v>60724.03</v>
      </c>
      <c r="K5" s="10">
        <v>834.1</v>
      </c>
      <c r="L5" s="10">
        <v>2031245.8900000001</v>
      </c>
      <c r="M5" s="10">
        <v>106907.69</v>
      </c>
      <c r="N5" s="10">
        <v>267269.28000000003</v>
      </c>
      <c r="O5" s="10">
        <v>267268.98</v>
      </c>
    </row>
    <row r="7" spans="1:15" ht="15" customHeight="1" x14ac:dyDescent="0.25">
      <c r="A7" s="31" t="s">
        <v>24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9" spans="1:15" ht="14.25" customHeight="1" x14ac:dyDescent="0.25">
      <c r="A9" s="14" t="s">
        <v>26</v>
      </c>
      <c r="B9" s="7">
        <v>1199494.75</v>
      </c>
      <c r="C9" s="7">
        <f>ROUND($B9*0.35,2)+0.01</f>
        <v>419823.17</v>
      </c>
      <c r="D9" s="7">
        <f>ROUND($B9*0.03,2)</f>
        <v>35984.839999999997</v>
      </c>
      <c r="E9" s="7">
        <f>ROUND($B9*0.0045,2)</f>
        <v>5397.73</v>
      </c>
      <c r="F9" s="7">
        <f t="shared" ref="F9:F15" si="0">ROUND(($B9*0.025)*0.9,2)</f>
        <v>26988.63</v>
      </c>
      <c r="G9" s="7">
        <f t="shared" ref="G9" si="1">ROUND(($B9*0.02)*0.9,2)</f>
        <v>21590.91</v>
      </c>
      <c r="H9" s="7">
        <f t="shared" ref="H9:H16" si="2">ROUND($B9*0.02,2)</f>
        <v>23989.9</v>
      </c>
      <c r="I9" s="7">
        <f>ROUND($B9*0.03,2)</f>
        <v>35984.839999999997</v>
      </c>
      <c r="J9" s="7">
        <f t="shared" ref="J9:J17" si="3">ROUND($B9*0.005,2)</f>
        <v>5997.47</v>
      </c>
      <c r="K9" s="7">
        <v>49.69</v>
      </c>
      <c r="L9" s="7">
        <f>ROUND((($B9*0.22)+$K9)*0.76,2)+0.01</f>
        <v>200593.30000000002</v>
      </c>
      <c r="M9" s="7">
        <f t="shared" ref="M9" si="4">ROUND((($B9*0.22)+$K9)*0.04,2)</f>
        <v>10557.54</v>
      </c>
      <c r="N9" s="7">
        <f>ROUND((($B9*0.22)+$K9)*0.1,2)-0.09</f>
        <v>26393.759999999998</v>
      </c>
      <c r="O9" s="7">
        <f>ROUND((($B9*0.22)+$K9)*0.1,2)+0.23</f>
        <v>26394.079999999998</v>
      </c>
    </row>
    <row r="10" spans="1:15" ht="14.25" customHeight="1" x14ac:dyDescent="0.25">
      <c r="A10" s="15" t="s">
        <v>27</v>
      </c>
      <c r="B10" s="7">
        <v>1289456.25</v>
      </c>
      <c r="C10" s="7">
        <f>ROUND($B10*0.35,2)</f>
        <v>451309.69</v>
      </c>
      <c r="D10" s="7">
        <f>ROUND($B10*0.03,2)-0.01</f>
        <v>38683.68</v>
      </c>
      <c r="E10" s="7">
        <f>ROUND($B10*0.0045,2)</f>
        <v>5802.55</v>
      </c>
      <c r="F10" s="7">
        <f t="shared" si="0"/>
        <v>29012.77</v>
      </c>
      <c r="G10" s="7">
        <f>ROUND(($B10*0.02)*0.9,2)+0.01</f>
        <v>23210.219999999998</v>
      </c>
      <c r="H10" s="7">
        <f t="shared" si="2"/>
        <v>25789.13</v>
      </c>
      <c r="I10" s="7">
        <f>ROUND($B10*0.03,2)-0.01</f>
        <v>38683.68</v>
      </c>
      <c r="J10" s="7">
        <f t="shared" si="3"/>
        <v>6447.28</v>
      </c>
      <c r="K10" s="7">
        <v>51.35</v>
      </c>
      <c r="L10" s="7">
        <f>ROUND((($B10*0.22)+$K10)*0.76,2)+0.01</f>
        <v>215636.12</v>
      </c>
      <c r="M10" s="7">
        <f t="shared" ref="M10:M19" si="5">ROUND((($B10*0.22)+$K10)*0.04,2)</f>
        <v>11349.27</v>
      </c>
      <c r="N10" s="7">
        <f>ROUND((($B10*0.22)+$K10)*0.1,2)+0.09</f>
        <v>28373.26</v>
      </c>
      <c r="O10" s="7">
        <f>ROUND((($B10*0.22)+$K10)*0.1,2)+0.17</f>
        <v>28373.339999999997</v>
      </c>
    </row>
    <row r="11" spans="1:15" ht="14.25" customHeight="1" x14ac:dyDescent="0.25">
      <c r="A11" s="16" t="s">
        <v>28</v>
      </c>
      <c r="B11" s="7">
        <v>1311595.25</v>
      </c>
      <c r="C11" s="7">
        <f>ROUND($B11*0.35,2)+0.01</f>
        <v>459058.35000000003</v>
      </c>
      <c r="D11" s="7">
        <f>ROUND($B11*0.03,2)</f>
        <v>39347.86</v>
      </c>
      <c r="E11" s="7">
        <f>ROUND($B11*0.0045,2)</f>
        <v>5902.18</v>
      </c>
      <c r="F11" s="7">
        <f t="shared" si="0"/>
        <v>29510.89</v>
      </c>
      <c r="G11" s="7">
        <f>ROUND(($B11*0.02)*0.9,2)+0.01</f>
        <v>23608.719999999998</v>
      </c>
      <c r="H11" s="7">
        <f t="shared" si="2"/>
        <v>26231.91</v>
      </c>
      <c r="I11" s="7">
        <f>ROUND($B11*0.03,2)</f>
        <v>39347.86</v>
      </c>
      <c r="J11" s="7">
        <f t="shared" si="3"/>
        <v>6557.98</v>
      </c>
      <c r="K11" s="7">
        <v>34.340000000000003</v>
      </c>
      <c r="L11" s="7">
        <f>ROUND((($B11*0.22)+$K11)*0.76,2)</f>
        <v>219324.82</v>
      </c>
      <c r="M11" s="7">
        <f t="shared" si="5"/>
        <v>11543.41</v>
      </c>
      <c r="N11" s="7">
        <f>ROUND((($B11*0.22)+$K11)*0.1,2)-0.06</f>
        <v>28858.469999999998</v>
      </c>
      <c r="O11" s="7">
        <f>ROUND((($B11*0.22)+$K11)*0.1,2)-0.17</f>
        <v>28858.36</v>
      </c>
    </row>
    <row r="12" spans="1:15" ht="14.25" customHeight="1" x14ac:dyDescent="0.25">
      <c r="A12" s="18" t="s">
        <v>29</v>
      </c>
      <c r="B12" s="7">
        <v>1469035.5</v>
      </c>
      <c r="C12" s="7">
        <f>ROUND($B12*0.35,2)+0.01</f>
        <v>514162.44</v>
      </c>
      <c r="D12" s="7">
        <f>ROUND($B12*0.03,2)-0.01</f>
        <v>44071.06</v>
      </c>
      <c r="E12" s="7">
        <f>ROUND($B12*0.0045,2)</f>
        <v>6610.66</v>
      </c>
      <c r="F12" s="7">
        <f t="shared" si="0"/>
        <v>33053.300000000003</v>
      </c>
      <c r="G12" s="7">
        <f t="shared" ref="G12:G19" si="6">ROUND(($B12*0.02)*0.9,2)</f>
        <v>26442.639999999999</v>
      </c>
      <c r="H12" s="7">
        <f t="shared" si="2"/>
        <v>29380.71</v>
      </c>
      <c r="I12" s="7">
        <f>ROUND($B12*0.03,2)-0.01</f>
        <v>44071.06</v>
      </c>
      <c r="J12" s="7">
        <f t="shared" si="3"/>
        <v>7345.18</v>
      </c>
      <c r="K12" s="7">
        <v>40.5</v>
      </c>
      <c r="L12" s="7">
        <f>ROUND((($B12*0.22)+$K12)*0.76,2)+0.02</f>
        <v>245653.53999999998</v>
      </c>
      <c r="M12" s="7">
        <f t="shared" si="5"/>
        <v>12929.13</v>
      </c>
      <c r="N12" s="7">
        <f>ROUND((($B12*0.22)+$K12)*0.1,2)-0.04</f>
        <v>32322.79</v>
      </c>
      <c r="O12" s="7">
        <f>ROUND((($B12*0.22)+$K12)*0.1,2)-0.25</f>
        <v>32322.58</v>
      </c>
    </row>
    <row r="13" spans="1:15" ht="14.25" customHeight="1" x14ac:dyDescent="0.25">
      <c r="A13" s="19" t="s">
        <v>30</v>
      </c>
      <c r="B13" s="7">
        <v>1190646.75</v>
      </c>
      <c r="C13" s="7">
        <f>ROUND($B13*0.35,2)</f>
        <v>416726.36</v>
      </c>
      <c r="D13" s="7">
        <f>ROUND($B13*0.03,2)</f>
        <v>35719.4</v>
      </c>
      <c r="E13" s="7">
        <f>ROUND($B13*0.0045,2)+0.01</f>
        <v>5357.92</v>
      </c>
      <c r="F13" s="7">
        <f t="shared" si="0"/>
        <v>26789.55</v>
      </c>
      <c r="G13" s="7">
        <f t="shared" si="6"/>
        <v>21431.64</v>
      </c>
      <c r="H13" s="7">
        <f t="shared" si="2"/>
        <v>23812.94</v>
      </c>
      <c r="I13" s="7">
        <f>ROUND($B13*0.03,2)</f>
        <v>35719.4</v>
      </c>
      <c r="J13" s="7">
        <f t="shared" si="3"/>
        <v>5953.23</v>
      </c>
      <c r="K13" s="7">
        <v>39.81</v>
      </c>
      <c r="L13" s="7">
        <f>ROUND((($B13*0.22)+$K13)*0.76,2)</f>
        <v>199106.39</v>
      </c>
      <c r="M13" s="7">
        <f t="shared" si="5"/>
        <v>10479.280000000001</v>
      </c>
      <c r="N13" s="7">
        <f>ROUND((($B13*0.22)+$K13)*0.1,2)+0.07</f>
        <v>26198.28</v>
      </c>
      <c r="O13" s="7">
        <f>ROUND((($B13*0.22)+$K13)*0.1,2)+0.22</f>
        <v>26198.43</v>
      </c>
    </row>
    <row r="14" spans="1:15" ht="14.25" customHeight="1" x14ac:dyDescent="0.25">
      <c r="A14" s="20" t="s">
        <v>31</v>
      </c>
      <c r="B14" s="7">
        <v>899627.25</v>
      </c>
      <c r="C14" s="7">
        <f>ROUND($B14*0.35,2)+0.01</f>
        <v>314869.55</v>
      </c>
      <c r="D14" s="7">
        <f>ROUND($B14*0.03,2)</f>
        <v>26988.82</v>
      </c>
      <c r="E14" s="7">
        <f>ROUND($B14*0.0045,2)+0.01</f>
        <v>4048.3300000000004</v>
      </c>
      <c r="F14" s="7">
        <f t="shared" si="0"/>
        <v>20241.61</v>
      </c>
      <c r="G14" s="7">
        <f t="shared" si="6"/>
        <v>16193.29</v>
      </c>
      <c r="H14" s="7">
        <f t="shared" si="2"/>
        <v>17992.55</v>
      </c>
      <c r="I14" s="7">
        <f>ROUND($B14*0.03,2)</f>
        <v>26988.82</v>
      </c>
      <c r="J14" s="7">
        <f t="shared" si="3"/>
        <v>4498.1400000000003</v>
      </c>
      <c r="K14" s="7">
        <v>66.290000000000006</v>
      </c>
      <c r="L14" s="7">
        <f>ROUND((($B14*0.22)+$K14)*0.76,2)-0.01</f>
        <v>150468.04999999999</v>
      </c>
      <c r="M14" s="7">
        <f t="shared" si="5"/>
        <v>7919.37</v>
      </c>
      <c r="N14" s="7">
        <f>ROUND((($B14*0.22)+$K14)*0.1,2)-0.05</f>
        <v>19798.38</v>
      </c>
      <c r="O14" s="7">
        <f>ROUND((($B14*0.22)+$K14)*0.1,2)+0.09</f>
        <v>19798.52</v>
      </c>
    </row>
    <row r="15" spans="1:15" ht="14.25" customHeight="1" x14ac:dyDescent="0.25">
      <c r="A15" s="21" t="s">
        <v>32</v>
      </c>
      <c r="B15" s="7">
        <v>1014645</v>
      </c>
      <c r="C15" s="7">
        <f>ROUND($B15*0.35,2)</f>
        <v>355125.75</v>
      </c>
      <c r="D15" s="7">
        <f>ROUND($B15*0.03,2)+0.01</f>
        <v>30439.359999999997</v>
      </c>
      <c r="E15" s="7">
        <f>ROUND($B15*0.0045,2)</f>
        <v>4565.8999999999996</v>
      </c>
      <c r="F15" s="7">
        <f t="shared" si="0"/>
        <v>22829.51</v>
      </c>
      <c r="G15" s="7">
        <f t="shared" si="6"/>
        <v>18263.61</v>
      </c>
      <c r="H15" s="7">
        <f t="shared" si="2"/>
        <v>20292.900000000001</v>
      </c>
      <c r="I15" s="7">
        <f>ROUND($B15*0.03,2)+0.01</f>
        <v>30439.359999999997</v>
      </c>
      <c r="J15" s="7">
        <f t="shared" si="3"/>
        <v>5073.2299999999996</v>
      </c>
      <c r="K15" s="7">
        <v>65.8</v>
      </c>
      <c r="L15" s="7">
        <f>ROUND((($B15*0.22)+$K15)*0.76,2)-0.02</f>
        <v>169698.63</v>
      </c>
      <c r="M15" s="7">
        <f t="shared" si="5"/>
        <v>8931.51</v>
      </c>
      <c r="N15" s="7">
        <f>ROUND((($B15*0.22)+$K15)*0.1,2)-0.02</f>
        <v>22328.75</v>
      </c>
      <c r="O15" s="7">
        <f>ROUND((($B15*0.22)+$K15)*0.1,2)-0.1</f>
        <v>22328.670000000002</v>
      </c>
    </row>
    <row r="16" spans="1:15" ht="14.25" customHeight="1" x14ac:dyDescent="0.25">
      <c r="A16" s="24" t="s">
        <v>34</v>
      </c>
      <c r="B16" s="7">
        <v>1238797</v>
      </c>
      <c r="C16" s="7">
        <f>ROUND($B16*0.35,2)</f>
        <v>433578.95</v>
      </c>
      <c r="D16" s="7">
        <f>ROUND($B16*0.03,2)+0.01</f>
        <v>37163.920000000006</v>
      </c>
      <c r="E16" s="7">
        <f>ROUND($B16*0.0045,2)-0.01</f>
        <v>5574.58</v>
      </c>
      <c r="F16" s="7">
        <f>ROUND(($B16*0.025)*0.9,2)</f>
        <v>27872.93</v>
      </c>
      <c r="G16" s="7">
        <f t="shared" si="6"/>
        <v>22298.35</v>
      </c>
      <c r="H16" s="7">
        <f t="shared" si="2"/>
        <v>24775.94</v>
      </c>
      <c r="I16" s="7">
        <f>ROUND($B16*0.03,2)+0.01</f>
        <v>37163.920000000006</v>
      </c>
      <c r="J16" s="7">
        <f t="shared" si="3"/>
        <v>6193.99</v>
      </c>
      <c r="K16" s="7">
        <v>68.150000000000006</v>
      </c>
      <c r="L16" s="7">
        <f>ROUND((($B16*0.22)+$K16)*0.76,2)-0.02</f>
        <v>207178.63</v>
      </c>
      <c r="M16" s="7">
        <f t="shared" si="5"/>
        <v>10904.14</v>
      </c>
      <c r="N16" s="7">
        <f>ROUND((($B16*0.22)+$K16)*0.1,2)+0.02</f>
        <v>27260.37</v>
      </c>
      <c r="O16" s="7">
        <f>ROUND((($B16*0.22)+$K16)*0.1,2)-0.19</f>
        <v>27260.16</v>
      </c>
    </row>
    <row r="17" spans="1:15" ht="14.25" customHeight="1" x14ac:dyDescent="0.25">
      <c r="A17" s="25" t="s">
        <v>35</v>
      </c>
      <c r="B17" s="7">
        <v>1201232.25</v>
      </c>
      <c r="C17" s="7">
        <f>ROUND($B17*0.35,2)</f>
        <v>420431.29</v>
      </c>
      <c r="D17" s="7">
        <f>ROUND($B17*0.03,2)-0.01</f>
        <v>36036.959999999999</v>
      </c>
      <c r="E17" s="7">
        <f>ROUND($B17*0.0045,2)-0.01</f>
        <v>5405.54</v>
      </c>
      <c r="F17" s="7">
        <f>ROUND(($B17*0.025)*0.9,2)</f>
        <v>27027.73</v>
      </c>
      <c r="G17" s="7">
        <f t="shared" si="6"/>
        <v>21622.18</v>
      </c>
      <c r="H17" s="7">
        <f>ROUND($B17*0.02,2)-0.01</f>
        <v>24024.640000000003</v>
      </c>
      <c r="I17" s="7">
        <f>ROUND($B17*0.03,2)-0.01</f>
        <v>36036.959999999999</v>
      </c>
      <c r="J17" s="7">
        <f t="shared" si="3"/>
        <v>6006.16</v>
      </c>
      <c r="K17" s="7">
        <v>156.56</v>
      </c>
      <c r="L17" s="7">
        <f>ROUND((($B17*0.22)+$K17)*0.76,2)+0.01</f>
        <v>200965.03</v>
      </c>
      <c r="M17" s="7">
        <f t="shared" si="5"/>
        <v>10577.11</v>
      </c>
      <c r="N17" s="7">
        <f>ROUND((($B17*0.22)+$K17)*0.1,2)-0.01</f>
        <v>26442.760000000002</v>
      </c>
      <c r="O17" s="7">
        <f>ROUND((($B17*0.22)+$K17)*0.1,2)+0.44</f>
        <v>26443.21</v>
      </c>
    </row>
    <row r="18" spans="1:15" ht="14.25" customHeight="1" x14ac:dyDescent="0.25">
      <c r="A18" s="26" t="s">
        <v>36</v>
      </c>
      <c r="B18" s="7">
        <v>1137273.25</v>
      </c>
      <c r="C18" s="7">
        <f>ROUND($B18*0.35,2)+0.01</f>
        <v>398045.65</v>
      </c>
      <c r="D18" s="7">
        <f>ROUND($B18*0.03,2)</f>
        <v>34118.199999999997</v>
      </c>
      <c r="E18" s="7">
        <f>ROUND($B18*0.0045,2)</f>
        <v>5117.7299999999996</v>
      </c>
      <c r="F18" s="7">
        <f>ROUND(($B18*0.025)*0.9,2)</f>
        <v>25588.65</v>
      </c>
      <c r="G18" s="7">
        <f t="shared" si="6"/>
        <v>20470.919999999998</v>
      </c>
      <c r="H18" s="7">
        <f>ROUND($B18*0.02,2)</f>
        <v>22745.47</v>
      </c>
      <c r="I18" s="7">
        <f>ROUND($B18*0.03,2)</f>
        <v>34118.199999999997</v>
      </c>
      <c r="J18" s="7">
        <f>ROUND($B18*0.005,2)-0.01</f>
        <v>5686.36</v>
      </c>
      <c r="K18" s="7">
        <v>320.52</v>
      </c>
      <c r="L18" s="7">
        <f>ROUND((($B18*0.22)+$K18)*0.76,2)+0.01</f>
        <v>190395.69</v>
      </c>
      <c r="M18" s="7">
        <f t="shared" si="5"/>
        <v>10020.83</v>
      </c>
      <c r="N18" s="7">
        <f>ROUND((($B18*0.22)+$K18)*0.1,2)+0.07</f>
        <v>25052.13</v>
      </c>
      <c r="O18" s="7">
        <f>ROUND((($B18*0.22)+$K18)*0.1,2)-0.36</f>
        <v>25051.7</v>
      </c>
    </row>
    <row r="19" spans="1:15" ht="14.25" customHeight="1" x14ac:dyDescent="0.25">
      <c r="A19" s="27" t="s">
        <v>38</v>
      </c>
      <c r="B19" s="7">
        <v>1265036.1200000001</v>
      </c>
      <c r="C19" s="7">
        <f>ROUND($B19*0.35,2)+0.01</f>
        <v>442762.65</v>
      </c>
      <c r="D19" s="7">
        <f>ROUND($B19*0.03,2)</f>
        <v>37951.08</v>
      </c>
      <c r="E19" s="7">
        <f>ROUND($B19*0.0045,2)</f>
        <v>5692.66</v>
      </c>
      <c r="F19" s="7">
        <f>ROUND(($B19*0.025)*0.9,2)</f>
        <v>28463.31</v>
      </c>
      <c r="G19" s="7">
        <f t="shared" si="6"/>
        <v>22770.65</v>
      </c>
      <c r="H19" s="7">
        <f>ROUND($B19*0.02,2)</f>
        <v>25300.720000000001</v>
      </c>
      <c r="I19" s="7">
        <f>ROUND($B19*0.03,2)</f>
        <v>37951.08</v>
      </c>
      <c r="J19" s="7">
        <f>ROUND($B19*0.005,2)</f>
        <v>6325.18</v>
      </c>
      <c r="K19" s="7">
        <v>630.64</v>
      </c>
      <c r="L19" s="7">
        <f>ROUND((($B19*0.22)+$K19)*0.76,2)+0.02</f>
        <v>211993.34999999998</v>
      </c>
      <c r="M19" s="7">
        <f t="shared" si="5"/>
        <v>11157.54</v>
      </c>
      <c r="N19" s="7">
        <f>ROUND((($B19*0.22)+$K19)*0.1,2)-0.06</f>
        <v>27893.8</v>
      </c>
      <c r="O19" s="7">
        <f>ROUND((($B19*0.22)+$K19)*0.1,2)-0.13</f>
        <v>27893.73</v>
      </c>
    </row>
    <row r="21" spans="1:15" ht="15" customHeight="1" thickBot="1" x14ac:dyDescent="0.3">
      <c r="B21" s="8">
        <f t="shared" ref="B21:O21" si="7">SUM(B9:B20)</f>
        <v>13216839.370000001</v>
      </c>
      <c r="C21" s="8">
        <f t="shared" si="7"/>
        <v>4625893.8499999996</v>
      </c>
      <c r="D21" s="8">
        <f t="shared" si="7"/>
        <v>396505.18000000005</v>
      </c>
      <c r="E21" s="8">
        <f t="shared" si="7"/>
        <v>59475.780000000013</v>
      </c>
      <c r="F21" s="8">
        <f t="shared" si="7"/>
        <v>297378.88</v>
      </c>
      <c r="G21" s="8">
        <f t="shared" si="7"/>
        <v>237903.12999999998</v>
      </c>
      <c r="H21" s="8">
        <f t="shared" si="7"/>
        <v>264336.81</v>
      </c>
      <c r="I21" s="8">
        <f t="shared" si="7"/>
        <v>396505.18000000005</v>
      </c>
      <c r="J21" s="8">
        <f t="shared" si="7"/>
        <v>66084.199999999983</v>
      </c>
      <c r="K21" s="8">
        <f t="shared" si="7"/>
        <v>1523.65</v>
      </c>
      <c r="L21" s="8">
        <f t="shared" si="7"/>
        <v>2211013.5499999998</v>
      </c>
      <c r="M21" s="8">
        <f t="shared" si="7"/>
        <v>116369.13</v>
      </c>
      <c r="N21" s="8">
        <f t="shared" si="7"/>
        <v>290922.75</v>
      </c>
      <c r="O21" s="8">
        <f t="shared" si="7"/>
        <v>290922.77999999997</v>
      </c>
    </row>
    <row r="22" spans="1:15" ht="15" customHeight="1" thickTop="1" x14ac:dyDescent="0.25"/>
    <row r="23" spans="1:15" ht="15" customHeight="1" x14ac:dyDescent="0.25">
      <c r="A23" s="9" t="s">
        <v>14</v>
      </c>
    </row>
    <row r="24" spans="1:15" ht="15" customHeight="1" x14ac:dyDescent="0.25">
      <c r="A24" s="9" t="s">
        <v>15</v>
      </c>
    </row>
  </sheetData>
  <mergeCells count="2">
    <mergeCell ref="A1:O1"/>
    <mergeCell ref="A7:N7"/>
  </mergeCells>
  <pageMargins left="0.25" right="0.25" top="0.5" bottom="0.5" header="0" footer="0"/>
  <pageSetup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3" width="14.7109375" style="1" customWidth="1"/>
    <col min="4" max="10" width="13.7109375" style="1" customWidth="1"/>
    <col min="11" max="11" width="12.28515625" style="1" customWidth="1"/>
    <col min="12" max="12" width="14.7109375" style="1" customWidth="1"/>
    <col min="13" max="13" width="11.7109375" style="1" customWidth="1"/>
    <col min="14" max="14" width="13.7109375" style="1" customWidth="1"/>
    <col min="15" max="15" width="14.85546875" style="1" customWidth="1"/>
    <col min="16" max="16384" width="9.140625" style="1"/>
  </cols>
  <sheetData>
    <row r="1" spans="1:15" ht="15" customHeight="1" x14ac:dyDescent="0.25">
      <c r="A1" s="30" t="s">
        <v>17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" customHeight="1" x14ac:dyDescent="0.25">
      <c r="A2" s="32" t="s">
        <v>39</v>
      </c>
    </row>
    <row r="3" spans="1:15" ht="15" customHeight="1" x14ac:dyDescent="0.25">
      <c r="A3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3" t="s">
        <v>25</v>
      </c>
      <c r="B5" s="10">
        <v>5381091.9299999997</v>
      </c>
      <c r="C5" s="10">
        <v>1883382.14</v>
      </c>
      <c r="D5" s="10">
        <v>161432.74</v>
      </c>
      <c r="E5" s="10">
        <v>24214.909999999996</v>
      </c>
      <c r="F5" s="10">
        <v>121074.55999999998</v>
      </c>
      <c r="G5" s="10">
        <v>96859.650000000009</v>
      </c>
      <c r="H5" s="10">
        <v>107621.82999999999</v>
      </c>
      <c r="I5" s="10">
        <v>161432.74</v>
      </c>
      <c r="J5" s="10">
        <v>26905.469999999998</v>
      </c>
      <c r="K5" s="10">
        <v>834.1</v>
      </c>
      <c r="L5" s="10">
        <v>900352.48999999976</v>
      </c>
      <c r="M5" s="10">
        <v>47386.979999999996</v>
      </c>
      <c r="N5" s="10">
        <v>118467.5</v>
      </c>
      <c r="O5" s="10">
        <v>118467.43999999999</v>
      </c>
    </row>
    <row r="7" spans="1:15" ht="15" customHeight="1" x14ac:dyDescent="0.25">
      <c r="A7" s="31" t="s">
        <v>24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9" spans="1:15" ht="14.25" customHeight="1" x14ac:dyDescent="0.25">
      <c r="A9" s="14" t="s">
        <v>26</v>
      </c>
      <c r="B9" s="7">
        <v>609387.32999999996</v>
      </c>
      <c r="C9" s="7">
        <f>ROUND($B9*0.35,2)+0.01</f>
        <v>213285.58000000002</v>
      </c>
      <c r="D9" s="7">
        <f>ROUND($B9*0.03,2)</f>
        <v>18281.62</v>
      </c>
      <c r="E9" s="7">
        <f>ROUND($B9*0.0045,2)+0.01</f>
        <v>2742.25</v>
      </c>
      <c r="F9" s="7">
        <f>ROUND(($B9*0.025)*0.9,2)+0.01</f>
        <v>13711.22</v>
      </c>
      <c r="G9" s="7">
        <f t="shared" ref="G9" si="0">ROUND(($B9*0.02)*0.9,2)</f>
        <v>10968.97</v>
      </c>
      <c r="H9" s="7">
        <f t="shared" ref="H9:H15" si="1">ROUND($B9*0.02,2)</f>
        <v>12187.75</v>
      </c>
      <c r="I9" s="7">
        <f>ROUND($B9*0.03,2)</f>
        <v>18281.62</v>
      </c>
      <c r="J9" s="7">
        <f>ROUND($B9*0.005,2)</f>
        <v>3046.94</v>
      </c>
      <c r="K9" s="7">
        <v>49.69</v>
      </c>
      <c r="L9" s="7">
        <f>ROUND((($B9*0.22)+$K9)*0.76,2)-0.01</f>
        <v>101927.32</v>
      </c>
      <c r="M9" s="7">
        <f t="shared" ref="M9" si="2">ROUND((($B9*0.22)+$K9)*0.04,2)</f>
        <v>5364.6</v>
      </c>
      <c r="N9" s="7">
        <f>ROUND((($B9*0.22)+$K9)*0.1,2)-0.1</f>
        <v>13411.39</v>
      </c>
      <c r="O9" s="7">
        <f>ROUND((($B9*0.22)+$K9)*0.1,2)+0.23</f>
        <v>13411.72</v>
      </c>
    </row>
    <row r="10" spans="1:15" ht="14.25" customHeight="1" x14ac:dyDescent="0.25">
      <c r="A10" s="15" t="s">
        <v>27</v>
      </c>
      <c r="B10" s="7">
        <v>456776.29</v>
      </c>
      <c r="C10" s="7">
        <f>ROUND($B10*0.35,2)+0.01</f>
        <v>159871.71000000002</v>
      </c>
      <c r="D10" s="7">
        <f>ROUND($B10*0.03,2)+0.01</f>
        <v>13703.300000000001</v>
      </c>
      <c r="E10" s="7">
        <f>ROUND($B10*0.0045,2)</f>
        <v>2055.4899999999998</v>
      </c>
      <c r="F10" s="7">
        <f>ROUND(($B10*0.025)*0.9,2)</f>
        <v>10277.469999999999</v>
      </c>
      <c r="G10" s="7">
        <f>ROUND(($B10*0.02)*0.9,2)+0.01</f>
        <v>8221.98</v>
      </c>
      <c r="H10" s="7">
        <f t="shared" si="1"/>
        <v>9135.5300000000007</v>
      </c>
      <c r="I10" s="7">
        <f>ROUND($B10*0.03,2)+0.01</f>
        <v>13703.300000000001</v>
      </c>
      <c r="J10" s="7">
        <f>ROUND($B10*0.005,2)</f>
        <v>2283.88</v>
      </c>
      <c r="K10" s="7">
        <v>51.35</v>
      </c>
      <c r="L10" s="7">
        <f>ROUND((($B10*0.22)+$K10)*0.76,2)-0.01</f>
        <v>76412.010000000009</v>
      </c>
      <c r="M10" s="7">
        <f>ROUND((($B10*0.22)+$K10)*0.04,2)-0.01</f>
        <v>4021.68</v>
      </c>
      <c r="N10" s="7">
        <f>ROUND((($B10*0.22)+$K10)*0.1,2)+0.1</f>
        <v>10054.31</v>
      </c>
      <c r="O10" s="7">
        <f>ROUND((($B10*0.22)+$K10)*0.1,2)+0.16</f>
        <v>10054.369999999999</v>
      </c>
    </row>
    <row r="11" spans="1:15" ht="14.25" customHeight="1" x14ac:dyDescent="0.25">
      <c r="A11" s="16" t="s">
        <v>28</v>
      </c>
      <c r="B11" s="7">
        <v>381301.61</v>
      </c>
      <c r="C11" s="7">
        <f>ROUND($B11*0.35,2)-0.01</f>
        <v>133455.54999999999</v>
      </c>
      <c r="D11" s="7">
        <f>ROUND($B11*0.03,2)-0.01</f>
        <v>11439.039999999999</v>
      </c>
      <c r="E11" s="7">
        <f>ROUND($B11*0.0045,2)</f>
        <v>1715.86</v>
      </c>
      <c r="F11" s="7">
        <f>ROUND(($B11*0.025)*0.9,2)-0.01</f>
        <v>8579.2800000000007</v>
      </c>
      <c r="G11" s="7">
        <f>ROUND(($B11*0.02)*0.9,2)</f>
        <v>6863.43</v>
      </c>
      <c r="H11" s="7">
        <f t="shared" si="1"/>
        <v>7626.03</v>
      </c>
      <c r="I11" s="7">
        <f>ROUND($B11*0.03,2)-0.01</f>
        <v>11439.039999999999</v>
      </c>
      <c r="J11" s="7">
        <f>ROUND($B11*0.005,2)</f>
        <v>1906.51</v>
      </c>
      <c r="K11" s="7">
        <v>34.35</v>
      </c>
      <c r="L11" s="7">
        <f>ROUND((($B11*0.22)+$K11)*0.76,2)</f>
        <v>63779.74</v>
      </c>
      <c r="M11" s="7">
        <f t="shared" ref="M11:M19" si="3">ROUND((($B11*0.22)+$K11)*0.04,2)</f>
        <v>3356.83</v>
      </c>
      <c r="N11" s="7">
        <f>ROUND((($B11*0.22)+$K11)*0.1,2)-0.06</f>
        <v>8392.01</v>
      </c>
      <c r="O11" s="7">
        <f>ROUND((($B11*0.22)+$K11)*0.1,2)-0.16</f>
        <v>8391.91</v>
      </c>
    </row>
    <row r="12" spans="1:15" ht="14.25" customHeight="1" x14ac:dyDescent="0.25">
      <c r="A12" s="18" t="s">
        <v>29</v>
      </c>
      <c r="B12" s="7">
        <v>384041.12</v>
      </c>
      <c r="C12" s="7">
        <f>ROUND($B12*0.35,2)+0.01</f>
        <v>134414.40000000002</v>
      </c>
      <c r="D12" s="7">
        <f>ROUND($B12*0.03,2)+0.01</f>
        <v>11521.24</v>
      </c>
      <c r="E12" s="7">
        <f>ROUND($B12*0.0045,2)-0.01</f>
        <v>1728.18</v>
      </c>
      <c r="F12" s="7">
        <f>ROUND(($B12*0.025)*0.9,2)</f>
        <v>8640.93</v>
      </c>
      <c r="G12" s="7">
        <f>ROUND(($B12*0.02)*0.9,2)</f>
        <v>6912.74</v>
      </c>
      <c r="H12" s="7">
        <f t="shared" si="1"/>
        <v>7680.82</v>
      </c>
      <c r="I12" s="7">
        <f>ROUND($B12*0.03,2)+0.01</f>
        <v>11521.24</v>
      </c>
      <c r="J12" s="7">
        <f>ROUND($B12*0.005,2)-0.01</f>
        <v>1920.2</v>
      </c>
      <c r="K12" s="7">
        <v>40.5</v>
      </c>
      <c r="L12" s="7">
        <f>ROUND((($B12*0.22)+$K12)*0.76,2)-0.01</f>
        <v>64242.45</v>
      </c>
      <c r="M12" s="7">
        <f t="shared" si="3"/>
        <v>3381.18</v>
      </c>
      <c r="N12" s="7">
        <f>ROUND((($B12*0.22)+$K12)*0.1,2)-0.03</f>
        <v>8452.92</v>
      </c>
      <c r="O12" s="7">
        <f>ROUND((($B12*0.22)+$K12)*0.1,2)-0.24</f>
        <v>8452.7100000000009</v>
      </c>
    </row>
    <row r="13" spans="1:15" ht="14.25" customHeight="1" x14ac:dyDescent="0.25">
      <c r="A13" s="19" t="s">
        <v>30</v>
      </c>
      <c r="B13" s="7">
        <v>479818.02</v>
      </c>
      <c r="C13" s="7">
        <f>ROUND($B13*0.35,2)-0.01</f>
        <v>167936.3</v>
      </c>
      <c r="D13" s="7">
        <f>ROUND($B13*0.03,2)</f>
        <v>14394.54</v>
      </c>
      <c r="E13" s="7">
        <f>ROUND($B13*0.0045,2)+0.01</f>
        <v>2159.19</v>
      </c>
      <c r="F13" s="7">
        <f>ROUND(($B13*0.025)*0.9,2)-0.01</f>
        <v>10795.9</v>
      </c>
      <c r="G13" s="7">
        <f>ROUND(($B13*0.02)*0.9,2)</f>
        <v>8636.7199999999993</v>
      </c>
      <c r="H13" s="7">
        <f t="shared" si="1"/>
        <v>9596.36</v>
      </c>
      <c r="I13" s="7">
        <f>ROUND($B13*0.03,2)</f>
        <v>14394.54</v>
      </c>
      <c r="J13" s="7">
        <f t="shared" ref="J13:J19" si="4">ROUND($B13*0.005,2)</f>
        <v>2399.09</v>
      </c>
      <c r="K13" s="7">
        <v>39.81</v>
      </c>
      <c r="L13" s="7">
        <f>ROUND((($B13*0.22)+$K13)*0.76,2)-0.01</f>
        <v>80255.820000000007</v>
      </c>
      <c r="M13" s="7">
        <f t="shared" si="3"/>
        <v>4223.99</v>
      </c>
      <c r="N13" s="7">
        <f>ROUND((($B13*0.22)+$K13)*0.1,2)+0.07</f>
        <v>10560.05</v>
      </c>
      <c r="O13" s="7">
        <f>ROUND((($B13*0.22)+$K13)*0.1,2)+0.22</f>
        <v>10560.199999999999</v>
      </c>
    </row>
    <row r="14" spans="1:15" ht="14.25" customHeight="1" x14ac:dyDescent="0.25">
      <c r="A14" s="20" t="s">
        <v>31</v>
      </c>
      <c r="B14" s="7">
        <v>693632.06</v>
      </c>
      <c r="C14" s="7">
        <f>ROUND($B14*0.35,2)+0.02</f>
        <v>242771.24</v>
      </c>
      <c r="D14" s="7">
        <f>ROUND($B14*0.03,2)</f>
        <v>20808.96</v>
      </c>
      <c r="E14" s="7">
        <f t="shared" ref="E14:E19" si="5">ROUND($B14*0.0045,2)</f>
        <v>3121.34</v>
      </c>
      <c r="F14" s="7">
        <f t="shared" ref="F14:F19" si="6">ROUND(($B14*0.025)*0.9,2)</f>
        <v>15606.72</v>
      </c>
      <c r="G14" s="7">
        <f>ROUND(($B14*0.02)*0.9,2)</f>
        <v>12485.38</v>
      </c>
      <c r="H14" s="7">
        <f t="shared" si="1"/>
        <v>13872.64</v>
      </c>
      <c r="I14" s="7">
        <f>ROUND($B14*0.03,2)</f>
        <v>20808.96</v>
      </c>
      <c r="J14" s="7">
        <f t="shared" si="4"/>
        <v>3468.16</v>
      </c>
      <c r="K14" s="7">
        <v>66.28</v>
      </c>
      <c r="L14" s="7">
        <f>ROUND((($B14*0.22)+$K14)*0.76,2)+0.02</f>
        <v>116025.67</v>
      </c>
      <c r="M14" s="7">
        <f t="shared" si="3"/>
        <v>6106.61</v>
      </c>
      <c r="N14" s="7">
        <f>ROUND((($B14*0.22)+$K14)*0.1,2)-0.04</f>
        <v>15266.49</v>
      </c>
      <c r="O14" s="7">
        <f>ROUND((($B14*0.22)+$K14)*0.1,2)+0.1</f>
        <v>15266.630000000001</v>
      </c>
    </row>
    <row r="15" spans="1:15" ht="14.25" customHeight="1" x14ac:dyDescent="0.25">
      <c r="A15" s="21" t="s">
        <v>32</v>
      </c>
      <c r="B15" s="7">
        <v>385991.92</v>
      </c>
      <c r="C15" s="7">
        <f>ROUND($B15*0.35,2)</f>
        <v>135097.17000000001</v>
      </c>
      <c r="D15" s="7">
        <f>ROUND($B15*0.03,2)</f>
        <v>11579.76</v>
      </c>
      <c r="E15" s="7">
        <f t="shared" si="5"/>
        <v>1736.96</v>
      </c>
      <c r="F15" s="7">
        <f t="shared" si="6"/>
        <v>8684.82</v>
      </c>
      <c r="G15" s="7">
        <f>ROUND(($B15*0.02)*0.9,2)+0.01</f>
        <v>6947.8600000000006</v>
      </c>
      <c r="H15" s="7">
        <f t="shared" si="1"/>
        <v>7719.84</v>
      </c>
      <c r="I15" s="7">
        <f>ROUND($B15*0.03,2)</f>
        <v>11579.76</v>
      </c>
      <c r="J15" s="7">
        <f t="shared" si="4"/>
        <v>1929.96</v>
      </c>
      <c r="K15" s="7">
        <v>65.81</v>
      </c>
      <c r="L15" s="7">
        <f>ROUND((($B15*0.22)+$K15)*0.76,2)</f>
        <v>64587.86</v>
      </c>
      <c r="M15" s="7">
        <f t="shared" si="3"/>
        <v>3399.36</v>
      </c>
      <c r="N15" s="7">
        <f>ROUND((($B15*0.22)+$K15)*0.1,2)-0.02</f>
        <v>8498.3799999999992</v>
      </c>
      <c r="O15" s="7">
        <f>ROUND((($B15*0.22)+$K15)*0.1,2)-0.1</f>
        <v>8498.2999999999993</v>
      </c>
    </row>
    <row r="16" spans="1:15" ht="14.25" customHeight="1" x14ac:dyDescent="0.25">
      <c r="A16" s="24" t="s">
        <v>34</v>
      </c>
      <c r="B16" s="7">
        <v>439030.67</v>
      </c>
      <c r="C16" s="7">
        <f>ROUND($B16*0.35,2)+0.01</f>
        <v>153660.74000000002</v>
      </c>
      <c r="D16" s="7">
        <f>ROUND($B16*0.03,2)</f>
        <v>13170.92</v>
      </c>
      <c r="E16" s="7">
        <f t="shared" si="5"/>
        <v>1975.64</v>
      </c>
      <c r="F16" s="7">
        <f t="shared" si="6"/>
        <v>9878.19</v>
      </c>
      <c r="G16" s="7">
        <f>ROUND(($B16*0.02)*0.9,2)</f>
        <v>7902.55</v>
      </c>
      <c r="H16" s="7">
        <f>ROUND($B16*0.02,2)-0.01</f>
        <v>8780.6</v>
      </c>
      <c r="I16" s="7">
        <f>ROUND($B16*0.03,2)</f>
        <v>13170.92</v>
      </c>
      <c r="J16" s="7">
        <f t="shared" si="4"/>
        <v>2195.15</v>
      </c>
      <c r="K16" s="7">
        <v>68.150000000000006</v>
      </c>
      <c r="L16" s="7">
        <f>ROUND((($B16*0.22)+$K16)*0.76,2)+0.02</f>
        <v>73457.740000000005</v>
      </c>
      <c r="M16" s="7">
        <f t="shared" si="3"/>
        <v>3866.2</v>
      </c>
      <c r="N16" s="7">
        <f>ROUND((($B16*0.22)+$K16)*0.1,2)+0.02</f>
        <v>9665.51</v>
      </c>
      <c r="O16" s="7">
        <f>ROUND((($B16*0.22)+$K16)*0.1,2)-0.19</f>
        <v>9665.2999999999993</v>
      </c>
    </row>
    <row r="17" spans="1:15" ht="14.25" customHeight="1" x14ac:dyDescent="0.25">
      <c r="A17" s="25" t="s">
        <v>35</v>
      </c>
      <c r="B17" s="7">
        <v>532510.43999999994</v>
      </c>
      <c r="C17" s="7">
        <f>ROUND($B17*0.35,2)+0.02</f>
        <v>186378.66999999998</v>
      </c>
      <c r="D17" s="7">
        <f>ROUND($B17*0.03,2)+0.01</f>
        <v>15975.32</v>
      </c>
      <c r="E17" s="7">
        <f t="shared" si="5"/>
        <v>2396.3000000000002</v>
      </c>
      <c r="F17" s="7">
        <f t="shared" si="6"/>
        <v>11981.48</v>
      </c>
      <c r="G17" s="7">
        <f>ROUND(($B17*0.02)*0.9,2)+0.01</f>
        <v>9585.2000000000007</v>
      </c>
      <c r="H17" s="7">
        <f>ROUND($B17*0.02,2)+0.01</f>
        <v>10650.22</v>
      </c>
      <c r="I17" s="7">
        <f>ROUND($B17*0.03,2)+0.01</f>
        <v>15975.32</v>
      </c>
      <c r="J17" s="7">
        <f t="shared" si="4"/>
        <v>2662.55</v>
      </c>
      <c r="K17" s="7">
        <v>156.55000000000001</v>
      </c>
      <c r="L17" s="7">
        <f>ROUND((($B17*0.22)+$K17)*0.76,2)</f>
        <v>89154.72</v>
      </c>
      <c r="M17" s="7">
        <f t="shared" si="3"/>
        <v>4692.3500000000004</v>
      </c>
      <c r="N17" s="7">
        <f>ROUND((($B17*0.22)+$K17)*0.1,2)-0.02</f>
        <v>11730.859999999999</v>
      </c>
      <c r="O17" s="7">
        <f>ROUND((($B17*0.22)+$K17)*0.1,2)+0.44</f>
        <v>11731.32</v>
      </c>
    </row>
    <row r="18" spans="1:15" ht="14.25" customHeight="1" x14ac:dyDescent="0.25">
      <c r="A18" s="26" t="s">
        <v>36</v>
      </c>
      <c r="B18" s="7">
        <v>635904.80000000005</v>
      </c>
      <c r="C18" s="7">
        <f>ROUND($B18*0.35,2)+0.01</f>
        <v>222566.69</v>
      </c>
      <c r="D18" s="7">
        <f>ROUND($B18*0.03,2)</f>
        <v>19077.14</v>
      </c>
      <c r="E18" s="7">
        <f t="shared" si="5"/>
        <v>2861.57</v>
      </c>
      <c r="F18" s="7">
        <f t="shared" si="6"/>
        <v>14307.86</v>
      </c>
      <c r="G18" s="7">
        <f>ROUND(($B18*0.02)*0.9,2)</f>
        <v>11446.29</v>
      </c>
      <c r="H18" s="7">
        <f>ROUND($B18*0.02,2)</f>
        <v>12718.1</v>
      </c>
      <c r="I18" s="7">
        <f>ROUND($B18*0.03,2)</f>
        <v>19077.14</v>
      </c>
      <c r="J18" s="7">
        <f t="shared" si="4"/>
        <v>3179.52</v>
      </c>
      <c r="K18" s="7">
        <v>320.52</v>
      </c>
      <c r="L18" s="7">
        <f>ROUND((($B18*0.22)+$K18)*0.76,2)+0.01</f>
        <v>106566.89</v>
      </c>
      <c r="M18" s="7">
        <f t="shared" si="3"/>
        <v>5608.78</v>
      </c>
      <c r="N18" s="7">
        <f>ROUND((($B18*0.22)+$K18)*0.1,2)+0.08</f>
        <v>14022.039999999999</v>
      </c>
      <c r="O18" s="7">
        <f>ROUND((($B18*0.22)+$K18)*0.1,2)-0.36</f>
        <v>14021.599999999999</v>
      </c>
    </row>
    <row r="19" spans="1:15" ht="14.25" customHeight="1" x14ac:dyDescent="0.25">
      <c r="A19" s="27" t="s">
        <v>38</v>
      </c>
      <c r="B19" s="7">
        <v>544436.59</v>
      </c>
      <c r="C19" s="7">
        <f>ROUND($B19*0.35,2)+0.01</f>
        <v>190552.82</v>
      </c>
      <c r="D19" s="7">
        <f>ROUND($B19*0.03,2)</f>
        <v>16333.1</v>
      </c>
      <c r="E19" s="7">
        <f t="shared" si="5"/>
        <v>2449.96</v>
      </c>
      <c r="F19" s="7">
        <f t="shared" si="6"/>
        <v>12249.82</v>
      </c>
      <c r="G19" s="7">
        <f>ROUND(($B19*0.02)*0.9,2)</f>
        <v>9799.86</v>
      </c>
      <c r="H19" s="7">
        <f>ROUND($B19*0.02,2)</f>
        <v>10888.73</v>
      </c>
      <c r="I19" s="7">
        <f>ROUND($B19*0.03,2)</f>
        <v>16333.1</v>
      </c>
      <c r="J19" s="7">
        <f t="shared" si="4"/>
        <v>2722.18</v>
      </c>
      <c r="K19" s="7">
        <v>630.64</v>
      </c>
      <c r="L19" s="7">
        <f>ROUND((($B19*0.22)+$K19)*0.76,2)+0.02</f>
        <v>91509.1</v>
      </c>
      <c r="M19" s="7">
        <f t="shared" si="3"/>
        <v>4816.2700000000004</v>
      </c>
      <c r="N19" s="7">
        <f>ROUND((($B19*0.22)+$K19)*0.1,2)-0.06</f>
        <v>12040.61</v>
      </c>
      <c r="O19" s="7">
        <f>ROUND((($B19*0.22)+$K19)*0.1,2)-0.12</f>
        <v>12040.55</v>
      </c>
    </row>
    <row r="21" spans="1:15" ht="15" customHeight="1" thickBot="1" x14ac:dyDescent="0.3">
      <c r="B21" s="8">
        <f t="shared" ref="B21:O21" si="7">SUM(B9:B20)</f>
        <v>5542830.8499999996</v>
      </c>
      <c r="C21" s="8">
        <f t="shared" si="7"/>
        <v>1939990.8699999999</v>
      </c>
      <c r="D21" s="8">
        <f t="shared" si="7"/>
        <v>166284.93999999997</v>
      </c>
      <c r="E21" s="8">
        <f t="shared" si="7"/>
        <v>24942.739999999998</v>
      </c>
      <c r="F21" s="8">
        <f t="shared" si="7"/>
        <v>124713.69</v>
      </c>
      <c r="G21" s="8">
        <f t="shared" si="7"/>
        <v>99770.98</v>
      </c>
      <c r="H21" s="8">
        <f t="shared" si="7"/>
        <v>110856.62000000001</v>
      </c>
      <c r="I21" s="8">
        <f t="shared" si="7"/>
        <v>166284.93999999997</v>
      </c>
      <c r="J21" s="8">
        <f t="shared" si="7"/>
        <v>27714.140000000003</v>
      </c>
      <c r="K21" s="8">
        <f t="shared" si="7"/>
        <v>1523.65</v>
      </c>
      <c r="L21" s="8">
        <f t="shared" si="7"/>
        <v>927919.32</v>
      </c>
      <c r="M21" s="8">
        <f t="shared" si="7"/>
        <v>48837.849999999991</v>
      </c>
      <c r="N21" s="8">
        <f t="shared" si="7"/>
        <v>122094.56999999999</v>
      </c>
      <c r="O21" s="8">
        <f t="shared" si="7"/>
        <v>122094.61</v>
      </c>
    </row>
    <row r="22" spans="1:15" ht="15" customHeight="1" thickTop="1" x14ac:dyDescent="0.25"/>
    <row r="23" spans="1:15" ht="15" customHeight="1" x14ac:dyDescent="0.25">
      <c r="A23" s="9" t="s">
        <v>14</v>
      </c>
    </row>
    <row r="24" spans="1:15" ht="15" customHeight="1" x14ac:dyDescent="0.25">
      <c r="A24" s="9" t="s">
        <v>15</v>
      </c>
    </row>
  </sheetData>
  <mergeCells count="2">
    <mergeCell ref="A1:O1"/>
    <mergeCell ref="A7:N7"/>
  </mergeCells>
  <pageMargins left="0.25" right="0.25" top="0.5" bottom="0.5" header="0" footer="0"/>
  <pageSetup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2" width="16.140625" style="1" bestFit="1" customWidth="1"/>
    <col min="3" max="3" width="14.7109375" style="1" customWidth="1"/>
    <col min="4" max="9" width="13.7109375" style="1" customWidth="1"/>
    <col min="10" max="10" width="14" style="1" customWidth="1"/>
    <col min="11" max="11" width="11.7109375" style="1" customWidth="1"/>
    <col min="12" max="12" width="14.7109375" style="1" customWidth="1"/>
    <col min="13" max="13" width="13.28515625" style="1" bestFit="1" customWidth="1"/>
    <col min="14" max="14" width="13.7109375" style="1" customWidth="1"/>
    <col min="15" max="15" width="14.7109375" style="1" customWidth="1"/>
    <col min="16" max="16384" width="9.140625" style="1"/>
  </cols>
  <sheetData>
    <row r="1" spans="1:15" ht="15" customHeight="1" x14ac:dyDescent="0.25">
      <c r="A1" s="30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" customHeight="1" x14ac:dyDescent="0.25">
      <c r="A2" s="32" t="s">
        <v>40</v>
      </c>
    </row>
    <row r="3" spans="1:15" ht="15" customHeight="1" x14ac:dyDescent="0.25">
      <c r="A3" s="11"/>
    </row>
    <row r="4" spans="1:15" ht="45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3" t="s">
        <v>25</v>
      </c>
      <c r="B5" s="10">
        <v>13979546.300000001</v>
      </c>
      <c r="C5" s="10">
        <v>4892841.24</v>
      </c>
      <c r="D5" s="10">
        <v>419386.38</v>
      </c>
      <c r="E5" s="10">
        <v>62907.93</v>
      </c>
      <c r="F5" s="10">
        <v>314539.80000000005</v>
      </c>
      <c r="G5" s="10">
        <v>251631.85</v>
      </c>
      <c r="H5" s="10">
        <v>279590.93</v>
      </c>
      <c r="I5" s="10">
        <v>419386.38</v>
      </c>
      <c r="J5" s="10">
        <v>69897.739999999991</v>
      </c>
      <c r="K5" s="10">
        <v>834.1</v>
      </c>
      <c r="L5" s="10">
        <v>2338014.0900000003</v>
      </c>
      <c r="M5" s="10">
        <v>123053.38</v>
      </c>
      <c r="N5" s="10">
        <v>307633.50999999995</v>
      </c>
      <c r="O5" s="10">
        <v>307633.18999999994</v>
      </c>
    </row>
    <row r="7" spans="1:15" ht="15" customHeight="1" x14ac:dyDescent="0.25">
      <c r="A7" s="31" t="s">
        <v>24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9" spans="1:15" ht="14.25" customHeight="1" x14ac:dyDescent="0.25">
      <c r="A9" s="14" t="s">
        <v>26</v>
      </c>
      <c r="B9" s="7">
        <v>1778901.5</v>
      </c>
      <c r="C9" s="7">
        <f t="shared" ref="C9" si="0">ROUND($B9*0.35,2)</f>
        <v>622615.53</v>
      </c>
      <c r="D9" s="7">
        <f>ROUND($B9*0.03,2)+0.01</f>
        <v>53367.060000000005</v>
      </c>
      <c r="E9" s="7">
        <f>ROUND($B9*0.0045,2)-0.01</f>
        <v>8005.05</v>
      </c>
      <c r="F9" s="7">
        <f t="shared" ref="F9" si="1">ROUND(($B9*0.025)*0.9,2)</f>
        <v>40025.279999999999</v>
      </c>
      <c r="G9" s="7">
        <f t="shared" ref="G9:G15" si="2">ROUND(($B9*0.02)*0.9,2)</f>
        <v>32020.23</v>
      </c>
      <c r="H9" s="7">
        <f t="shared" ref="H9:H15" si="3">ROUND($B9*0.02,2)</f>
        <v>35578.03</v>
      </c>
      <c r="I9" s="7">
        <f>ROUND($B9*0.03,2)+0.01</f>
        <v>53367.060000000005</v>
      </c>
      <c r="J9" s="7">
        <f>ROUND($B9*0.005,2)</f>
        <v>8894.51</v>
      </c>
      <c r="K9" s="7">
        <v>49.69</v>
      </c>
      <c r="L9" s="7">
        <f>ROUND((($B9*0.22)+$K9)*0.76,2)-0.02</f>
        <v>297470.07999999996</v>
      </c>
      <c r="M9" s="7">
        <f t="shared" ref="M9:M19" si="4">ROUND((($B9*0.22)+$K9)*0.04,2)</f>
        <v>15656.32</v>
      </c>
      <c r="N9" s="7">
        <f>ROUND((($B9*0.22)+$K9)*0.1,2)-0.11</f>
        <v>39140.69</v>
      </c>
      <c r="O9" s="7">
        <f>ROUND((($B9*0.22)+$K9)*0.1,2)+0.24</f>
        <v>39141.040000000001</v>
      </c>
    </row>
    <row r="10" spans="1:15" ht="14.25" customHeight="1" x14ac:dyDescent="0.25">
      <c r="A10" s="15" t="s">
        <v>27</v>
      </c>
      <c r="B10" s="7">
        <v>1638017</v>
      </c>
      <c r="C10" s="7">
        <f>ROUND($B10*0.35,2)+0.01</f>
        <v>573305.96</v>
      </c>
      <c r="D10" s="7">
        <f>ROUND($B10*0.03,2)+0.01</f>
        <v>49140.520000000004</v>
      </c>
      <c r="E10" s="7">
        <f>ROUND($B10*0.0045,2)-0.01</f>
        <v>7371.07</v>
      </c>
      <c r="F10" s="7">
        <f>ROUND(($B10*0.025)*0.9,2)+0.01</f>
        <v>36855.39</v>
      </c>
      <c r="G10" s="7">
        <f t="shared" si="2"/>
        <v>29484.31</v>
      </c>
      <c r="H10" s="7">
        <f t="shared" si="3"/>
        <v>32760.34</v>
      </c>
      <c r="I10" s="7">
        <f>ROUND($B10*0.03,2)+0.01</f>
        <v>49140.520000000004</v>
      </c>
      <c r="J10" s="7">
        <f>ROUND($B10*0.005,2)</f>
        <v>8190.09</v>
      </c>
      <c r="K10" s="7">
        <v>51.35</v>
      </c>
      <c r="L10" s="7">
        <f>ROUND((($B10*0.22)+$K10)*0.76,2)-0.02</f>
        <v>273915.44999999995</v>
      </c>
      <c r="M10" s="7">
        <f t="shared" si="4"/>
        <v>14416.6</v>
      </c>
      <c r="N10" s="7">
        <f>ROUND((($B10*0.22)+$K10)*0.1,2)+0.1</f>
        <v>36041.61</v>
      </c>
      <c r="O10" s="7">
        <f>ROUND((($B10*0.22)+$K10)*0.1,2)+0.16</f>
        <v>36041.670000000006</v>
      </c>
    </row>
    <row r="11" spans="1:15" ht="14.25" customHeight="1" x14ac:dyDescent="0.25">
      <c r="A11" s="16" t="s">
        <v>28</v>
      </c>
      <c r="B11" s="7">
        <v>1566368</v>
      </c>
      <c r="C11" s="7">
        <f>ROUND($B11*0.35,2)+0.02</f>
        <v>548228.82000000007</v>
      </c>
      <c r="D11" s="7">
        <f>ROUND($B11*0.03,2)</f>
        <v>46991.040000000001</v>
      </c>
      <c r="E11" s="7">
        <f t="shared" ref="E11:E18" si="5">ROUND($B11*0.0045,2)</f>
        <v>7048.66</v>
      </c>
      <c r="F11" s="7">
        <f>ROUND(($B11*0.025)*0.9,2)</f>
        <v>35243.279999999999</v>
      </c>
      <c r="G11" s="7">
        <f t="shared" si="2"/>
        <v>28194.62</v>
      </c>
      <c r="H11" s="7">
        <f t="shared" si="3"/>
        <v>31327.360000000001</v>
      </c>
      <c r="I11" s="7">
        <f>ROUND($B11*0.03,2)</f>
        <v>46991.040000000001</v>
      </c>
      <c r="J11" s="7">
        <f>ROUND($B11*0.005,2)</f>
        <v>7831.84</v>
      </c>
      <c r="K11" s="7">
        <v>34.35</v>
      </c>
      <c r="L11" s="7">
        <f>ROUND((($B11*0.22)+$K11)*0.76,2)+0.02</f>
        <v>261922.86</v>
      </c>
      <c r="M11" s="7">
        <f t="shared" si="4"/>
        <v>13785.41</v>
      </c>
      <c r="N11" s="7">
        <f>ROUND((($B11*0.22)+$K11)*0.1,2)-0.07</f>
        <v>34463.46</v>
      </c>
      <c r="O11" s="7">
        <f>ROUND((($B11*0.22)+$K11)*0.1,2)-0.17</f>
        <v>34463.360000000001</v>
      </c>
    </row>
    <row r="12" spans="1:15" ht="14.25" customHeight="1" x14ac:dyDescent="0.25">
      <c r="A12" s="18" t="s">
        <v>29</v>
      </c>
      <c r="B12" s="7">
        <v>1425604</v>
      </c>
      <c r="C12" s="7">
        <f>ROUND($B12*0.35,2)</f>
        <v>498961.4</v>
      </c>
      <c r="D12" s="7">
        <f>ROUND($B12*0.03,2)</f>
        <v>42768.12</v>
      </c>
      <c r="E12" s="7">
        <f t="shared" si="5"/>
        <v>6415.22</v>
      </c>
      <c r="F12" s="7">
        <f>ROUND(($B12*0.025)*0.9,2)</f>
        <v>32076.09</v>
      </c>
      <c r="G12" s="7">
        <f t="shared" si="2"/>
        <v>25660.87</v>
      </c>
      <c r="H12" s="7">
        <f t="shared" si="3"/>
        <v>28512.080000000002</v>
      </c>
      <c r="I12" s="7">
        <f>ROUND($B12*0.03,2)</f>
        <v>42768.12</v>
      </c>
      <c r="J12" s="7">
        <f>ROUND($B12*0.005,2)</f>
        <v>7128.02</v>
      </c>
      <c r="K12" s="7">
        <v>40.49</v>
      </c>
      <c r="L12" s="7">
        <f>ROUND((($B12*0.22)+$K12)*0.76,2)</f>
        <v>238391.76</v>
      </c>
      <c r="M12" s="7">
        <f t="shared" si="4"/>
        <v>12546.93</v>
      </c>
      <c r="N12" s="7">
        <f>ROUND((($B12*0.22)+$K12)*0.1,2)-0.02</f>
        <v>31367.32</v>
      </c>
      <c r="O12" s="7">
        <f>ROUND((($B12*0.22)+$K12)*0.1,2)-0.24</f>
        <v>31367.1</v>
      </c>
    </row>
    <row r="13" spans="1:15" ht="14.25" customHeight="1" x14ac:dyDescent="0.25">
      <c r="A13" s="19" t="s">
        <v>30</v>
      </c>
      <c r="B13" s="7">
        <v>1313636.5</v>
      </c>
      <c r="C13" s="7">
        <f>ROUND($B13*0.35,2)+0.01</f>
        <v>459772.79000000004</v>
      </c>
      <c r="D13" s="7">
        <f>ROUND($B13*0.03,2)</f>
        <v>39409.1</v>
      </c>
      <c r="E13" s="7">
        <f t="shared" si="5"/>
        <v>5911.36</v>
      </c>
      <c r="F13" s="7">
        <f>ROUND(($B13*0.025)*0.9,2)</f>
        <v>29556.82</v>
      </c>
      <c r="G13" s="7">
        <f t="shared" si="2"/>
        <v>23645.46</v>
      </c>
      <c r="H13" s="7">
        <f t="shared" si="3"/>
        <v>26272.73</v>
      </c>
      <c r="I13" s="7">
        <f>ROUND($B13*0.03,2)</f>
        <v>39409.1</v>
      </c>
      <c r="J13" s="7">
        <f>ROUND($B13*0.005,2)+0.01</f>
        <v>6568.1900000000005</v>
      </c>
      <c r="K13" s="7">
        <v>39.81</v>
      </c>
      <c r="L13" s="7">
        <f>ROUND((($B13*0.22)+$K13)*0.76,2)+0.01</f>
        <v>219670.29</v>
      </c>
      <c r="M13" s="7">
        <f t="shared" si="4"/>
        <v>11561.59</v>
      </c>
      <c r="N13" s="7">
        <f>ROUND((($B13*0.22)+$K13)*0.1,2)+0.06</f>
        <v>28904.04</v>
      </c>
      <c r="O13" s="7">
        <f>ROUND((($B13*0.22)+$K13)*0.1,2)+0.22</f>
        <v>28904.2</v>
      </c>
    </row>
    <row r="14" spans="1:15" ht="14.25" customHeight="1" x14ac:dyDescent="0.25">
      <c r="A14" s="20" t="s">
        <v>31</v>
      </c>
      <c r="B14" s="7">
        <v>1792390.5</v>
      </c>
      <c r="C14" s="7">
        <f>ROUND($B14*0.35,2)+0.01</f>
        <v>627336.69000000006</v>
      </c>
      <c r="D14" s="7">
        <f>ROUND($B14*0.03,2)</f>
        <v>53771.72</v>
      </c>
      <c r="E14" s="7">
        <f t="shared" si="5"/>
        <v>8065.76</v>
      </c>
      <c r="F14" s="7">
        <f>ROUND(($B14*0.025)*0.9,2)-0.01</f>
        <v>40328.78</v>
      </c>
      <c r="G14" s="7">
        <f t="shared" si="2"/>
        <v>32263.03</v>
      </c>
      <c r="H14" s="7">
        <f t="shared" si="3"/>
        <v>35847.81</v>
      </c>
      <c r="I14" s="7">
        <f>ROUND($B14*0.03,2)</f>
        <v>53771.72</v>
      </c>
      <c r="J14" s="7">
        <f>ROUND($B14*0.005,2)</f>
        <v>8961.9500000000007</v>
      </c>
      <c r="K14" s="7">
        <v>66.290000000000006</v>
      </c>
      <c r="L14" s="7">
        <f>ROUND((($B14*0.22)+$K14)*0.76,2)+0.01</f>
        <v>299738.08</v>
      </c>
      <c r="M14" s="7">
        <f t="shared" si="4"/>
        <v>15775.69</v>
      </c>
      <c r="N14" s="7">
        <f>ROUND((($B14*0.22)+$K14)*0.1,2)-0.06</f>
        <v>39439.160000000003</v>
      </c>
      <c r="O14" s="7">
        <f>ROUND((($B14*0.22)+$K14)*0.1,2)+0.09</f>
        <v>39439.31</v>
      </c>
    </row>
    <row r="15" spans="1:15" ht="14.25" customHeight="1" x14ac:dyDescent="0.25">
      <c r="A15" s="21" t="s">
        <v>32</v>
      </c>
      <c r="B15" s="7">
        <v>1507745</v>
      </c>
      <c r="C15" s="7">
        <f>ROUND($B15*0.35,2)</f>
        <v>527710.75</v>
      </c>
      <c r="D15" s="7">
        <f>ROUND($B15*0.03,2)-0.01</f>
        <v>45232.34</v>
      </c>
      <c r="E15" s="7">
        <f t="shared" si="5"/>
        <v>6784.85</v>
      </c>
      <c r="F15" s="7">
        <f>ROUND(($B15*0.025)*0.9,2)</f>
        <v>33924.26</v>
      </c>
      <c r="G15" s="7">
        <f t="shared" si="2"/>
        <v>27139.41</v>
      </c>
      <c r="H15" s="7">
        <f t="shared" si="3"/>
        <v>30154.9</v>
      </c>
      <c r="I15" s="7">
        <f>ROUND($B15*0.03,2)-0.01</f>
        <v>45232.34</v>
      </c>
      <c r="J15" s="7">
        <f>ROUND($B15*0.005,2)-0.01</f>
        <v>7538.7199999999993</v>
      </c>
      <c r="K15" s="7">
        <v>65.81</v>
      </c>
      <c r="L15" s="7">
        <f>ROUND((($B15*0.22)+$K15)*0.76,2)+0.03</f>
        <v>252145.01</v>
      </c>
      <c r="M15" s="7">
        <f t="shared" si="4"/>
        <v>13270.79</v>
      </c>
      <c r="N15" s="7">
        <f>ROUND((($B15*0.22)+$K15)*0.1,2)-0.01</f>
        <v>33176.959999999999</v>
      </c>
      <c r="O15" s="7">
        <f>ROUND((($B15*0.22)+$K15)*0.1,2)-0.1</f>
        <v>33176.870000000003</v>
      </c>
    </row>
    <row r="16" spans="1:15" ht="14.25" customHeight="1" x14ac:dyDescent="0.25">
      <c r="A16" s="24" t="s">
        <v>34</v>
      </c>
      <c r="B16" s="7">
        <v>1316497.5</v>
      </c>
      <c r="C16" s="7">
        <f>ROUND($B16*0.35,2)+0.01</f>
        <v>460774.14</v>
      </c>
      <c r="D16" s="7">
        <f>ROUND($B16*0.03,2)+0.01</f>
        <v>39494.94</v>
      </c>
      <c r="E16" s="7">
        <f t="shared" si="5"/>
        <v>5924.24</v>
      </c>
      <c r="F16" s="7">
        <f>ROUND(($B16*0.025)*0.9,2)</f>
        <v>29621.19</v>
      </c>
      <c r="G16" s="7">
        <f>ROUND(($B16*0.02)*0.9,2)-0.01</f>
        <v>23696.95</v>
      </c>
      <c r="H16" s="7">
        <f>ROUND($B16*0.02,2)+0.01</f>
        <v>26329.96</v>
      </c>
      <c r="I16" s="7">
        <f>ROUND($B16*0.03,2)+0.01</f>
        <v>39494.94</v>
      </c>
      <c r="J16" s="7">
        <f>ROUND($B16*0.005,2)</f>
        <v>6582.49</v>
      </c>
      <c r="K16" s="7">
        <v>68.150000000000006</v>
      </c>
      <c r="L16" s="7">
        <f>ROUND((($B16*0.22)+$K16)*0.76,2)-0.02</f>
        <v>220170.16</v>
      </c>
      <c r="M16" s="7">
        <f t="shared" si="4"/>
        <v>11587.9</v>
      </c>
      <c r="N16" s="7">
        <f>ROUND((($B16*0.22)+$K16)*0.1,2)+0.02</f>
        <v>28969.78</v>
      </c>
      <c r="O16" s="7">
        <f>ROUND((($B16*0.22)+$K16)*0.1,2)-0.19</f>
        <v>28969.57</v>
      </c>
    </row>
    <row r="17" spans="1:15" ht="14.25" customHeight="1" x14ac:dyDescent="0.25">
      <c r="A17" s="25" t="s">
        <v>35</v>
      </c>
      <c r="B17" s="7">
        <v>1545807</v>
      </c>
      <c r="C17" s="7">
        <f>ROUND($B17*0.35,2)+0.03</f>
        <v>541032.48</v>
      </c>
      <c r="D17" s="7">
        <f>ROUND($B17*0.03,2)+0.01</f>
        <v>46374.22</v>
      </c>
      <c r="E17" s="7">
        <f t="shared" si="5"/>
        <v>6956.13</v>
      </c>
      <c r="F17" s="7">
        <f>ROUND(($B17*0.025)*0.9,2)</f>
        <v>34780.660000000003</v>
      </c>
      <c r="G17" s="7">
        <f>ROUND(($B17*0.02)*0.9,2)</f>
        <v>27824.53</v>
      </c>
      <c r="H17" s="7">
        <f>ROUND($B17*0.02,2)</f>
        <v>30916.14</v>
      </c>
      <c r="I17" s="7">
        <f>ROUND($B17*0.03,2)+0.01</f>
        <v>46374.22</v>
      </c>
      <c r="J17" s="7">
        <f>ROUND($B17*0.005,2)</f>
        <v>7729.04</v>
      </c>
      <c r="K17" s="7">
        <v>156.55000000000001</v>
      </c>
      <c r="L17" s="7">
        <f>ROUND((($B17*0.22)+$K17)*0.76,2)</f>
        <v>258577.91</v>
      </c>
      <c r="M17" s="7">
        <f t="shared" si="4"/>
        <v>13609.36</v>
      </c>
      <c r="N17" s="7">
        <f>ROUND((($B17*0.22)+$K17)*0.1,2)-0.02</f>
        <v>34023.390000000007</v>
      </c>
      <c r="O17" s="7">
        <f>ROUND((($B17*0.22)+$K17)*0.1,2)+0.44</f>
        <v>34023.850000000006</v>
      </c>
    </row>
    <row r="18" spans="1:15" ht="14.25" customHeight="1" x14ac:dyDescent="0.25">
      <c r="A18" s="26" t="s">
        <v>36</v>
      </c>
      <c r="B18" s="7">
        <v>1544118</v>
      </c>
      <c r="C18" s="7">
        <f>ROUND($B18*0.35,2)-0.01</f>
        <v>540441.29</v>
      </c>
      <c r="D18" s="7">
        <f>ROUND($B18*0.03,2)</f>
        <v>46323.54</v>
      </c>
      <c r="E18" s="7">
        <f t="shared" si="5"/>
        <v>6948.53</v>
      </c>
      <c r="F18" s="7">
        <f>ROUND(($B18*0.025)*0.9,2)</f>
        <v>34742.660000000003</v>
      </c>
      <c r="G18" s="7">
        <f>ROUND(($B18*0.02)*0.9,2)</f>
        <v>27794.12</v>
      </c>
      <c r="H18" s="7">
        <f>ROUND($B18*0.02,2)</f>
        <v>30882.36</v>
      </c>
      <c r="I18" s="7">
        <f>ROUND($B18*0.03,2)</f>
        <v>46323.54</v>
      </c>
      <c r="J18" s="7">
        <f>ROUND($B18*0.005,2)</f>
        <v>7720.59</v>
      </c>
      <c r="K18" s="7">
        <v>320.52</v>
      </c>
      <c r="L18" s="7">
        <f>ROUND((($B18*0.22)+$K18)*0.76,2)-0.01</f>
        <v>258420.11</v>
      </c>
      <c r="M18" s="7">
        <f t="shared" si="4"/>
        <v>13601.06</v>
      </c>
      <c r="N18" s="7">
        <f>ROUND((($B18*0.22)+$K18)*0.1,2)+0.08</f>
        <v>34002.730000000003</v>
      </c>
      <c r="O18" s="7">
        <f>ROUND((($B18*0.22)+$K18)*0.1,2)-0.36</f>
        <v>34002.29</v>
      </c>
    </row>
    <row r="19" spans="1:15" ht="14.25" customHeight="1" x14ac:dyDescent="0.25">
      <c r="A19" s="27" t="s">
        <v>38</v>
      </c>
      <c r="B19" s="7">
        <v>1415897</v>
      </c>
      <c r="C19" s="7">
        <f>ROUND($B19*0.35,2)+0.02</f>
        <v>495563.97000000003</v>
      </c>
      <c r="D19" s="7">
        <f>ROUND($B19*0.03,2)+0.01</f>
        <v>42476.920000000006</v>
      </c>
      <c r="E19" s="7">
        <f>ROUND($B19*0.0045,2)-0.01</f>
        <v>6371.53</v>
      </c>
      <c r="F19" s="7">
        <f>ROUND(($B19*0.025)*0.9,2)</f>
        <v>31857.68</v>
      </c>
      <c r="G19" s="7">
        <f>ROUND(($B19*0.02)*0.9,2)</f>
        <v>25486.15</v>
      </c>
      <c r="H19" s="7">
        <f>ROUND($B19*0.02,2)</f>
        <v>28317.94</v>
      </c>
      <c r="I19" s="7">
        <f>ROUND($B19*0.03,2)+0.01</f>
        <v>42476.920000000006</v>
      </c>
      <c r="J19" s="7">
        <f>ROUND($B19*0.005,2)</f>
        <v>7079.49</v>
      </c>
      <c r="K19" s="7">
        <v>630.65</v>
      </c>
      <c r="L19" s="7">
        <f>ROUND((($B19*0.22)+$K19)*0.76,2)</f>
        <v>237217.27</v>
      </c>
      <c r="M19" s="7">
        <f t="shared" si="4"/>
        <v>12485.12</v>
      </c>
      <c r="N19" s="7">
        <f>ROUND((($B19*0.22)+$K19)*0.1,2)-0.07</f>
        <v>31212.73</v>
      </c>
      <c r="O19" s="7">
        <f>ROUND((($B19*0.22)+$K19)*0.1,2)-0.12</f>
        <v>31212.68</v>
      </c>
    </row>
    <row r="21" spans="1:15" ht="15" customHeight="1" thickBot="1" x14ac:dyDescent="0.3">
      <c r="B21" s="8">
        <f t="shared" ref="B21:O21" si="6">SUM(B9:B20)</f>
        <v>16844982</v>
      </c>
      <c r="C21" s="8">
        <f t="shared" si="6"/>
        <v>5895743.8200000003</v>
      </c>
      <c r="D21" s="8">
        <f t="shared" si="6"/>
        <v>505349.52</v>
      </c>
      <c r="E21" s="8">
        <f t="shared" si="6"/>
        <v>75802.399999999994</v>
      </c>
      <c r="F21" s="8">
        <f t="shared" si="6"/>
        <v>379012.09</v>
      </c>
      <c r="G21" s="8">
        <f t="shared" si="6"/>
        <v>303209.68000000005</v>
      </c>
      <c r="H21" s="8">
        <f t="shared" si="6"/>
        <v>336899.64999999997</v>
      </c>
      <c r="I21" s="8">
        <f t="shared" si="6"/>
        <v>505349.52</v>
      </c>
      <c r="J21" s="8">
        <f t="shared" si="6"/>
        <v>84224.930000000008</v>
      </c>
      <c r="K21" s="8">
        <f t="shared" si="6"/>
        <v>1523.6599999999999</v>
      </c>
      <c r="L21" s="8">
        <f t="shared" si="6"/>
        <v>2817638.98</v>
      </c>
      <c r="M21" s="8">
        <f t="shared" si="6"/>
        <v>148296.77000000002</v>
      </c>
      <c r="N21" s="8">
        <f t="shared" si="6"/>
        <v>370741.87</v>
      </c>
      <c r="O21" s="8">
        <f t="shared" si="6"/>
        <v>370741.93999999994</v>
      </c>
    </row>
    <row r="22" spans="1:15" ht="15" customHeight="1" thickTop="1" x14ac:dyDescent="0.25"/>
    <row r="23" spans="1:15" ht="15" customHeight="1" x14ac:dyDescent="0.25">
      <c r="A23" s="9" t="s">
        <v>14</v>
      </c>
    </row>
    <row r="24" spans="1:15" ht="15" customHeight="1" x14ac:dyDescent="0.25">
      <c r="A24" s="9" t="s">
        <v>15</v>
      </c>
    </row>
  </sheetData>
  <mergeCells count="2">
    <mergeCell ref="A1:O1"/>
    <mergeCell ref="A7:N7"/>
  </mergeCells>
  <pageMargins left="0.25" right="0.25" top="0.5" bottom="0.5" header="0" footer="0"/>
  <pageSetup scale="6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workbookViewId="0">
      <selection activeCell="A21" sqref="A21"/>
    </sheetView>
  </sheetViews>
  <sheetFormatPr defaultColWidth="9.140625" defaultRowHeight="15" customHeight="1" x14ac:dyDescent="0.25"/>
  <cols>
    <col min="1" max="1" width="15.7109375" style="1" customWidth="1"/>
    <col min="2" max="3" width="16.140625" style="1" bestFit="1" customWidth="1"/>
    <col min="4" max="4" width="15" style="1" bestFit="1" customWidth="1"/>
    <col min="5" max="5" width="13.7109375" style="1" customWidth="1"/>
    <col min="6" max="9" width="15" style="1" bestFit="1" customWidth="1"/>
    <col min="10" max="10" width="13.28515625" style="1" bestFit="1" customWidth="1"/>
    <col min="11" max="11" width="11.85546875" style="1" customWidth="1"/>
    <col min="12" max="12" width="16.140625" style="1" bestFit="1" customWidth="1"/>
    <col min="13" max="13" width="13.28515625" style="1" bestFit="1" customWidth="1"/>
    <col min="14" max="15" width="15" style="1" bestFit="1" customWidth="1"/>
    <col min="16" max="16384" width="9.140625" style="1"/>
  </cols>
  <sheetData>
    <row r="1" spans="1:15" ht="15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ht="15" customHeight="1" x14ac:dyDescent="0.25">
      <c r="A2" s="32" t="s">
        <v>41</v>
      </c>
    </row>
    <row r="3" spans="1:15" ht="15" customHeight="1" x14ac:dyDescent="0.25">
      <c r="A3" s="11"/>
    </row>
    <row r="4" spans="1:15" ht="45" customHeight="1" x14ac:dyDescent="0.25">
      <c r="B4" s="3" t="s">
        <v>1</v>
      </c>
      <c r="C4" s="4" t="s">
        <v>2</v>
      </c>
      <c r="D4" s="4" t="s">
        <v>3</v>
      </c>
      <c r="E4" s="3" t="s">
        <v>4</v>
      </c>
      <c r="F4" s="3" t="s">
        <v>19</v>
      </c>
      <c r="G4" s="3" t="s">
        <v>5</v>
      </c>
      <c r="H4" s="3" t="s">
        <v>6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</row>
    <row r="5" spans="1:15" ht="15" customHeight="1" x14ac:dyDescent="0.25">
      <c r="A5" s="13" t="s">
        <v>25</v>
      </c>
      <c r="B5" s="10">
        <v>45081930.5</v>
      </c>
      <c r="C5" s="10">
        <v>15778675.73</v>
      </c>
      <c r="D5" s="10">
        <v>1352457.99</v>
      </c>
      <c r="E5" s="10">
        <v>202868.71999999997</v>
      </c>
      <c r="F5" s="10">
        <v>1014343.4400000001</v>
      </c>
      <c r="G5" s="10">
        <v>811474.77999999991</v>
      </c>
      <c r="H5" s="10">
        <v>901638.65999999992</v>
      </c>
      <c r="I5" s="10">
        <v>1352457.99</v>
      </c>
      <c r="J5" s="10">
        <v>225409.66000000003</v>
      </c>
      <c r="K5" s="10">
        <v>834.1</v>
      </c>
      <c r="L5" s="10">
        <v>7538332.4700000007</v>
      </c>
      <c r="M5" s="10">
        <v>396754.35</v>
      </c>
      <c r="N5" s="10">
        <v>991885.94</v>
      </c>
      <c r="O5" s="10">
        <v>991885.63000000012</v>
      </c>
    </row>
    <row r="7" spans="1:15" ht="15" customHeight="1" x14ac:dyDescent="0.25">
      <c r="A7" s="31" t="s">
        <v>24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9" spans="1:15" ht="14.25" customHeight="1" x14ac:dyDescent="0.25">
      <c r="A9" s="14" t="s">
        <v>26</v>
      </c>
      <c r="B9" s="7">
        <v>5655336.5</v>
      </c>
      <c r="C9" s="7">
        <f>ROUND($B9*0.35,2)-0.01</f>
        <v>1979367.77</v>
      </c>
      <c r="D9" s="7">
        <f>ROUND($B9*0.03,2)-0.02</f>
        <v>169660.08000000002</v>
      </c>
      <c r="E9" s="7">
        <f>ROUND($B9*0.0045,2)</f>
        <v>25449.01</v>
      </c>
      <c r="F9" s="7">
        <f t="shared" ref="F9" si="0">ROUND(($B9*0.025)*0.9,2)</f>
        <v>127245.07</v>
      </c>
      <c r="G9" s="7">
        <f>ROUND(($B9*0.02)*0.9,2)-0.01</f>
        <v>101796.05</v>
      </c>
      <c r="H9" s="7">
        <f>ROUND($B9*0.02,2)-0.01</f>
        <v>113106.72</v>
      </c>
      <c r="I9" s="7">
        <f>ROUND($B9*0.03,2)-0.02</f>
        <v>169660.08000000002</v>
      </c>
      <c r="J9" s="7">
        <f t="shared" ref="J9:J14" si="1">ROUND($B9*0.005,2)</f>
        <v>28276.68</v>
      </c>
      <c r="K9" s="7">
        <v>49.69</v>
      </c>
      <c r="L9" s="7">
        <f>ROUND((($B9*0.22)+$K9)*0.76,2)+0.03</f>
        <v>945610.06</v>
      </c>
      <c r="M9" s="7">
        <f t="shared" ref="M9:M14" si="2">ROUND((($B9*0.22)+$K9)*0.04,2)</f>
        <v>49768.95</v>
      </c>
      <c r="N9" s="7">
        <f>ROUND((($B9*0.22)+$K9)*0.1,2)-0.1</f>
        <v>124422.26999999999</v>
      </c>
      <c r="O9" s="7">
        <f>ROUND((($B9*0.22)+$K9)*0.1,2)+0.25</f>
        <v>124422.62</v>
      </c>
    </row>
    <row r="10" spans="1:15" ht="14.25" customHeight="1" x14ac:dyDescent="0.25">
      <c r="A10" s="15" t="s">
        <v>27</v>
      </c>
      <c r="B10" s="7">
        <v>5017142</v>
      </c>
      <c r="C10" s="7">
        <f>ROUND($B10*0.35,2)+0.02</f>
        <v>1755999.72</v>
      </c>
      <c r="D10" s="7">
        <f>ROUND($B10*0.03,2)</f>
        <v>150514.26</v>
      </c>
      <c r="E10" s="7">
        <f>ROUND($B10*0.0045,2)</f>
        <v>22577.14</v>
      </c>
      <c r="F10" s="7">
        <f>ROUND(($B10*0.025)*0.9,2)+0.01</f>
        <v>112885.70999999999</v>
      </c>
      <c r="G10" s="7">
        <f>ROUND(($B10*0.02)*0.9,2)</f>
        <v>90308.56</v>
      </c>
      <c r="H10" s="7">
        <f>ROUND($B10*0.02,2)</f>
        <v>100342.84</v>
      </c>
      <c r="I10" s="7">
        <f>ROUND($B10*0.03,2)</f>
        <v>150514.26</v>
      </c>
      <c r="J10" s="7">
        <f t="shared" si="1"/>
        <v>25085.71</v>
      </c>
      <c r="K10" s="7">
        <v>51.34</v>
      </c>
      <c r="L10" s="7">
        <f>ROUND((($B10*0.22)+$K10)*0.76,2)</f>
        <v>838905.16</v>
      </c>
      <c r="M10" s="7">
        <f t="shared" si="2"/>
        <v>44152.9</v>
      </c>
      <c r="N10" s="7">
        <f>ROUND((($B10*0.22)+$K10)*0.1,2)+0.1</f>
        <v>110382.36</v>
      </c>
      <c r="O10" s="7">
        <f>ROUND((($B10*0.22)+$K10)*0.1,2)+0.16</f>
        <v>110382.42</v>
      </c>
    </row>
    <row r="11" spans="1:15" ht="14.25" customHeight="1" x14ac:dyDescent="0.25">
      <c r="A11" s="16" t="s">
        <v>28</v>
      </c>
      <c r="B11" s="7">
        <v>4715734</v>
      </c>
      <c r="C11" s="7">
        <f>ROUND($B11*0.35,2)+0.02</f>
        <v>1650506.92</v>
      </c>
      <c r="D11" s="7">
        <f>ROUND($B11*0.03,2)</f>
        <v>141472.01999999999</v>
      </c>
      <c r="E11" s="7">
        <f>ROUND($B11*0.0045,2)+0.01</f>
        <v>21220.809999999998</v>
      </c>
      <c r="F11" s="7">
        <f>ROUND(($B11*0.025)*0.9,2)-0.01</f>
        <v>106104.01000000001</v>
      </c>
      <c r="G11" s="7">
        <f>ROUND(($B11*0.02)*0.9,2)</f>
        <v>84883.21</v>
      </c>
      <c r="H11" s="7">
        <f>ROUND($B11*0.02,2)</f>
        <v>94314.68</v>
      </c>
      <c r="I11" s="7">
        <f>ROUND($B11*0.03,2)</f>
        <v>141472.01999999999</v>
      </c>
      <c r="J11" s="7">
        <f t="shared" si="1"/>
        <v>23578.67</v>
      </c>
      <c r="K11" s="7">
        <v>34.35</v>
      </c>
      <c r="L11" s="7">
        <f>ROUND((($B11*0.22)+$K11)*0.76,2)+0.01</f>
        <v>788496.84</v>
      </c>
      <c r="M11" s="7">
        <f t="shared" si="2"/>
        <v>41499.83</v>
      </c>
      <c r="N11" s="7">
        <f>ROUND((($B11*0.22)+$K11)*0.1,2)-0.06</f>
        <v>103749.52</v>
      </c>
      <c r="O11" s="7">
        <f>ROUND((($B11*0.22)+$K11)*0.1,2)-0.16</f>
        <v>103749.42</v>
      </c>
    </row>
    <row r="12" spans="1:15" ht="14.25" customHeight="1" x14ac:dyDescent="0.25">
      <c r="A12" s="18" t="s">
        <v>29</v>
      </c>
      <c r="B12" s="7">
        <v>5359200.0999999996</v>
      </c>
      <c r="C12" s="7">
        <f>ROUND($B12*0.35,2)-0.01</f>
        <v>1875720.03</v>
      </c>
      <c r="D12" s="7">
        <f>ROUND($B12*0.03,2)</f>
        <v>160776</v>
      </c>
      <c r="E12" s="7">
        <f t="shared" ref="E12:E17" si="3">ROUND($B12*0.0045,2)</f>
        <v>24116.400000000001</v>
      </c>
      <c r="F12" s="7">
        <f t="shared" ref="F12:F19" si="4">ROUND(($B12*0.025)*0.9,2)</f>
        <v>120582</v>
      </c>
      <c r="G12" s="7">
        <f>ROUND(($B12*0.02)*0.9,2)</f>
        <v>96465.600000000006</v>
      </c>
      <c r="H12" s="7">
        <f>ROUND($B12*0.02,2)</f>
        <v>107184</v>
      </c>
      <c r="I12" s="7">
        <f>ROUND($B12*0.03,2)</f>
        <v>160776</v>
      </c>
      <c r="J12" s="7">
        <f t="shared" si="1"/>
        <v>26796</v>
      </c>
      <c r="K12" s="7">
        <v>40.5</v>
      </c>
      <c r="L12" s="7">
        <f>ROUND((($B12*0.22)+$K12)*0.76,2)+0.01</f>
        <v>896089.05</v>
      </c>
      <c r="M12" s="7">
        <f t="shared" si="2"/>
        <v>47162.58</v>
      </c>
      <c r="N12" s="7">
        <f>ROUND((($B12*0.22)+$K12)*0.1,2)-0.02</f>
        <v>117906.43</v>
      </c>
      <c r="O12" s="7">
        <f>ROUND((($B12*0.22)+$K12)*0.1,2)-0.24</f>
        <v>117906.20999999999</v>
      </c>
    </row>
    <row r="13" spans="1:15" ht="14.25" customHeight="1" x14ac:dyDescent="0.25">
      <c r="A13" s="19" t="s">
        <v>30</v>
      </c>
      <c r="B13" s="7">
        <v>6967117.75</v>
      </c>
      <c r="C13" s="7">
        <f>ROUND($B13*0.35,2)+0.01</f>
        <v>2438491.2199999997</v>
      </c>
      <c r="D13" s="7">
        <f>ROUND($B13*0.03,2)+0.01</f>
        <v>209013.54</v>
      </c>
      <c r="E13" s="7">
        <f t="shared" si="3"/>
        <v>31352.03</v>
      </c>
      <c r="F13" s="7">
        <f t="shared" si="4"/>
        <v>156760.15</v>
      </c>
      <c r="G13" s="7">
        <f>ROUND(($B13*0.02)*0.9,2)</f>
        <v>125408.12</v>
      </c>
      <c r="H13" s="7">
        <f>ROUND($B13*0.02,2)</f>
        <v>139342.35999999999</v>
      </c>
      <c r="I13" s="7">
        <f>ROUND($B13*0.03,2)+0.01</f>
        <v>209013.54</v>
      </c>
      <c r="J13" s="7">
        <f t="shared" si="1"/>
        <v>34835.589999999997</v>
      </c>
      <c r="K13" s="7">
        <v>39.81</v>
      </c>
      <c r="L13" s="7">
        <f>ROUND((($B13*0.22)+$K13)*0.76,2)-0.01</f>
        <v>1164932.33</v>
      </c>
      <c r="M13" s="7">
        <f t="shared" si="2"/>
        <v>61312.23</v>
      </c>
      <c r="N13" s="7">
        <f>ROUND((($B13*0.22)+$K13)*0.1,2)+0.06</f>
        <v>153280.63</v>
      </c>
      <c r="O13" s="7">
        <f>ROUND((($B13*0.22)+$K13)*0.1,2)+0.22</f>
        <v>153280.79</v>
      </c>
    </row>
    <row r="14" spans="1:15" ht="14.25" customHeight="1" x14ac:dyDescent="0.25">
      <c r="A14" s="20" t="s">
        <v>31</v>
      </c>
      <c r="B14" s="7">
        <v>5177329.25</v>
      </c>
      <c r="C14" s="7">
        <f>ROUND($B14*0.35,2)</f>
        <v>1812065.24</v>
      </c>
      <c r="D14" s="7">
        <f>ROUND($B14*0.03,2)-0.01</f>
        <v>155319.87</v>
      </c>
      <c r="E14" s="7">
        <f t="shared" si="3"/>
        <v>23297.98</v>
      </c>
      <c r="F14" s="7">
        <f t="shared" si="4"/>
        <v>116489.91</v>
      </c>
      <c r="G14" s="7">
        <f>ROUND(($B14*0.02)*0.9,2)-0.01</f>
        <v>93191.92</v>
      </c>
      <c r="H14" s="7">
        <f>ROUND($B14*0.02,2)-0.01</f>
        <v>103546.58</v>
      </c>
      <c r="I14" s="7">
        <f>ROUND($B14*0.03,2)-0.01</f>
        <v>155319.87</v>
      </c>
      <c r="J14" s="7">
        <f t="shared" si="1"/>
        <v>25886.65</v>
      </c>
      <c r="K14" s="7">
        <v>66.290000000000006</v>
      </c>
      <c r="L14" s="7">
        <f>ROUND((($B14*0.22)+$K14)*0.76,2)+0.01</f>
        <v>865699.83999999997</v>
      </c>
      <c r="M14" s="7">
        <f t="shared" si="2"/>
        <v>45563.15</v>
      </c>
      <c r="N14" s="7">
        <f>ROUND((($B14*0.22)+$K14)*0.1,2)-0.05</f>
        <v>113907.81999999999</v>
      </c>
      <c r="O14" s="7">
        <f>ROUND((($B14*0.22)+$K14)*0.1,2)+0.09</f>
        <v>113907.95999999999</v>
      </c>
    </row>
    <row r="15" spans="1:15" ht="14.25" customHeight="1" x14ac:dyDescent="0.25">
      <c r="A15" s="21" t="s">
        <v>32</v>
      </c>
      <c r="B15" s="7">
        <v>4650989.75</v>
      </c>
      <c r="C15" s="7">
        <f>ROUND($B15*0.35,2)</f>
        <v>1627846.41</v>
      </c>
      <c r="D15" s="7">
        <f>ROUND($B15*0.03,2)+0.01</f>
        <v>139529.70000000001</v>
      </c>
      <c r="E15" s="7">
        <f t="shared" si="3"/>
        <v>20929.45</v>
      </c>
      <c r="F15" s="7">
        <f t="shared" si="4"/>
        <v>104647.27</v>
      </c>
      <c r="G15" s="7">
        <f>ROUND(($B15*0.02)*0.9,2)</f>
        <v>83717.820000000007</v>
      </c>
      <c r="H15" s="7">
        <f>ROUND($B15*0.02,2)</f>
        <v>93019.8</v>
      </c>
      <c r="I15" s="7">
        <f>ROUND($B15*0.03,2)+0.01</f>
        <v>139529.70000000001</v>
      </c>
      <c r="J15" s="7">
        <f>ROUND($B15*0.005,2)</f>
        <v>23254.95</v>
      </c>
      <c r="K15" s="7">
        <v>65.81</v>
      </c>
      <c r="L15" s="7">
        <f>ROUND((($B15*0.22)+$K15)*0.76,2)-0.01</f>
        <v>777695.49</v>
      </c>
      <c r="M15" s="7">
        <f>ROUND((($B15*0.22)+$K15)*0.04,2)</f>
        <v>40931.339999999997</v>
      </c>
      <c r="N15" s="7">
        <f>ROUND((($B15*0.22)+$K15)*0.1,2)-0.03</f>
        <v>102328.33</v>
      </c>
      <c r="O15" s="7">
        <f>ROUND((($B15*0.22)+$K15)*0.1,2)-0.09</f>
        <v>102328.27</v>
      </c>
    </row>
    <row r="16" spans="1:15" ht="14.25" customHeight="1" x14ac:dyDescent="0.25">
      <c r="A16" s="24" t="s">
        <v>34</v>
      </c>
      <c r="B16" s="7">
        <v>5407840.25</v>
      </c>
      <c r="C16" s="7">
        <f>ROUND($B16*0.35,2)</f>
        <v>1892744.09</v>
      </c>
      <c r="D16" s="7">
        <f>ROUND($B16*0.03,2)-0.01</f>
        <v>162235.19999999998</v>
      </c>
      <c r="E16" s="7">
        <f t="shared" si="3"/>
        <v>24335.279999999999</v>
      </c>
      <c r="F16" s="7">
        <f t="shared" si="4"/>
        <v>121676.41</v>
      </c>
      <c r="G16" s="7">
        <f>ROUND(($B16*0.02)*0.9,2)</f>
        <v>97341.119999999995</v>
      </c>
      <c r="H16" s="7">
        <f>ROUND($B16*0.02,2)-0.01</f>
        <v>108156.8</v>
      </c>
      <c r="I16" s="7">
        <f>ROUND($B16*0.03,2)-0.01</f>
        <v>162235.19999999998</v>
      </c>
      <c r="J16" s="7">
        <f>ROUND($B16*0.005,2)-0.01</f>
        <v>27039.190000000002</v>
      </c>
      <c r="K16" s="7">
        <v>68.14</v>
      </c>
      <c r="L16" s="7">
        <f>ROUND((($B16*0.22)+$K16)*0.76,2)+0.03</f>
        <v>904242.71000000008</v>
      </c>
      <c r="M16" s="7">
        <f>ROUND((($B16*0.22)+$K16)*0.04,2)</f>
        <v>47591.72</v>
      </c>
      <c r="N16" s="7">
        <f>ROUND((($B16*0.22)+$K16)*0.1,2)+0.04</f>
        <v>118979.34</v>
      </c>
      <c r="O16" s="7">
        <f>ROUND((($B16*0.22)+$K16)*0.1,2)-0.2</f>
        <v>118979.1</v>
      </c>
    </row>
    <row r="17" spans="1:15" ht="14.25" customHeight="1" x14ac:dyDescent="0.25">
      <c r="A17" s="25" t="s">
        <v>35</v>
      </c>
      <c r="B17" s="7">
        <v>5769249.8700000001</v>
      </c>
      <c r="C17" s="7">
        <f>ROUND($B17*0.35,2)+0.02</f>
        <v>2019237.47</v>
      </c>
      <c r="D17" s="7">
        <f>ROUND($B17*0.03,2)</f>
        <v>173077.5</v>
      </c>
      <c r="E17" s="7">
        <f t="shared" si="3"/>
        <v>25961.62</v>
      </c>
      <c r="F17" s="7">
        <f t="shared" si="4"/>
        <v>129808.12</v>
      </c>
      <c r="G17" s="7">
        <f>ROUND(($B17*0.02)*0.9,2)</f>
        <v>103846.5</v>
      </c>
      <c r="H17" s="7">
        <f>ROUND($B17*0.02,2)</f>
        <v>115385</v>
      </c>
      <c r="I17" s="7">
        <f>ROUND($B17*0.03,2)</f>
        <v>173077.5</v>
      </c>
      <c r="J17" s="7">
        <f>ROUND($B17*0.005,2)</f>
        <v>28846.25</v>
      </c>
      <c r="K17" s="7">
        <v>156.56</v>
      </c>
      <c r="L17" s="7">
        <f>ROUND((($B17*0.22)+$K17)*0.76,2)+0.02</f>
        <v>964737.58000000007</v>
      </c>
      <c r="M17" s="7">
        <f>ROUND((($B17*0.22)+$K17)*0.04,2)</f>
        <v>50775.66</v>
      </c>
      <c r="N17" s="7">
        <f>ROUND((($B17*0.22)+$K17)*0.1,2)-0.03</f>
        <v>126939.12</v>
      </c>
      <c r="O17" s="7">
        <f>ROUND((($B17*0.22)+$K17)*0.1,2)+0.44</f>
        <v>126939.59</v>
      </c>
    </row>
    <row r="18" spans="1:15" ht="14.25" customHeight="1" x14ac:dyDescent="0.25">
      <c r="A18" s="26" t="s">
        <v>36</v>
      </c>
      <c r="B18" s="7">
        <v>5474501.2199999997</v>
      </c>
      <c r="C18" s="7">
        <f>ROUND($B18*0.35,2)-0.01</f>
        <v>1916075.42</v>
      </c>
      <c r="D18" s="7">
        <f>ROUND($B18*0.03,2)-0.01</f>
        <v>164235.03</v>
      </c>
      <c r="E18" s="7">
        <f>ROUND($B18*0.0045,2)-0.01</f>
        <v>24635.25</v>
      </c>
      <c r="F18" s="7">
        <f t="shared" si="4"/>
        <v>123176.28</v>
      </c>
      <c r="G18" s="7">
        <f>ROUND(($B18*0.02)*0.9,2)</f>
        <v>98541.02</v>
      </c>
      <c r="H18" s="7">
        <f>ROUND($B18*0.02,2)</f>
        <v>109490.02</v>
      </c>
      <c r="I18" s="7">
        <f>ROUND($B18*0.03,2)-0.01</f>
        <v>164235.03</v>
      </c>
      <c r="J18" s="7">
        <f>ROUND($B18*0.005,2)</f>
        <v>27372.51</v>
      </c>
      <c r="K18" s="7">
        <v>320.52</v>
      </c>
      <c r="L18" s="7">
        <f>ROUND((($B18*0.22)+$K18)*0.76,2)+0.01</f>
        <v>915580.21</v>
      </c>
      <c r="M18" s="7">
        <f>ROUND((($B18*0.22)+$K18)*0.04,2)</f>
        <v>48188.43</v>
      </c>
      <c r="N18" s="7">
        <f>ROUND((($B18*0.22)+$K18)*0.1,2)+0.08</f>
        <v>120471.16</v>
      </c>
      <c r="O18" s="7">
        <f>ROUND((($B18*0.22)+$K18)*0.1,2)-0.37</f>
        <v>120470.71</v>
      </c>
    </row>
    <row r="19" spans="1:15" ht="14.25" customHeight="1" x14ac:dyDescent="0.25">
      <c r="A19" s="27" t="s">
        <v>38</v>
      </c>
      <c r="B19" s="7">
        <v>5820590.1799999997</v>
      </c>
      <c r="C19" s="7">
        <f>ROUND($B19*0.35,2)+0.01</f>
        <v>2037206.57</v>
      </c>
      <c r="D19" s="7">
        <f>ROUND($B19*0.03,2)-0.01</f>
        <v>174617.69999999998</v>
      </c>
      <c r="E19" s="7">
        <f>ROUND($B19*0.0045,2)</f>
        <v>26192.66</v>
      </c>
      <c r="F19" s="7">
        <f t="shared" si="4"/>
        <v>130963.28</v>
      </c>
      <c r="G19" s="7">
        <f>ROUND(($B19*0.02)*0.9,2)</f>
        <v>104770.62</v>
      </c>
      <c r="H19" s="7">
        <f>ROUND($B19*0.02,2)</f>
        <v>116411.8</v>
      </c>
      <c r="I19" s="7">
        <f>ROUND($B19*0.03,2)-0.01</f>
        <v>174617.69999999998</v>
      </c>
      <c r="J19" s="7">
        <f>ROUND($B19*0.005,2)</f>
        <v>29102.95</v>
      </c>
      <c r="K19" s="7">
        <v>630.65</v>
      </c>
      <c r="L19" s="7">
        <f>ROUND((($B19*0.22)+$K19)*0.76,2)+0.02</f>
        <v>973681.99</v>
      </c>
      <c r="M19" s="7">
        <f>ROUND((($B19*0.22)+$K19)*0.04,2)</f>
        <v>51246.42</v>
      </c>
      <c r="N19" s="7">
        <f>ROUND((($B19*0.22)+$K19)*0.1,2)-0.07</f>
        <v>128115.98</v>
      </c>
      <c r="O19" s="7">
        <f>ROUND((($B19*0.22)+$K19)*0.1,2)-0.11</f>
        <v>128115.94</v>
      </c>
    </row>
    <row r="21" spans="1:15" ht="15" customHeight="1" thickBot="1" x14ac:dyDescent="0.3">
      <c r="B21" s="8">
        <f t="shared" ref="B21:O21" si="5">SUM(B9:B20)</f>
        <v>60015030.869999997</v>
      </c>
      <c r="C21" s="8">
        <f t="shared" si="5"/>
        <v>21005260.859999999</v>
      </c>
      <c r="D21" s="8">
        <f t="shared" si="5"/>
        <v>1800450.9</v>
      </c>
      <c r="E21" s="8">
        <f t="shared" si="5"/>
        <v>270067.63</v>
      </c>
      <c r="F21" s="8">
        <f t="shared" si="5"/>
        <v>1350338.2100000002</v>
      </c>
      <c r="G21" s="8">
        <f t="shared" si="5"/>
        <v>1080270.54</v>
      </c>
      <c r="H21" s="8">
        <f t="shared" si="5"/>
        <v>1200300.6000000001</v>
      </c>
      <c r="I21" s="8">
        <f t="shared" si="5"/>
        <v>1800450.9</v>
      </c>
      <c r="J21" s="8">
        <f t="shared" si="5"/>
        <v>300075.15000000002</v>
      </c>
      <c r="K21" s="8">
        <f t="shared" si="5"/>
        <v>1523.6599999999999</v>
      </c>
      <c r="L21" s="8">
        <f t="shared" si="5"/>
        <v>10035671.26</v>
      </c>
      <c r="M21" s="8">
        <f t="shared" si="5"/>
        <v>528193.21</v>
      </c>
      <c r="N21" s="8">
        <f t="shared" si="5"/>
        <v>1320482.9599999997</v>
      </c>
      <c r="O21" s="8">
        <f t="shared" si="5"/>
        <v>1320483.0299999998</v>
      </c>
    </row>
    <row r="22" spans="1:15" ht="15" customHeight="1" thickTop="1" x14ac:dyDescent="0.25"/>
    <row r="23" spans="1:15" ht="15" customHeight="1" x14ac:dyDescent="0.25">
      <c r="A23" s="9" t="s">
        <v>14</v>
      </c>
    </row>
    <row r="24" spans="1:15" ht="15" customHeight="1" x14ac:dyDescent="0.25">
      <c r="A24" s="9" t="s">
        <v>15</v>
      </c>
    </row>
  </sheetData>
  <mergeCells count="2">
    <mergeCell ref="A1:O1"/>
    <mergeCell ref="A7:N7"/>
  </mergeCells>
  <pageMargins left="0.25" right="0.25" top="0.5" bottom="0.5" header="0" footer="0"/>
  <pageSetup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2020-09-09T18:55:45Z</cp:lastPrinted>
  <dcterms:created xsi:type="dcterms:W3CDTF">2017-06-26T17:33:37Z</dcterms:created>
  <dcterms:modified xsi:type="dcterms:W3CDTF">2022-06-09T17:30:04Z</dcterms:modified>
</cp:coreProperties>
</file>