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xr:revisionPtr revIDLastSave="0" documentId="8_{E7063212-DC82-4755-BC80-58146E3571BC}" xr6:coauthVersionLast="47" xr6:coauthVersionMax="47" xr10:uidLastSave="{00000000-0000-0000-0000-000000000000}"/>
  <bookViews>
    <workbookView xWindow="28680" yWindow="-165" windowWidth="29040" windowHeight="15720" xr2:uid="{00000000-000D-0000-FFFF-FFFF00000000}"/>
  </bookViews>
  <sheets>
    <sheet name="Weekly Summary" sheetId="3" r:id="rId1"/>
    <sheet name="Table Games" sheetId="2" r:id="rId2"/>
    <sheet name="Video" sheetId="1" r:id="rId3"/>
  </sheets>
  <definedNames>
    <definedName name="_xlnm.Print_Area" localSheetId="1">'Table Games'!$A$1:$L$20</definedName>
    <definedName name="_xlnm.Print_Area" localSheetId="2">Video!$A$1:$K$19</definedName>
    <definedName name="_xlnm.Print_Area" localSheetId="0">'Weekly Summary'!$A$1:$N$22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6" i="2" l="1"/>
  <c r="M17" i="3"/>
  <c r="J17" i="3"/>
  <c r="H17" i="3"/>
  <c r="G17" i="3"/>
  <c r="F17" i="3"/>
  <c r="E17" i="3"/>
  <c r="D17" i="3"/>
  <c r="C17" i="3"/>
  <c r="B17" i="3"/>
  <c r="A17" i="3"/>
  <c r="I14" i="1"/>
  <c r="G14" i="1"/>
  <c r="E14" i="1"/>
  <c r="J14" i="1" s="1"/>
  <c r="I16" i="2"/>
  <c r="H16" i="3"/>
  <c r="G16" i="3"/>
  <c r="F16" i="3"/>
  <c r="E16" i="3"/>
  <c r="D16" i="3"/>
  <c r="C16" i="3"/>
  <c r="B16" i="3"/>
  <c r="E13" i="1"/>
  <c r="J13" i="1" s="1"/>
  <c r="I15" i="2"/>
  <c r="J15" i="2" s="1"/>
  <c r="N17" i="3" l="1"/>
  <c r="I17" i="3"/>
  <c r="F14" i="1"/>
  <c r="H14" i="1"/>
  <c r="I13" i="1"/>
  <c r="F13" i="1"/>
  <c r="G13" i="1"/>
  <c r="H13" i="1"/>
  <c r="M16" i="3" s="1"/>
  <c r="J16" i="2"/>
  <c r="K17" i="3" s="1"/>
  <c r="K16" i="2"/>
  <c r="L17" i="3" s="1"/>
  <c r="L15" i="2"/>
  <c r="N16" i="3" s="1"/>
  <c r="I16" i="3"/>
  <c r="K16" i="3"/>
  <c r="J16" i="3"/>
  <c r="K15" i="2"/>
  <c r="L16" i="3" s="1"/>
  <c r="H15" i="3"/>
  <c r="G15" i="3"/>
  <c r="F15" i="3"/>
  <c r="E15" i="3"/>
  <c r="D15" i="3"/>
  <c r="C15" i="3"/>
  <c r="B15" i="3"/>
  <c r="I14" i="2"/>
  <c r="E12" i="1"/>
  <c r="J12" i="1" s="1"/>
  <c r="J14" i="2" l="1"/>
  <c r="L14" i="2"/>
  <c r="F12" i="1"/>
  <c r="H12" i="1"/>
  <c r="M15" i="3" s="1"/>
  <c r="I12" i="1"/>
  <c r="I15" i="3"/>
  <c r="J15" i="3"/>
  <c r="G12" i="1"/>
  <c r="K14" i="2"/>
  <c r="N15" i="3" l="1"/>
  <c r="K15" i="3"/>
  <c r="L15" i="3"/>
  <c r="H14" i="3"/>
  <c r="G14" i="3"/>
  <c r="F14" i="3"/>
  <c r="E14" i="3"/>
  <c r="D14" i="3"/>
  <c r="C14" i="3"/>
  <c r="B14" i="3"/>
  <c r="I13" i="2"/>
  <c r="K13" i="2" l="1"/>
  <c r="L13" i="2"/>
  <c r="I14" i="3"/>
  <c r="J13" i="2"/>
  <c r="E11" i="1"/>
  <c r="J14" i="3" s="1"/>
  <c r="G11" i="1" l="1"/>
  <c r="I11" i="1"/>
  <c r="N14" i="3" s="1"/>
  <c r="F11" i="1"/>
  <c r="K14" i="3" s="1"/>
  <c r="L14" i="3"/>
  <c r="H11" i="1"/>
  <c r="M14" i="3" s="1"/>
  <c r="J11" i="1"/>
  <c r="H13" i="3" l="1"/>
  <c r="G13" i="3"/>
  <c r="F13" i="3"/>
  <c r="E13" i="3"/>
  <c r="D13" i="3"/>
  <c r="C13" i="3"/>
  <c r="B13" i="3"/>
  <c r="E10" i="1"/>
  <c r="I12" i="2"/>
  <c r="L12" i="2" s="1"/>
  <c r="I10" i="1" l="1"/>
  <c r="F10" i="1"/>
  <c r="I13" i="3"/>
  <c r="N13" i="3"/>
  <c r="G10" i="1"/>
  <c r="J13" i="3"/>
  <c r="J10" i="1"/>
  <c r="H10" i="1"/>
  <c r="M13" i="3" s="1"/>
  <c r="J12" i="2"/>
  <c r="K12" i="2"/>
  <c r="K13" i="3" l="1"/>
  <c r="L13" i="3"/>
  <c r="H12" i="3" l="1"/>
  <c r="G12" i="3"/>
  <c r="F12" i="3"/>
  <c r="E12" i="3"/>
  <c r="D12" i="3"/>
  <c r="C12" i="3"/>
  <c r="B12" i="3"/>
  <c r="I11" i="2"/>
  <c r="A11" i="3"/>
  <c r="A12" i="3" s="1"/>
  <c r="A13" i="3" s="1"/>
  <c r="A14" i="3" s="1"/>
  <c r="A15" i="3" s="1"/>
  <c r="A16" i="3" s="1"/>
  <c r="A10" i="2"/>
  <c r="A11" i="2" s="1"/>
  <c r="A12" i="2" s="1"/>
  <c r="A13" i="2" s="1"/>
  <c r="A14" i="2" s="1"/>
  <c r="A15" i="2" s="1"/>
  <c r="A16" i="2" s="1"/>
  <c r="A8" i="1"/>
  <c r="A9" i="1" s="1"/>
  <c r="A10" i="1" s="1"/>
  <c r="A11" i="1" s="1"/>
  <c r="A12" i="1" s="1"/>
  <c r="A13" i="1" s="1"/>
  <c r="A14" i="1" s="1"/>
  <c r="E9" i="1"/>
  <c r="J9" i="1" s="1"/>
  <c r="I12" i="3" l="1"/>
  <c r="J11" i="2"/>
  <c r="K12" i="3" s="1"/>
  <c r="L11" i="2"/>
  <c r="F9" i="1"/>
  <c r="G9" i="1"/>
  <c r="H9" i="1"/>
  <c r="M12" i="3" s="1"/>
  <c r="J12" i="3"/>
  <c r="K11" i="2"/>
  <c r="I9" i="1"/>
  <c r="L12" i="3" l="1"/>
  <c r="N12" i="3"/>
  <c r="H11" i="3" l="1"/>
  <c r="G11" i="3"/>
  <c r="F11" i="3"/>
  <c r="E11" i="3"/>
  <c r="D11" i="3"/>
  <c r="C11" i="3"/>
  <c r="B11" i="3"/>
  <c r="E8" i="1"/>
  <c r="I10" i="2"/>
  <c r="K10" i="2" l="1"/>
  <c r="L10" i="2"/>
  <c r="J8" i="1"/>
  <c r="H8" i="1"/>
  <c r="M11" i="3" s="1"/>
  <c r="G8" i="1"/>
  <c r="F8" i="1"/>
  <c r="J11" i="3"/>
  <c r="I11" i="3"/>
  <c r="I8" i="1"/>
  <c r="J10" i="2"/>
  <c r="I9" i="2"/>
  <c r="J9" i="2" s="1"/>
  <c r="K11" i="3" l="1"/>
  <c r="L11" i="3"/>
  <c r="N11" i="3"/>
  <c r="I10" i="3"/>
  <c r="H10" i="3"/>
  <c r="G10" i="3"/>
  <c r="F10" i="3"/>
  <c r="E10" i="3"/>
  <c r="D10" i="3"/>
  <c r="C10" i="3"/>
  <c r="B10" i="3"/>
  <c r="L9" i="2"/>
  <c r="K9" i="2"/>
  <c r="E7" i="1"/>
  <c r="F7" i="1" s="1"/>
  <c r="G7" i="1" l="1"/>
  <c r="L10" i="3" s="1"/>
  <c r="H7" i="1"/>
  <c r="M10" i="3" s="1"/>
  <c r="I7" i="1"/>
  <c r="N10" i="3" s="1"/>
  <c r="J10" i="3"/>
  <c r="K10" i="3"/>
  <c r="J7" i="1"/>
  <c r="B18" i="2" l="1"/>
  <c r="C18" i="2"/>
  <c r="D18" i="2"/>
  <c r="B16" i="1" l="1"/>
  <c r="C9" i="3" l="1"/>
  <c r="C19" i="3" s="1"/>
  <c r="D9" i="3"/>
  <c r="D19" i="3" s="1"/>
  <c r="E9" i="3"/>
  <c r="E19" i="3" s="1"/>
  <c r="F9" i="3"/>
  <c r="F19" i="3" s="1"/>
  <c r="G9" i="3"/>
  <c r="G19" i="3" s="1"/>
  <c r="H9" i="3"/>
  <c r="H19" i="3" s="1"/>
  <c r="B9" i="3"/>
  <c r="B19" i="3" s="1"/>
  <c r="E18" i="2" l="1"/>
  <c r="F18" i="2"/>
  <c r="G18" i="2"/>
  <c r="H18" i="2"/>
  <c r="K16" i="1"/>
  <c r="C16" i="1"/>
  <c r="D16" i="1"/>
  <c r="I8" i="2"/>
  <c r="L8" i="2" s="1"/>
  <c r="I2" i="2"/>
  <c r="E6" i="1"/>
  <c r="I6" i="1" s="1"/>
  <c r="L18" i="2" l="1"/>
  <c r="I16" i="1"/>
  <c r="H6" i="1"/>
  <c r="G6" i="1"/>
  <c r="G16" i="1" s="1"/>
  <c r="F6" i="1"/>
  <c r="F16" i="1" s="1"/>
  <c r="K8" i="2"/>
  <c r="K18" i="2" s="1"/>
  <c r="J8" i="2"/>
  <c r="J18" i="2" s="1"/>
  <c r="J6" i="1"/>
  <c r="J16" i="1" s="1"/>
  <c r="I18" i="2"/>
  <c r="J9" i="3"/>
  <c r="J19" i="3" s="1"/>
  <c r="E16" i="1"/>
  <c r="I9" i="3"/>
  <c r="I19" i="3" s="1"/>
  <c r="N9" i="3" l="1"/>
  <c r="N19" i="3" s="1"/>
  <c r="M9" i="3"/>
  <c r="M19" i="3" s="1"/>
  <c r="H16" i="1"/>
  <c r="K9" i="3"/>
  <c r="K19" i="3" s="1"/>
  <c r="L9" i="3"/>
  <c r="L19" i="3" s="1"/>
</calcChain>
</file>

<file path=xl/sharedStrings.xml><?xml version="1.0" encoding="utf-8"?>
<sst xmlns="http://schemas.openxmlformats.org/spreadsheetml/2006/main" count="49" uniqueCount="35">
  <si>
    <t>Amount
Played</t>
  </si>
  <si>
    <t>Adjusted
Amount
Won</t>
  </si>
  <si>
    <t>Promo</t>
  </si>
  <si>
    <t>Gross
Terminal Revenue</t>
  </si>
  <si>
    <t>State
Share
36%</t>
  </si>
  <si>
    <t>Human
Resource
Benefit Fund
17%</t>
  </si>
  <si>
    <t>Capital
Reinvestment
4.7%</t>
  </si>
  <si>
    <t>Greenbrier
Share
42.3%</t>
  </si>
  <si>
    <t>Average
GTI / # Term</t>
  </si>
  <si>
    <t>**  Represents an average of the number of machines in use for the week, averaged for the fiscal year.</t>
  </si>
  <si>
    <t>Number
Terminals **</t>
  </si>
  <si>
    <t>Craps</t>
  </si>
  <si>
    <t>Mini Bac</t>
  </si>
  <si>
    <t>Poker
Tournament</t>
  </si>
  <si>
    <t>Roulette</t>
  </si>
  <si>
    <t>Single
Roulette</t>
  </si>
  <si>
    <t>Three Card
Poker</t>
  </si>
  <si>
    <t>Gross
Receipts</t>
  </si>
  <si>
    <t>State
Share
30%</t>
  </si>
  <si>
    <t>Human
Resource
Benefit Fund
5%</t>
  </si>
  <si>
    <t>Greenbrier
Share
65%</t>
  </si>
  <si>
    <t>State
Share</t>
  </si>
  <si>
    <t>Human
Resource
Benefit Fund</t>
  </si>
  <si>
    <t>Greenbrier
Share</t>
  </si>
  <si>
    <t>Capital
Reinvestment</t>
  </si>
  <si>
    <t>WEEKLY GREENBRIER HISTORIC RESORT REVENUE SUMMARY</t>
  </si>
  <si>
    <t>Blackjack</t>
  </si>
  <si>
    <t>Table Games Gross
Receipts</t>
  </si>
  <si>
    <t>Video Gross
Terminal
Revenue</t>
  </si>
  <si>
    <t>WEST VIRGINIA LOTTERY</t>
  </si>
  <si>
    <t>7/6/2024 *</t>
  </si>
  <si>
    <t xml:space="preserve">  *  Represents 6 days to start the fiscal year.</t>
  </si>
  <si>
    <t>FISCAL YEAR 2025</t>
  </si>
  <si>
    <t>FY2024</t>
  </si>
  <si>
    <t xml:space="preserve"> FOR THE WEEK ENDING AUGUST 31,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</si>
</sst>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/>
    <xf numFmtId="44" fontId="0" fillId="0" borderId="2" xfId="0" applyNumberFormat="1" applyBorder="1"/>
    <xf numFmtId="0" fontId="3" fillId="0" borderId="0" xfId="0" applyFont="1"/>
    <xf numFmtId="164" fontId="0" fillId="0" borderId="0" xfId="0" applyNumberFormat="1" applyAlignment="1">
      <alignment horizontal="center"/>
    </xf>
    <xf numFmtId="14" fontId="0" fillId="0" borderId="0" xfId="1" applyNumberFormat="1" applyFont="1" applyAlignment="1">
      <alignment horizontal="left"/>
    </xf>
    <xf numFmtId="44" fontId="0" fillId="0" borderId="0" xfId="1" applyFont="1" applyAlignment="1">
      <alignment horizontal="center"/>
    </xf>
    <xf numFmtId="44" fontId="0" fillId="0" borderId="2" xfId="1" applyFont="1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44" fontId="0" fillId="0" borderId="0" xfId="0" applyNumberFormat="1"/>
    <xf numFmtId="0" fontId="6" fillId="0" borderId="0" xfId="2" applyFont="1" applyAlignment="1">
      <alignment horizontal="lef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4">
    <cellStyle name="Currency" xfId="1" builtinId="4"/>
    <cellStyle name="Currency 2" xfId="3" xr:uid="{00000000-0005-0000-0000-000001000000}"/>
    <cellStyle name="Normal" xfId="0" builtinId="0"/>
    <cellStyle name="Normal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zoomScaleNormal="100" workbookViewId="0">
      <pane ySplit="7" topLeftCell="A8" activePane="bottomLeft" state="frozen"/>
      <selection pane="bottomLeft" activeCell="A19" sqref="A19"/>
    </sheetView>
  </sheetViews>
  <sheetFormatPr defaultRowHeight="15" customHeight="1" x14ac:dyDescent="0.25"/>
  <cols>
    <col min="1" max="1" width="12.7109375" customWidth="1"/>
    <col min="2" max="2" width="15.140625" bestFit="1" customWidth="1"/>
    <col min="3" max="4" width="13.42578125" bestFit="1" customWidth="1"/>
    <col min="5" max="5" width="13.140625" customWidth="1"/>
    <col min="6" max="6" width="14.28515625" customWidth="1"/>
    <col min="7" max="8" width="13.42578125" bestFit="1" customWidth="1"/>
    <col min="9" max="11" width="15.140625" bestFit="1" customWidth="1"/>
    <col min="12" max="12" width="14.28515625" bestFit="1" customWidth="1"/>
    <col min="13" max="13" width="13.42578125" bestFit="1" customWidth="1"/>
    <col min="14" max="14" width="15.140625" bestFit="1" customWidth="1"/>
    <col min="15" max="15" width="10.7109375" customWidth="1"/>
  </cols>
  <sheetData>
    <row r="1" spans="1:14" ht="18.75" x14ac:dyDescent="0.3">
      <c r="A1" s="17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15" customHeight="1" x14ac:dyDescent="0.25">
      <c r="A2" s="18" t="s">
        <v>25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ht="15" customHeight="1" x14ac:dyDescent="0.25">
      <c r="A3" s="18" t="s">
        <v>34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" customHeight="1" x14ac:dyDescent="0.25">
      <c r="A4" s="18" t="s">
        <v>32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7" spans="1:14" s="1" customFormat="1" ht="45" x14ac:dyDescent="0.25">
      <c r="B7" s="2" t="s">
        <v>26</v>
      </c>
      <c r="C7" s="3" t="s">
        <v>11</v>
      </c>
      <c r="D7" s="2" t="s">
        <v>12</v>
      </c>
      <c r="E7" s="2" t="s">
        <v>13</v>
      </c>
      <c r="F7" s="2" t="s">
        <v>14</v>
      </c>
      <c r="G7" s="2" t="s">
        <v>15</v>
      </c>
      <c r="H7" s="2" t="s">
        <v>16</v>
      </c>
      <c r="I7" s="2" t="s">
        <v>27</v>
      </c>
      <c r="J7" s="2" t="s">
        <v>28</v>
      </c>
      <c r="K7" s="2" t="s">
        <v>21</v>
      </c>
      <c r="L7" s="2" t="s">
        <v>22</v>
      </c>
      <c r="M7" s="2" t="s">
        <v>24</v>
      </c>
      <c r="N7" s="2" t="s">
        <v>23</v>
      </c>
    </row>
    <row r="8" spans="1:14" ht="15" customHeight="1" x14ac:dyDescent="0.25">
      <c r="A8" s="10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ht="15" customHeight="1" x14ac:dyDescent="0.25">
      <c r="A9" s="10" t="s">
        <v>30</v>
      </c>
      <c r="B9" s="6">
        <f>'Table Games'!B8</f>
        <v>133739.5</v>
      </c>
      <c r="C9" s="6">
        <f>'Table Games'!C8</f>
        <v>6326</v>
      </c>
      <c r="D9" s="6">
        <f>'Table Games'!D8</f>
        <v>0</v>
      </c>
      <c r="E9" s="6">
        <f>'Table Games'!E8</f>
        <v>0</v>
      </c>
      <c r="F9" s="6">
        <f>'Table Games'!F8</f>
        <v>15961</v>
      </c>
      <c r="G9" s="6">
        <f>'Table Games'!G8</f>
        <v>-15470</v>
      </c>
      <c r="H9" s="6">
        <f>'Table Games'!H8</f>
        <v>27597</v>
      </c>
      <c r="I9" s="6">
        <f>'Table Games'!I8</f>
        <v>168153.5</v>
      </c>
      <c r="J9" s="6">
        <f>Video!E6</f>
        <v>58500.859999999986</v>
      </c>
      <c r="K9" s="6">
        <f>'Table Games'!J8+Video!F6</f>
        <v>71506.39</v>
      </c>
      <c r="L9" s="6">
        <f>'Table Games'!K8+Video!G6</f>
        <v>18352.82</v>
      </c>
      <c r="M9" s="6">
        <f>Video!H6</f>
        <v>2749.5299999999997</v>
      </c>
      <c r="N9" s="6">
        <f>'Table Games'!L8+Video!I6</f>
        <v>134045.62</v>
      </c>
    </row>
    <row r="10" spans="1:14" ht="15" customHeight="1" x14ac:dyDescent="0.25">
      <c r="A10" s="10">
        <v>45486</v>
      </c>
      <c r="B10" s="6">
        <f>'Table Games'!B9</f>
        <v>85973</v>
      </c>
      <c r="C10" s="6">
        <f>'Table Games'!C9</f>
        <v>24977</v>
      </c>
      <c r="D10" s="6">
        <f>'Table Games'!D9</f>
        <v>0</v>
      </c>
      <c r="E10" s="6">
        <f>'Table Games'!E9</f>
        <v>0</v>
      </c>
      <c r="F10" s="6">
        <f>'Table Games'!F9</f>
        <v>5024</v>
      </c>
      <c r="G10" s="6">
        <f>'Table Games'!G9</f>
        <v>0</v>
      </c>
      <c r="H10" s="6">
        <f>'Table Games'!H9</f>
        <v>3040</v>
      </c>
      <c r="I10" s="6">
        <f>'Table Games'!I9</f>
        <v>119014</v>
      </c>
      <c r="J10" s="6">
        <f>Video!E7</f>
        <v>36672.789999999921</v>
      </c>
      <c r="K10" s="6">
        <f>'Table Games'!J9+Video!F7</f>
        <v>48906.39</v>
      </c>
      <c r="L10" s="6">
        <f>'Table Games'!K9+Video!G7</f>
        <v>12185.09</v>
      </c>
      <c r="M10" s="6">
        <f>Video!H7</f>
        <v>1723.62</v>
      </c>
      <c r="N10" s="6">
        <f>'Table Games'!L9+Video!I7</f>
        <v>92871.69</v>
      </c>
    </row>
    <row r="11" spans="1:14" ht="15" customHeight="1" x14ac:dyDescent="0.25">
      <c r="A11" s="10">
        <f t="shared" ref="A11:A17" si="0">A10+7</f>
        <v>45493</v>
      </c>
      <c r="B11" s="6">
        <f>'Table Games'!B10</f>
        <v>77511.5</v>
      </c>
      <c r="C11" s="6">
        <f>'Table Games'!C10</f>
        <v>-13636</v>
      </c>
      <c r="D11" s="6">
        <f>'Table Games'!D10</f>
        <v>-3533.75</v>
      </c>
      <c r="E11" s="6">
        <f>'Table Games'!E10</f>
        <v>0</v>
      </c>
      <c r="F11" s="6">
        <f>'Table Games'!F10</f>
        <v>4808</v>
      </c>
      <c r="G11" s="6">
        <f>'Table Games'!G10</f>
        <v>0</v>
      </c>
      <c r="H11" s="6">
        <f>'Table Games'!H10</f>
        <v>13014</v>
      </c>
      <c r="I11" s="6">
        <f>'Table Games'!I10</f>
        <v>78163.75</v>
      </c>
      <c r="J11" s="6">
        <f>Video!E8</f>
        <v>76741.550000000047</v>
      </c>
      <c r="K11" s="6">
        <f>'Table Games'!J10+Video!F8</f>
        <v>51076.07</v>
      </c>
      <c r="L11" s="6">
        <f>'Table Games'!K10+Video!G8</f>
        <v>16954.259999999998</v>
      </c>
      <c r="M11" s="6">
        <f>Video!H8</f>
        <v>3606.86</v>
      </c>
      <c r="N11" s="6">
        <f>'Table Games'!L10+Video!I8</f>
        <v>83268.11</v>
      </c>
    </row>
    <row r="12" spans="1:14" ht="15" customHeight="1" x14ac:dyDescent="0.25">
      <c r="A12" s="10">
        <f t="shared" si="0"/>
        <v>45500</v>
      </c>
      <c r="B12" s="6">
        <f>'Table Games'!B11</f>
        <v>110577.5</v>
      </c>
      <c r="C12" s="6">
        <f>'Table Games'!C11</f>
        <v>11675</v>
      </c>
      <c r="D12" s="6">
        <f>'Table Games'!D11</f>
        <v>0</v>
      </c>
      <c r="E12" s="6">
        <f>'Table Games'!E11</f>
        <v>0</v>
      </c>
      <c r="F12" s="6">
        <f>'Table Games'!F11</f>
        <v>15493</v>
      </c>
      <c r="G12" s="6">
        <f>'Table Games'!G11</f>
        <v>0</v>
      </c>
      <c r="H12" s="6">
        <f>'Table Games'!H11</f>
        <v>-471</v>
      </c>
      <c r="I12" s="6">
        <f>'Table Games'!I11</f>
        <v>137274.5</v>
      </c>
      <c r="J12" s="6">
        <f>Video!E9</f>
        <v>88563.37</v>
      </c>
      <c r="K12" s="6">
        <f>'Table Games'!J11+Video!F9</f>
        <v>73065.17</v>
      </c>
      <c r="L12" s="6">
        <f>'Table Games'!K11+Video!G9</f>
        <v>21919.489999999998</v>
      </c>
      <c r="M12" s="6">
        <f>Video!H9</f>
        <v>4162.4799999999996</v>
      </c>
      <c r="N12" s="6">
        <f>'Table Games'!L11+Video!I9</f>
        <v>126690.73</v>
      </c>
    </row>
    <row r="13" spans="1:14" ht="15" customHeight="1" x14ac:dyDescent="0.25">
      <c r="A13" s="10">
        <f t="shared" si="0"/>
        <v>45507</v>
      </c>
      <c r="B13" s="6">
        <f>'Table Games'!B12</f>
        <v>-70487</v>
      </c>
      <c r="C13" s="6">
        <f>'Table Games'!C12</f>
        <v>8075</v>
      </c>
      <c r="D13" s="6">
        <f>'Table Games'!D12</f>
        <v>0</v>
      </c>
      <c r="E13" s="6">
        <f>'Table Games'!E12</f>
        <v>0</v>
      </c>
      <c r="F13" s="6">
        <f>'Table Games'!F12</f>
        <v>11703</v>
      </c>
      <c r="G13" s="6">
        <f>'Table Games'!G12</f>
        <v>0</v>
      </c>
      <c r="H13" s="6">
        <f>'Table Games'!H12</f>
        <v>-1326</v>
      </c>
      <c r="I13" s="6">
        <f>'Table Games'!I12</f>
        <v>-52035</v>
      </c>
      <c r="J13" s="6">
        <f>Video!E10</f>
        <v>40305.890000000014</v>
      </c>
      <c r="K13" s="6">
        <f>'Table Games'!J12+Video!F10</f>
        <v>-1100.3899999999994</v>
      </c>
      <c r="L13" s="6">
        <f>'Table Games'!K12+Video!G10</f>
        <v>4250.25</v>
      </c>
      <c r="M13" s="6">
        <f>Video!H10</f>
        <v>1894.38</v>
      </c>
      <c r="N13" s="6">
        <f>'Table Games'!L12+Video!I10</f>
        <v>-16773.350000000002</v>
      </c>
    </row>
    <row r="14" spans="1:14" ht="15" customHeight="1" x14ac:dyDescent="0.25">
      <c r="A14" s="10">
        <f t="shared" si="0"/>
        <v>45514</v>
      </c>
      <c r="B14" s="6">
        <f>'Table Games'!B13</f>
        <v>-3005.5</v>
      </c>
      <c r="C14" s="6">
        <f>'Table Games'!C13</f>
        <v>8990</v>
      </c>
      <c r="D14" s="6">
        <f>'Table Games'!D13</f>
        <v>0</v>
      </c>
      <c r="E14" s="6">
        <f>'Table Games'!E13</f>
        <v>0</v>
      </c>
      <c r="F14" s="6">
        <f>'Table Games'!F13</f>
        <v>16450</v>
      </c>
      <c r="G14" s="6">
        <f>'Table Games'!G13</f>
        <v>0</v>
      </c>
      <c r="H14" s="6">
        <f>'Table Games'!H13</f>
        <v>12698</v>
      </c>
      <c r="I14" s="6">
        <f>'Table Games'!I13</f>
        <v>35132.5</v>
      </c>
      <c r="J14" s="6">
        <f>Video!E11</f>
        <v>90079.019999999786</v>
      </c>
      <c r="K14" s="6">
        <f>'Table Games'!J13+Video!F11</f>
        <v>42968.2</v>
      </c>
      <c r="L14" s="6">
        <f>'Table Games'!K13+Video!G11</f>
        <v>17070.07</v>
      </c>
      <c r="M14" s="6">
        <f>Video!H11</f>
        <v>4233.71</v>
      </c>
      <c r="N14" s="6">
        <f>'Table Games'!L13+Video!I11</f>
        <v>60939.54</v>
      </c>
    </row>
    <row r="15" spans="1:14" ht="15" customHeight="1" x14ac:dyDescent="0.25">
      <c r="A15" s="10">
        <f t="shared" si="0"/>
        <v>45521</v>
      </c>
      <c r="B15" s="6">
        <f>'Table Games'!B14</f>
        <v>116241</v>
      </c>
      <c r="C15" s="6">
        <f>'Table Games'!C14</f>
        <v>28743</v>
      </c>
      <c r="D15" s="6">
        <f>'Table Games'!D14</f>
        <v>26503.75</v>
      </c>
      <c r="E15" s="6">
        <f>'Table Games'!E14</f>
        <v>0</v>
      </c>
      <c r="F15" s="6">
        <f>'Table Games'!F14</f>
        <v>-18083</v>
      </c>
      <c r="G15" s="6">
        <f>'Table Games'!G14</f>
        <v>150</v>
      </c>
      <c r="H15" s="6">
        <f>'Table Games'!H14</f>
        <v>7216</v>
      </c>
      <c r="I15" s="6">
        <f>'Table Games'!I14</f>
        <v>160770.75</v>
      </c>
      <c r="J15" s="6">
        <f>Video!E12</f>
        <v>29528.020000000019</v>
      </c>
      <c r="K15" s="6">
        <f>'Table Games'!J14+Video!F12</f>
        <v>58861.29</v>
      </c>
      <c r="L15" s="6">
        <f>'Table Games'!K14+Video!G12</f>
        <v>13058.3</v>
      </c>
      <c r="M15" s="6">
        <f>Video!H12</f>
        <v>1387.83</v>
      </c>
      <c r="N15" s="6">
        <f>'Table Games'!L14+Video!I12</f>
        <v>116991.35</v>
      </c>
    </row>
    <row r="16" spans="1:14" ht="15" customHeight="1" x14ac:dyDescent="0.25">
      <c r="A16" s="10">
        <f t="shared" si="0"/>
        <v>45528</v>
      </c>
      <c r="B16" s="6">
        <f>'Table Games'!B15</f>
        <v>246018</v>
      </c>
      <c r="C16" s="6">
        <f>'Table Games'!C15</f>
        <v>2067</v>
      </c>
      <c r="D16" s="6">
        <f>'Table Games'!D15</f>
        <v>1015</v>
      </c>
      <c r="E16" s="6">
        <f>'Table Games'!E15</f>
        <v>0</v>
      </c>
      <c r="F16" s="6">
        <f>'Table Games'!F15</f>
        <v>2770</v>
      </c>
      <c r="G16" s="6">
        <f>'Table Games'!G15</f>
        <v>1050</v>
      </c>
      <c r="H16" s="6">
        <f>'Table Games'!H15</f>
        <v>8858</v>
      </c>
      <c r="I16" s="6">
        <f>'Table Games'!I15</f>
        <v>261778</v>
      </c>
      <c r="J16" s="6">
        <f>Video!E13</f>
        <v>77303.739999999991</v>
      </c>
      <c r="K16" s="6">
        <f>'Table Games'!J15+Video!F13</f>
        <v>106362.73999999999</v>
      </c>
      <c r="L16" s="6">
        <f>'Table Games'!K15+Video!G13</f>
        <v>26230.53</v>
      </c>
      <c r="M16" s="6">
        <f>Video!H13</f>
        <v>3633.27</v>
      </c>
      <c r="N16" s="6">
        <f>'Table Games'!L15+Video!I13</f>
        <v>202855.2</v>
      </c>
    </row>
    <row r="17" spans="1:14" ht="15" customHeight="1" x14ac:dyDescent="0.25">
      <c r="A17" s="10">
        <f t="shared" si="0"/>
        <v>45535</v>
      </c>
      <c r="B17" s="6">
        <f>'Table Games'!B16</f>
        <v>15999.5</v>
      </c>
      <c r="C17" s="6">
        <f>'Table Games'!C16</f>
        <v>-8401</v>
      </c>
      <c r="D17" s="6">
        <f>'Table Games'!D16</f>
        <v>0</v>
      </c>
      <c r="E17" s="6">
        <f>'Table Games'!E16</f>
        <v>0</v>
      </c>
      <c r="F17" s="6">
        <f>'Table Games'!F16</f>
        <v>5446</v>
      </c>
      <c r="G17" s="6">
        <f>'Table Games'!G16</f>
        <v>1098</v>
      </c>
      <c r="H17" s="6">
        <f>'Table Games'!H16</f>
        <v>5782</v>
      </c>
      <c r="I17" s="6">
        <f>'Table Games'!I16</f>
        <v>19924.5</v>
      </c>
      <c r="J17" s="6">
        <f>Video!E14</f>
        <v>48201.400000000023</v>
      </c>
      <c r="K17" s="6">
        <f>'Table Games'!J16+Video!F14</f>
        <v>23329.85</v>
      </c>
      <c r="L17" s="6">
        <f>'Table Games'!K16+Video!G14</f>
        <v>9190.4599999999991</v>
      </c>
      <c r="M17" s="6">
        <f>Video!H14</f>
        <v>2265.4699999999998</v>
      </c>
      <c r="N17" s="6">
        <f>'Table Games'!L16+Video!I14</f>
        <v>33340.119999999995</v>
      </c>
    </row>
    <row r="18" spans="1:14" ht="15" customHeight="1" x14ac:dyDescent="0.25">
      <c r="A18" s="10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ht="15" customHeight="1" thickBot="1" x14ac:dyDescent="0.3">
      <c r="B19" s="7">
        <f t="shared" ref="B19:N19" si="1">SUM(B9:B18)</f>
        <v>712567.5</v>
      </c>
      <c r="C19" s="7">
        <f t="shared" si="1"/>
        <v>68816</v>
      </c>
      <c r="D19" s="7">
        <f t="shared" si="1"/>
        <v>23985</v>
      </c>
      <c r="E19" s="7">
        <f t="shared" si="1"/>
        <v>0</v>
      </c>
      <c r="F19" s="7">
        <f t="shared" si="1"/>
        <v>59572</v>
      </c>
      <c r="G19" s="7">
        <f t="shared" si="1"/>
        <v>-13172</v>
      </c>
      <c r="H19" s="7">
        <f t="shared" si="1"/>
        <v>76408</v>
      </c>
      <c r="I19" s="7">
        <f t="shared" si="1"/>
        <v>928176.5</v>
      </c>
      <c r="J19" s="7">
        <f t="shared" si="1"/>
        <v>545896.63999999978</v>
      </c>
      <c r="K19" s="7">
        <f t="shared" si="1"/>
        <v>474975.70999999996</v>
      </c>
      <c r="L19" s="7">
        <f t="shared" si="1"/>
        <v>139211.27000000002</v>
      </c>
      <c r="M19" s="7">
        <f t="shared" si="1"/>
        <v>25657.149999999998</v>
      </c>
      <c r="N19" s="7">
        <f t="shared" si="1"/>
        <v>834229.00999999989</v>
      </c>
    </row>
    <row r="20" spans="1:14" ht="15" customHeight="1" thickTop="1" x14ac:dyDescent="0.25"/>
    <row r="21" spans="1:14" ht="15" customHeight="1" x14ac:dyDescent="0.25">
      <c r="A21" s="15" t="s">
        <v>31</v>
      </c>
    </row>
    <row r="22" spans="1:14" ht="15" customHeight="1" x14ac:dyDescent="0.25">
      <c r="A22" s="16"/>
    </row>
  </sheetData>
  <mergeCells count="4">
    <mergeCell ref="A1:N1"/>
    <mergeCell ref="A2:N2"/>
    <mergeCell ref="A4:N4"/>
    <mergeCell ref="A3:N3"/>
  </mergeCells>
  <pageMargins left="0.25" right="0.25" top="0.5" bottom="0.5" header="0" footer="0"/>
  <pageSetup scale="67" orientation="landscape" r:id="rId1"/>
  <headerFooter>
    <oddFooter>&amp;L&amp;"Arial,Regular"&amp;8&amp;F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0"/>
  <sheetViews>
    <sheetView zoomScaleNormal="100" workbookViewId="0">
      <pane ySplit="5" topLeftCell="A6" activePane="bottomLeft" state="frozen"/>
      <selection pane="bottomLeft" activeCell="A18" sqref="A18"/>
    </sheetView>
  </sheetViews>
  <sheetFormatPr defaultRowHeight="15" customHeight="1" x14ac:dyDescent="0.25"/>
  <cols>
    <col min="1" max="1" width="12.7109375" customWidth="1"/>
    <col min="2" max="2" width="15" bestFit="1" customWidth="1"/>
    <col min="3" max="3" width="13.28515625" bestFit="1" customWidth="1"/>
    <col min="4" max="4" width="14.85546875" customWidth="1"/>
    <col min="5" max="5" width="13.42578125" bestFit="1" customWidth="1"/>
    <col min="6" max="6" width="14.7109375" customWidth="1"/>
    <col min="7" max="7" width="14.28515625" bestFit="1" customWidth="1"/>
    <col min="8" max="8" width="13.28515625" bestFit="1" customWidth="1"/>
    <col min="9" max="10" width="15" bestFit="1" customWidth="1"/>
    <col min="11" max="11" width="14.28515625" bestFit="1" customWidth="1"/>
    <col min="12" max="12" width="15" bestFit="1" customWidth="1"/>
    <col min="13" max="13" width="10.7109375" customWidth="1"/>
  </cols>
  <sheetData>
    <row r="1" spans="1:12" s="1" customFormat="1" ht="60" x14ac:dyDescent="0.25">
      <c r="B1" s="2" t="s">
        <v>26</v>
      </c>
      <c r="C1" s="3" t="s">
        <v>11</v>
      </c>
      <c r="D1" s="2" t="s">
        <v>12</v>
      </c>
      <c r="E1" s="2" t="s">
        <v>13</v>
      </c>
      <c r="F1" s="2" t="s">
        <v>14</v>
      </c>
      <c r="G1" s="2" t="s">
        <v>15</v>
      </c>
      <c r="H1" s="2" t="s">
        <v>16</v>
      </c>
      <c r="I1" s="2" t="s">
        <v>17</v>
      </c>
      <c r="J1" s="2" t="s">
        <v>18</v>
      </c>
      <c r="K1" s="2" t="s">
        <v>19</v>
      </c>
      <c r="L1" s="2" t="s">
        <v>20</v>
      </c>
    </row>
    <row r="2" spans="1:12" s="1" customFormat="1" ht="15" customHeight="1" x14ac:dyDescent="0.25">
      <c r="B2" s="4">
        <v>22</v>
      </c>
      <c r="C2" s="9">
        <v>2</v>
      </c>
      <c r="D2" s="4">
        <v>1</v>
      </c>
      <c r="E2" s="4"/>
      <c r="F2" s="4">
        <v>2</v>
      </c>
      <c r="G2" s="4">
        <v>1</v>
      </c>
      <c r="H2" s="4">
        <v>2</v>
      </c>
      <c r="I2" s="4">
        <f>SUM(B2:H2)</f>
        <v>30</v>
      </c>
      <c r="J2" s="5"/>
      <c r="K2" s="5"/>
      <c r="L2" s="5"/>
    </row>
    <row r="3" spans="1:12" s="1" customFormat="1" ht="15" customHeight="1" x14ac:dyDescent="0.25">
      <c r="B3" s="5"/>
      <c r="D3" s="5"/>
      <c r="E3" s="5"/>
      <c r="F3" s="5"/>
      <c r="G3" s="5"/>
      <c r="H3" s="5"/>
      <c r="I3" s="5"/>
      <c r="J3" s="5"/>
      <c r="K3" s="5"/>
      <c r="L3" s="5"/>
    </row>
    <row r="4" spans="1:12" ht="15" customHeight="1" x14ac:dyDescent="0.25">
      <c r="A4" t="s">
        <v>33</v>
      </c>
      <c r="B4" s="14">
        <v>4331221.9969999995</v>
      </c>
      <c r="C4" s="14">
        <v>735138</v>
      </c>
      <c r="D4" s="14">
        <v>6904.25</v>
      </c>
      <c r="E4" s="14">
        <v>2095</v>
      </c>
      <c r="F4" s="14">
        <v>535505</v>
      </c>
      <c r="G4" s="14">
        <v>9561</v>
      </c>
      <c r="H4" s="14">
        <v>436137</v>
      </c>
      <c r="I4" s="14">
        <v>6056562.2470000004</v>
      </c>
      <c r="J4" s="14">
        <v>1816968.6800000009</v>
      </c>
      <c r="K4" s="14">
        <v>302828.21999999997</v>
      </c>
      <c r="L4" s="14">
        <v>3936765.3499999996</v>
      </c>
    </row>
    <row r="6" spans="1:12" ht="15" customHeight="1" x14ac:dyDescent="0.25">
      <c r="A6" s="19" t="s">
        <v>32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2" ht="15" customHeight="1" x14ac:dyDescent="0.25">
      <c r="A7" s="10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5" customHeight="1" x14ac:dyDescent="0.25">
      <c r="A8" s="10" t="s">
        <v>30</v>
      </c>
      <c r="B8" s="6">
        <v>133739.5</v>
      </c>
      <c r="C8" s="6">
        <v>6326</v>
      </c>
      <c r="D8" s="6">
        <v>0</v>
      </c>
      <c r="E8" s="6">
        <v>0</v>
      </c>
      <c r="F8" s="6">
        <v>15961</v>
      </c>
      <c r="G8" s="6">
        <v>-15470</v>
      </c>
      <c r="H8" s="6">
        <v>27597</v>
      </c>
      <c r="I8" s="6">
        <f t="shared" ref="I8" si="0">SUM(B8:H8)</f>
        <v>168153.5</v>
      </c>
      <c r="J8" s="6">
        <f t="shared" ref="J8:J10" si="1">ROUND($I8*0.3,2)</f>
        <v>50446.05</v>
      </c>
      <c r="K8" s="6">
        <f t="shared" ref="K8:K16" si="2">ROUND($I8*0.05,2)</f>
        <v>8407.68</v>
      </c>
      <c r="L8" s="6">
        <f>ROUND($I8*0.65,2)-0.01</f>
        <v>109299.77</v>
      </c>
    </row>
    <row r="9" spans="1:12" ht="15" customHeight="1" x14ac:dyDescent="0.25">
      <c r="A9" s="10">
        <v>45486</v>
      </c>
      <c r="B9" s="6">
        <v>85973</v>
      </c>
      <c r="C9" s="6">
        <v>24977</v>
      </c>
      <c r="D9" s="6">
        <v>0</v>
      </c>
      <c r="E9" s="6">
        <v>0</v>
      </c>
      <c r="F9" s="6">
        <v>5024</v>
      </c>
      <c r="G9" s="6">
        <v>0</v>
      </c>
      <c r="H9" s="6">
        <v>3040</v>
      </c>
      <c r="I9" s="6">
        <f t="shared" ref="I9" si="3">SUM(B9:H9)</f>
        <v>119014</v>
      </c>
      <c r="J9" s="6">
        <f t="shared" si="1"/>
        <v>35704.199999999997</v>
      </c>
      <c r="K9" s="6">
        <f t="shared" si="2"/>
        <v>5950.7</v>
      </c>
      <c r="L9" s="6">
        <f>ROUND($I9*0.65,2)</f>
        <v>77359.100000000006</v>
      </c>
    </row>
    <row r="10" spans="1:12" ht="15" customHeight="1" x14ac:dyDescent="0.25">
      <c r="A10" s="10">
        <f t="shared" ref="A10:A16" si="4">A9+7</f>
        <v>45493</v>
      </c>
      <c r="B10" s="6">
        <v>77511.5</v>
      </c>
      <c r="C10" s="6">
        <v>-13636</v>
      </c>
      <c r="D10" s="6">
        <v>-3533.75</v>
      </c>
      <c r="E10" s="6">
        <v>0</v>
      </c>
      <c r="F10" s="6">
        <v>4808</v>
      </c>
      <c r="G10" s="6">
        <v>0</v>
      </c>
      <c r="H10" s="6">
        <v>13014</v>
      </c>
      <c r="I10" s="6">
        <f t="shared" ref="I10" si="5">SUM(B10:H10)</f>
        <v>78163.75</v>
      </c>
      <c r="J10" s="6">
        <f t="shared" si="1"/>
        <v>23449.13</v>
      </c>
      <c r="K10" s="6">
        <f t="shared" si="2"/>
        <v>3908.19</v>
      </c>
      <c r="L10" s="6">
        <f>ROUND($I10*0.65,2)-0.01</f>
        <v>50806.43</v>
      </c>
    </row>
    <row r="11" spans="1:12" ht="15" customHeight="1" x14ac:dyDescent="0.25">
      <c r="A11" s="10">
        <f t="shared" si="4"/>
        <v>45500</v>
      </c>
      <c r="B11" s="6">
        <v>110577.5</v>
      </c>
      <c r="C11" s="6">
        <v>11675</v>
      </c>
      <c r="D11" s="6">
        <v>0</v>
      </c>
      <c r="E11" s="6">
        <v>0</v>
      </c>
      <c r="F11" s="6">
        <v>15493</v>
      </c>
      <c r="G11" s="6">
        <v>0</v>
      </c>
      <c r="H11" s="6">
        <v>-471</v>
      </c>
      <c r="I11" s="6">
        <f t="shared" ref="I11" si="6">SUM(B11:H11)</f>
        <v>137274.5</v>
      </c>
      <c r="J11" s="6">
        <f t="shared" ref="J11:J16" si="7">ROUND($I11*0.3,2)</f>
        <v>41182.35</v>
      </c>
      <c r="K11" s="6">
        <f t="shared" si="2"/>
        <v>6863.73</v>
      </c>
      <c r="L11" s="6">
        <f>ROUND($I11*0.65,2)-0.01</f>
        <v>89228.42</v>
      </c>
    </row>
    <row r="12" spans="1:12" ht="15" customHeight="1" x14ac:dyDescent="0.25">
      <c r="A12" s="10">
        <f t="shared" si="4"/>
        <v>45507</v>
      </c>
      <c r="B12" s="6">
        <v>-70487</v>
      </c>
      <c r="C12" s="6">
        <v>8075</v>
      </c>
      <c r="D12" s="6">
        <v>0</v>
      </c>
      <c r="E12" s="6">
        <v>0</v>
      </c>
      <c r="F12" s="6">
        <v>11703</v>
      </c>
      <c r="G12" s="6">
        <v>0</v>
      </c>
      <c r="H12" s="6">
        <v>-1326</v>
      </c>
      <c r="I12" s="6">
        <f t="shared" ref="I12" si="8">SUM(B12:H12)</f>
        <v>-52035</v>
      </c>
      <c r="J12" s="6">
        <f t="shared" si="7"/>
        <v>-15610.5</v>
      </c>
      <c r="K12" s="6">
        <f t="shared" si="2"/>
        <v>-2601.75</v>
      </c>
      <c r="L12" s="6">
        <f>ROUND($I12*0.65,2)</f>
        <v>-33822.75</v>
      </c>
    </row>
    <row r="13" spans="1:12" ht="15" customHeight="1" x14ac:dyDescent="0.25">
      <c r="A13" s="10">
        <f t="shared" si="4"/>
        <v>45514</v>
      </c>
      <c r="B13" s="6">
        <v>-3005.5</v>
      </c>
      <c r="C13" s="6">
        <v>8990</v>
      </c>
      <c r="D13" s="6">
        <v>0</v>
      </c>
      <c r="E13" s="6">
        <v>0</v>
      </c>
      <c r="F13" s="6">
        <v>16450</v>
      </c>
      <c r="G13" s="6">
        <v>0</v>
      </c>
      <c r="H13" s="6">
        <v>12698</v>
      </c>
      <c r="I13" s="6">
        <f t="shared" ref="I13" si="9">SUM(B13:H13)</f>
        <v>35132.5</v>
      </c>
      <c r="J13" s="6">
        <f t="shared" si="7"/>
        <v>10539.75</v>
      </c>
      <c r="K13" s="6">
        <f t="shared" si="2"/>
        <v>1756.63</v>
      </c>
      <c r="L13" s="6">
        <f>ROUND($I13*0.65,2)-0.01</f>
        <v>22836.120000000003</v>
      </c>
    </row>
    <row r="14" spans="1:12" ht="15" customHeight="1" x14ac:dyDescent="0.25">
      <c r="A14" s="10">
        <f t="shared" si="4"/>
        <v>45521</v>
      </c>
      <c r="B14" s="6">
        <v>116241</v>
      </c>
      <c r="C14" s="6">
        <v>28743</v>
      </c>
      <c r="D14" s="6">
        <v>26503.75</v>
      </c>
      <c r="E14" s="6">
        <v>0</v>
      </c>
      <c r="F14" s="6">
        <v>-18083</v>
      </c>
      <c r="G14" s="6">
        <v>150</v>
      </c>
      <c r="H14" s="6">
        <v>7216</v>
      </c>
      <c r="I14" s="6">
        <f t="shared" ref="I14" si="10">SUM(B14:H14)</f>
        <v>160770.75</v>
      </c>
      <c r="J14" s="6">
        <f t="shared" si="7"/>
        <v>48231.23</v>
      </c>
      <c r="K14" s="6">
        <f t="shared" si="2"/>
        <v>8038.54</v>
      </c>
      <c r="L14" s="6">
        <f>ROUND($I14*0.65,2)-0.01</f>
        <v>104500.98000000001</v>
      </c>
    </row>
    <row r="15" spans="1:12" ht="15" customHeight="1" x14ac:dyDescent="0.25">
      <c r="A15" s="10">
        <f t="shared" si="4"/>
        <v>45528</v>
      </c>
      <c r="B15" s="6">
        <v>246018</v>
      </c>
      <c r="C15" s="6">
        <v>2067</v>
      </c>
      <c r="D15" s="6">
        <v>1015</v>
      </c>
      <c r="E15" s="6">
        <v>0</v>
      </c>
      <c r="F15" s="6">
        <v>2770</v>
      </c>
      <c r="G15" s="6">
        <v>1050</v>
      </c>
      <c r="H15" s="6">
        <v>8858</v>
      </c>
      <c r="I15" s="6">
        <f t="shared" ref="I15" si="11">SUM(B15:H15)</f>
        <v>261778</v>
      </c>
      <c r="J15" s="6">
        <f t="shared" si="7"/>
        <v>78533.399999999994</v>
      </c>
      <c r="K15" s="6">
        <f t="shared" si="2"/>
        <v>13088.9</v>
      </c>
      <c r="L15" s="6">
        <f>ROUND($I15*0.65,2)</f>
        <v>170155.7</v>
      </c>
    </row>
    <row r="16" spans="1:12" ht="15" customHeight="1" x14ac:dyDescent="0.25">
      <c r="A16" s="10">
        <f t="shared" si="4"/>
        <v>45535</v>
      </c>
      <c r="B16" s="6">
        <v>15999.5</v>
      </c>
      <c r="C16" s="6">
        <v>-8401</v>
      </c>
      <c r="D16" s="6">
        <v>0</v>
      </c>
      <c r="E16" s="6">
        <v>0</v>
      </c>
      <c r="F16" s="6">
        <v>5446</v>
      </c>
      <c r="G16" s="6">
        <v>1098</v>
      </c>
      <c r="H16" s="6">
        <v>5782</v>
      </c>
      <c r="I16" s="6">
        <f t="shared" ref="I16" si="12">SUM(B16:H16)</f>
        <v>19924.5</v>
      </c>
      <c r="J16" s="6">
        <f t="shared" si="7"/>
        <v>5977.35</v>
      </c>
      <c r="K16" s="6">
        <f t="shared" si="2"/>
        <v>996.23</v>
      </c>
      <c r="L16" s="6">
        <f>ROUND($I16*0.65,2)-0.01</f>
        <v>12950.92</v>
      </c>
    </row>
    <row r="17" spans="1:12" ht="15" customHeight="1" x14ac:dyDescent="0.25">
      <c r="A17" s="10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ht="15" customHeight="1" thickBot="1" x14ac:dyDescent="0.3">
      <c r="B18" s="7">
        <f t="shared" ref="B18:L18" si="13">SUM(B8:B17)</f>
        <v>712567.5</v>
      </c>
      <c r="C18" s="7">
        <f t="shared" si="13"/>
        <v>68816</v>
      </c>
      <c r="D18" s="7">
        <f t="shared" si="13"/>
        <v>23985</v>
      </c>
      <c r="E18" s="7">
        <f t="shared" si="13"/>
        <v>0</v>
      </c>
      <c r="F18" s="7">
        <f t="shared" si="13"/>
        <v>59572</v>
      </c>
      <c r="G18" s="7">
        <f t="shared" si="13"/>
        <v>-13172</v>
      </c>
      <c r="H18" s="7">
        <f t="shared" si="13"/>
        <v>76408</v>
      </c>
      <c r="I18" s="7">
        <f t="shared" si="13"/>
        <v>928176.5</v>
      </c>
      <c r="J18" s="7">
        <f t="shared" si="13"/>
        <v>278452.95999999996</v>
      </c>
      <c r="K18" s="7">
        <f t="shared" si="13"/>
        <v>46408.850000000006</v>
      </c>
      <c r="L18" s="7">
        <f t="shared" si="13"/>
        <v>603314.69000000006</v>
      </c>
    </row>
    <row r="19" spans="1:12" ht="15" customHeight="1" thickTop="1" x14ac:dyDescent="0.25"/>
    <row r="20" spans="1:12" ht="15" customHeight="1" x14ac:dyDescent="0.25">
      <c r="A20" s="15" t="s">
        <v>31</v>
      </c>
    </row>
  </sheetData>
  <mergeCells count="1">
    <mergeCell ref="A6:L6"/>
  </mergeCells>
  <pageMargins left="0.25" right="0.25" top="0.75" bottom="0.5" header="0.25" footer="0"/>
  <pageSetup scale="78" orientation="landscape" r:id="rId1"/>
  <headerFooter>
    <oddHeader>&amp;C&amp;"Arial,Italic"&amp;10GREENBRIER HISTORIC RESORT TABLE GAMES</oddHeader>
    <oddFooter>&amp;L&amp;"Arial,Regular"&amp;8&amp;F</oddFooter>
  </headerFooter>
  <ignoredErrors>
    <ignoredError sqref="I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9"/>
  <sheetViews>
    <sheetView zoomScaleNormal="100" workbookViewId="0">
      <pane ySplit="3" topLeftCell="A4" activePane="bottomLeft" state="frozen"/>
      <selection pane="bottomLeft" activeCell="A16" sqref="A16"/>
    </sheetView>
  </sheetViews>
  <sheetFormatPr defaultRowHeight="15" customHeight="1" x14ac:dyDescent="0.25"/>
  <cols>
    <col min="1" max="1" width="12.7109375" customWidth="1"/>
    <col min="2" max="2" width="18" bestFit="1" customWidth="1"/>
    <col min="3" max="3" width="16.140625" bestFit="1" customWidth="1"/>
    <col min="4" max="4" width="15" bestFit="1" customWidth="1"/>
    <col min="5" max="5" width="14.7109375" customWidth="1"/>
    <col min="6" max="6" width="15" bestFit="1" customWidth="1"/>
    <col min="7" max="7" width="13.28515625" bestFit="1" customWidth="1"/>
    <col min="8" max="8" width="13.7109375" customWidth="1"/>
    <col min="9" max="9" width="15" bestFit="1" customWidth="1"/>
    <col min="10" max="10" width="11.7109375" customWidth="1"/>
    <col min="11" max="11" width="12.7109375" customWidth="1"/>
  </cols>
  <sheetData>
    <row r="1" spans="1:11" s="1" customFormat="1" ht="60" x14ac:dyDescent="0.25">
      <c r="B1" s="2" t="s">
        <v>0</v>
      </c>
      <c r="C1" s="2" t="s">
        <v>1</v>
      </c>
      <c r="D1" s="3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10</v>
      </c>
    </row>
    <row r="2" spans="1:11" ht="15" customHeight="1" x14ac:dyDescent="0.25">
      <c r="A2" t="s">
        <v>33</v>
      </c>
      <c r="B2" s="14">
        <v>54665875.810000002</v>
      </c>
      <c r="C2" s="14">
        <v>49678505.260000005</v>
      </c>
      <c r="D2" s="14">
        <v>970356</v>
      </c>
      <c r="E2" s="14">
        <v>4017014.5500000012</v>
      </c>
      <c r="F2" s="14">
        <v>1446125.16</v>
      </c>
      <c r="G2" s="14">
        <v>682892.52000000014</v>
      </c>
      <c r="H2" s="14">
        <v>188799.68000000002</v>
      </c>
      <c r="I2" s="14">
        <v>1699197.1900000002</v>
      </c>
      <c r="J2" s="14">
        <v>616.75</v>
      </c>
      <c r="K2" s="9">
        <v>119</v>
      </c>
    </row>
    <row r="4" spans="1:11" ht="15" customHeight="1" x14ac:dyDescent="0.25">
      <c r="A4" s="19" t="s">
        <v>32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1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ht="15" customHeight="1" x14ac:dyDescent="0.25">
      <c r="A6" s="10" t="s">
        <v>30</v>
      </c>
      <c r="B6" s="6">
        <v>896542.18</v>
      </c>
      <c r="C6" s="6">
        <v>827255.32000000007</v>
      </c>
      <c r="D6" s="6">
        <v>10786</v>
      </c>
      <c r="E6" s="6">
        <f t="shared" ref="E6" si="0">B6-C6-D6</f>
        <v>58500.859999999986</v>
      </c>
      <c r="F6" s="6">
        <f>ROUND($E6*0.36,2)+0.03</f>
        <v>21060.34</v>
      </c>
      <c r="G6" s="6">
        <f>ROUND($E6*0.17,2)-0.01</f>
        <v>9945.14</v>
      </c>
      <c r="H6" s="6">
        <f>ROUND($E6*0.047,2)-0.01</f>
        <v>2749.5299999999997</v>
      </c>
      <c r="I6" s="6">
        <f>ROUND($E6*0.423,2)-0.01</f>
        <v>24745.850000000002</v>
      </c>
      <c r="J6" s="11">
        <f t="shared" ref="J6" si="1">E6/K6</f>
        <v>504.31775862068952</v>
      </c>
      <c r="K6" s="9">
        <v>116</v>
      </c>
    </row>
    <row r="7" spans="1:11" ht="15" customHeight="1" x14ac:dyDescent="0.25">
      <c r="A7" s="10">
        <v>45486</v>
      </c>
      <c r="B7" s="6">
        <v>772674.57</v>
      </c>
      <c r="C7" s="6">
        <v>724611.78</v>
      </c>
      <c r="D7" s="6">
        <v>11390</v>
      </c>
      <c r="E7" s="6">
        <f t="shared" ref="E7" si="2">B7-C7-D7</f>
        <v>36672.789999999921</v>
      </c>
      <c r="F7" s="6">
        <f>ROUND($E7*0.36,2)-0.01</f>
        <v>13202.19</v>
      </c>
      <c r="G7" s="6">
        <f>ROUND($E7*0.17,2)+0.02</f>
        <v>6234.39</v>
      </c>
      <c r="H7" s="6">
        <f>ROUND($E7*0.047,2)</f>
        <v>1723.62</v>
      </c>
      <c r="I7" s="6">
        <f>ROUND($E7*0.423,2)</f>
        <v>15512.59</v>
      </c>
      <c r="J7" s="11">
        <f t="shared" ref="J7" si="3">E7/K7</f>
        <v>370.43222222222141</v>
      </c>
      <c r="K7" s="9">
        <v>99</v>
      </c>
    </row>
    <row r="8" spans="1:11" ht="15" customHeight="1" x14ac:dyDescent="0.25">
      <c r="A8" s="10">
        <f t="shared" ref="A8:A14" si="4">A7+7</f>
        <v>45493</v>
      </c>
      <c r="B8" s="6">
        <v>659885.71</v>
      </c>
      <c r="C8" s="6">
        <v>569139.15999999992</v>
      </c>
      <c r="D8" s="6">
        <v>14005</v>
      </c>
      <c r="E8" s="6">
        <f t="shared" ref="E8" si="5">B8-C8-D8</f>
        <v>76741.550000000047</v>
      </c>
      <c r="F8" s="6">
        <f>ROUND($E8*0.36,2)-0.02</f>
        <v>27626.94</v>
      </c>
      <c r="G8" s="6">
        <f>ROUND($E8*0.17,2)+0.01</f>
        <v>13046.07</v>
      </c>
      <c r="H8" s="6">
        <f>ROUND($E8*0.047,2)+0.01</f>
        <v>3606.86</v>
      </c>
      <c r="I8" s="6">
        <f>ROUND($E8*0.423,2)</f>
        <v>32461.68</v>
      </c>
      <c r="J8" s="11">
        <f t="shared" ref="J8" si="6">E8/K8</f>
        <v>745.06359223301013</v>
      </c>
      <c r="K8" s="9">
        <v>103</v>
      </c>
    </row>
    <row r="9" spans="1:11" ht="15" customHeight="1" x14ac:dyDescent="0.25">
      <c r="A9" s="10">
        <f t="shared" si="4"/>
        <v>45500</v>
      </c>
      <c r="B9" s="6">
        <v>870499.79</v>
      </c>
      <c r="C9" s="6">
        <v>768561.42</v>
      </c>
      <c r="D9" s="6">
        <v>13375</v>
      </c>
      <c r="E9" s="6">
        <f t="shared" ref="E9" si="7">B9-C9-D9</f>
        <v>88563.37</v>
      </c>
      <c r="F9" s="6">
        <f>ROUND($E9*0.36,2)+0.01</f>
        <v>31882.82</v>
      </c>
      <c r="G9" s="6">
        <f>ROUND($E9*0.17,2)-0.01</f>
        <v>15055.76</v>
      </c>
      <c r="H9" s="6">
        <f>ROUND($E9*0.047,2)</f>
        <v>4162.4799999999996</v>
      </c>
      <c r="I9" s="6">
        <f>ROUND($E9*0.423,2)</f>
        <v>37462.31</v>
      </c>
      <c r="J9" s="11">
        <f t="shared" ref="J9" si="8">E9/K9</f>
        <v>776.87166666666667</v>
      </c>
      <c r="K9" s="9">
        <v>114</v>
      </c>
    </row>
    <row r="10" spans="1:11" ht="15" customHeight="1" x14ac:dyDescent="0.25">
      <c r="A10" s="10">
        <f t="shared" si="4"/>
        <v>45507</v>
      </c>
      <c r="B10" s="6">
        <v>706525.75</v>
      </c>
      <c r="C10" s="6">
        <v>652824.86</v>
      </c>
      <c r="D10" s="6">
        <v>13395</v>
      </c>
      <c r="E10" s="6">
        <f t="shared" ref="E10" si="9">B10-C10-D10</f>
        <v>40305.890000000014</v>
      </c>
      <c r="F10" s="6">
        <f>ROUND($E10*0.36,2)-0.01</f>
        <v>14510.11</v>
      </c>
      <c r="G10" s="6">
        <f>ROUND($E10*0.17,2)</f>
        <v>6852</v>
      </c>
      <c r="H10" s="6">
        <f>ROUND($E10*0.047,2)</f>
        <v>1894.38</v>
      </c>
      <c r="I10" s="6">
        <f>ROUND($E10*0.423,2)+0.01</f>
        <v>17049.399999999998</v>
      </c>
      <c r="J10" s="11">
        <f t="shared" ref="J10" si="10">E10/K10</f>
        <v>399.0682178217823</v>
      </c>
      <c r="K10" s="9">
        <v>101</v>
      </c>
    </row>
    <row r="11" spans="1:11" ht="15" customHeight="1" x14ac:dyDescent="0.25">
      <c r="A11" s="10">
        <f t="shared" si="4"/>
        <v>45514</v>
      </c>
      <c r="B11" s="6">
        <v>1495364.38</v>
      </c>
      <c r="C11" s="6">
        <v>1390700.36</v>
      </c>
      <c r="D11" s="6">
        <v>14585</v>
      </c>
      <c r="E11" s="6">
        <f t="shared" ref="E11" si="11">B11-C11-D11</f>
        <v>90079.019999999786</v>
      </c>
      <c r="F11" s="6">
        <f>ROUND($E11*0.36,2)</f>
        <v>32428.45</v>
      </c>
      <c r="G11" s="6">
        <f>ROUND($E11*0.17,2)+0.01</f>
        <v>15313.44</v>
      </c>
      <c r="H11" s="6">
        <f>ROUND($E11*0.047,2)</f>
        <v>4233.71</v>
      </c>
      <c r="I11" s="6">
        <f>ROUND($E11*0.423,2)-0.01</f>
        <v>38103.42</v>
      </c>
      <c r="J11" s="11">
        <f t="shared" ref="J11" si="12">E11/K11</f>
        <v>797.15946902654673</v>
      </c>
      <c r="K11" s="9">
        <v>113</v>
      </c>
    </row>
    <row r="12" spans="1:11" ht="15" customHeight="1" x14ac:dyDescent="0.25">
      <c r="A12" s="10">
        <f t="shared" si="4"/>
        <v>45521</v>
      </c>
      <c r="B12" s="6">
        <v>956870.07000000007</v>
      </c>
      <c r="C12" s="6">
        <v>918780.05</v>
      </c>
      <c r="D12" s="6">
        <v>8562</v>
      </c>
      <c r="E12" s="6">
        <f t="shared" ref="E12" si="13">B12-C12-D12</f>
        <v>29528.020000000019</v>
      </c>
      <c r="F12" s="6">
        <f>ROUND($E12*0.36,2)-0.03</f>
        <v>10630.06</v>
      </c>
      <c r="G12" s="6">
        <f>ROUND($E12*0.17,2)</f>
        <v>5019.76</v>
      </c>
      <c r="H12" s="6">
        <f>ROUND($E12*0.047,2)+0.01</f>
        <v>1387.83</v>
      </c>
      <c r="I12" s="6">
        <f>ROUND($E12*0.423,2)+0.02</f>
        <v>12490.37</v>
      </c>
      <c r="J12" s="11">
        <f t="shared" ref="J12" si="14">E12/K12</f>
        <v>320.95673913043498</v>
      </c>
      <c r="K12" s="9">
        <v>92</v>
      </c>
    </row>
    <row r="13" spans="1:11" ht="15" customHeight="1" x14ac:dyDescent="0.25">
      <c r="A13" s="10">
        <f t="shared" si="4"/>
        <v>45528</v>
      </c>
      <c r="B13" s="6">
        <v>819181.52</v>
      </c>
      <c r="C13" s="6">
        <v>727857.78</v>
      </c>
      <c r="D13" s="6">
        <v>14020</v>
      </c>
      <c r="E13" s="6">
        <f t="shared" ref="E13" si="15">B13-C13-D13</f>
        <v>77303.739999999991</v>
      </c>
      <c r="F13" s="6">
        <f>ROUND($E13*0.36,2)-0.01</f>
        <v>27829.34</v>
      </c>
      <c r="G13" s="6">
        <f>ROUND($E13*0.17,2)-0.01</f>
        <v>13141.63</v>
      </c>
      <c r="H13" s="6">
        <f>ROUND($E13*0.047,2)-0.01</f>
        <v>3633.27</v>
      </c>
      <c r="I13" s="6">
        <f>ROUND($E13*0.423,2)+0.02</f>
        <v>32699.5</v>
      </c>
      <c r="J13" s="11">
        <f t="shared" ref="J13" si="16">E13/K13</f>
        <v>750.52174757281546</v>
      </c>
      <c r="K13" s="9">
        <v>103</v>
      </c>
    </row>
    <row r="14" spans="1:11" ht="15" customHeight="1" x14ac:dyDescent="0.25">
      <c r="A14" s="10">
        <f t="shared" si="4"/>
        <v>45535</v>
      </c>
      <c r="B14" s="6">
        <v>807271.50999999989</v>
      </c>
      <c r="C14" s="6">
        <v>753980.10999999987</v>
      </c>
      <c r="D14" s="6">
        <v>5090</v>
      </c>
      <c r="E14" s="6">
        <f t="shared" ref="E14" si="17">B14-C14-D14</f>
        <v>48201.400000000023</v>
      </c>
      <c r="F14" s="6">
        <f>ROUND($E14*0.36,2)</f>
        <v>17352.5</v>
      </c>
      <c r="G14" s="6">
        <f>ROUND($E14*0.17,2)-0.01</f>
        <v>8194.23</v>
      </c>
      <c r="H14" s="6">
        <f>ROUND($E14*0.047,2)</f>
        <v>2265.4699999999998</v>
      </c>
      <c r="I14" s="6">
        <f>ROUND($E14*0.423,2)+0.01</f>
        <v>20389.199999999997</v>
      </c>
      <c r="J14" s="11">
        <f t="shared" ref="J14" si="18">E14/K14</f>
        <v>415.52931034482776</v>
      </c>
      <c r="K14" s="9">
        <v>116</v>
      </c>
    </row>
    <row r="15" spans="1:11" ht="15" customHeight="1" x14ac:dyDescent="0.25">
      <c r="A15" s="10"/>
      <c r="B15" s="6"/>
      <c r="C15" s="6"/>
      <c r="D15" s="6"/>
      <c r="E15" s="6"/>
      <c r="F15" s="6"/>
      <c r="G15" s="6"/>
      <c r="H15" s="6"/>
      <c r="I15" s="6"/>
      <c r="J15" s="11"/>
      <c r="K15" s="9"/>
    </row>
    <row r="16" spans="1:11" ht="15" customHeight="1" thickBot="1" x14ac:dyDescent="0.3">
      <c r="B16" s="7">
        <f t="shared" ref="B16:I16" si="19">SUM(B6:B15)</f>
        <v>7984815.4800000004</v>
      </c>
      <c r="C16" s="7">
        <f t="shared" si="19"/>
        <v>7333710.8399999999</v>
      </c>
      <c r="D16" s="7">
        <f t="shared" si="19"/>
        <v>105208</v>
      </c>
      <c r="E16" s="7">
        <f t="shared" si="19"/>
        <v>545896.63999999978</v>
      </c>
      <c r="F16" s="7">
        <f t="shared" si="19"/>
        <v>196522.75</v>
      </c>
      <c r="G16" s="7">
        <f t="shared" si="19"/>
        <v>92802.42</v>
      </c>
      <c r="H16" s="7">
        <f t="shared" si="19"/>
        <v>25657.149999999998</v>
      </c>
      <c r="I16" s="7">
        <f t="shared" si="19"/>
        <v>230914.32</v>
      </c>
      <c r="J16" s="12">
        <f>AVERAGE(J6:J15)</f>
        <v>564.43563595988826</v>
      </c>
      <c r="K16" s="13">
        <f>AVERAGE(K6:K15)</f>
        <v>106.33333333333333</v>
      </c>
    </row>
    <row r="17" spans="1:1" ht="15" customHeight="1" thickTop="1" x14ac:dyDescent="0.25"/>
    <row r="18" spans="1:1" ht="15" customHeight="1" x14ac:dyDescent="0.25">
      <c r="A18" s="15" t="s">
        <v>31</v>
      </c>
    </row>
    <row r="19" spans="1:1" ht="15" customHeight="1" x14ac:dyDescent="0.25">
      <c r="A19" s="8" t="s">
        <v>9</v>
      </c>
    </row>
  </sheetData>
  <mergeCells count="1">
    <mergeCell ref="A4:K4"/>
  </mergeCells>
  <printOptions horizontalCentered="1"/>
  <pageMargins left="0.25" right="0.25" top="0.75" bottom="0.5" header="0.25" footer="0"/>
  <pageSetup scale="84" orientation="landscape" r:id="rId1"/>
  <headerFooter>
    <oddHeader>&amp;C&amp;"Arial,Italic"&amp;10GREENBRIER HISTORIC RESORT VIDEO LOTTERY</oddHeader>
    <oddFooter>&amp;L&amp;"Arial,Regular"&amp;8&amp;F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Weekly Summary</vt:lpstr>
      <vt:lpstr>Table Games</vt:lpstr>
      <vt:lpstr>Video</vt:lpstr>
      <vt:lpstr>'Table Games'!Print_Area</vt:lpstr>
      <vt:lpstr>Video!Print_Area</vt:lpstr>
      <vt:lpstr>'Weekly Summary'!Print_Area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2024-05-13T19:02:47Z</cp:lastPrinted>
  <dcterms:created xsi:type="dcterms:W3CDTF">2017-06-16T18:01:39Z</dcterms:created>
  <dcterms:modified xsi:type="dcterms:W3CDTF">2024-09-06T12:15:05Z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2024-08-26T17:58:47Z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954862fd-a071-4929-b1e0-6d64c92e1e42</vt:lpwstr>
  </property>
  <property fmtid="{D5CDD505-2E9C-101B-9397-08002B2CF9AE}" pid="8" name="MSIP_Label_defa4170-0d19-0005-0004-bc88714345d2_ContentBits">
    <vt:lpwstr>0</vt:lpwstr>
  </property>
</Properties>
</file>