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able Games Acct\"/>
    </mc:Choice>
  </mc:AlternateContent>
  <bookViews>
    <workbookView xWindow="135" yWindow="150" windowWidth="14580" windowHeight="12975"/>
  </bookViews>
  <sheets>
    <sheet name="Summary" sheetId="1" r:id="rId1"/>
    <sheet name="Video Lottery" sheetId="3" r:id="rId2"/>
    <sheet name="Table Games" sheetId="2" r:id="rId3"/>
  </sheets>
  <definedNames>
    <definedName name="_xlnm.Print_Area" localSheetId="0">Summary!$A$1:$N$24</definedName>
    <definedName name="_xlnm.Print_Area" localSheetId="2">'Table Games'!$A$1:$L$21</definedName>
    <definedName name="_xlnm.Print_Area" localSheetId="1">'Video Lottery'!$A$1:$M$21</definedName>
  </definedNames>
  <calcPr calcId="162913"/>
</workbook>
</file>

<file path=xl/calcChain.xml><?xml version="1.0" encoding="utf-8"?>
<calcChain xmlns="http://schemas.openxmlformats.org/spreadsheetml/2006/main">
  <c r="M16" i="3" l="1"/>
  <c r="L16" i="3"/>
  <c r="L16" i="2" l="1"/>
  <c r="K16" i="2"/>
  <c r="J16" i="2"/>
  <c r="G16" i="2"/>
  <c r="K16" i="3"/>
  <c r="H16" i="3"/>
  <c r="G19" i="1"/>
  <c r="E19" i="1"/>
  <c r="D19" i="1"/>
  <c r="C19" i="1"/>
  <c r="B19" i="1"/>
  <c r="F16" i="2"/>
  <c r="E16" i="3"/>
  <c r="G16" i="3" s="1"/>
  <c r="M19" i="1" l="1"/>
  <c r="H19" i="1"/>
  <c r="F19" i="1"/>
  <c r="I16" i="2"/>
  <c r="H16" i="2"/>
  <c r="L19" i="1"/>
  <c r="J16" i="3"/>
  <c r="I19" i="1"/>
  <c r="I16" i="3"/>
  <c r="J19" i="1" l="1"/>
  <c r="N19" i="1"/>
  <c r="K19" i="1"/>
  <c r="L15" i="2"/>
  <c r="K15" i="2"/>
  <c r="J15" i="2"/>
  <c r="G15" i="2"/>
  <c r="L15" i="3"/>
  <c r="G18" i="1"/>
  <c r="E18" i="1"/>
  <c r="D18" i="1"/>
  <c r="C18" i="1"/>
  <c r="B18" i="1"/>
  <c r="F15" i="2"/>
  <c r="E15" i="3"/>
  <c r="G15" i="3" s="1"/>
  <c r="M15" i="3" s="1"/>
  <c r="M18" i="1" l="1"/>
  <c r="N18" i="1"/>
  <c r="H18" i="1"/>
  <c r="H15" i="3"/>
  <c r="I18" i="1" s="1"/>
  <c r="F18" i="1"/>
  <c r="K15" i="3"/>
  <c r="L18" i="1" s="1"/>
  <c r="H15" i="2"/>
  <c r="I15" i="2"/>
  <c r="J15" i="3"/>
  <c r="I15" i="3"/>
  <c r="L14" i="2"/>
  <c r="K18" i="1" l="1"/>
  <c r="J18" i="1"/>
  <c r="K14" i="2"/>
  <c r="J14" i="2"/>
  <c r="G14" i="2"/>
  <c r="G17" i="1"/>
  <c r="E17" i="1"/>
  <c r="D17" i="1"/>
  <c r="C17" i="1"/>
  <c r="B17" i="1"/>
  <c r="F14" i="2"/>
  <c r="E14" i="3"/>
  <c r="G14" i="3" s="1"/>
  <c r="M14" i="3" s="1"/>
  <c r="H14" i="3" l="1"/>
  <c r="I17" i="1" s="1"/>
  <c r="L14" i="3"/>
  <c r="M17" i="1" s="1"/>
  <c r="K14" i="3"/>
  <c r="L17" i="1" s="1"/>
  <c r="N17" i="1"/>
  <c r="H17" i="1"/>
  <c r="F17" i="1"/>
  <c r="I14" i="2"/>
  <c r="H14" i="2"/>
  <c r="I14" i="3"/>
  <c r="J14" i="3"/>
  <c r="L13" i="2"/>
  <c r="K13" i="2"/>
  <c r="J13" i="2"/>
  <c r="G13" i="2"/>
  <c r="G16" i="1"/>
  <c r="E16" i="1"/>
  <c r="D16" i="1"/>
  <c r="C16" i="1"/>
  <c r="B16" i="1"/>
  <c r="F13" i="2"/>
  <c r="E13" i="3"/>
  <c r="G13" i="3" s="1"/>
  <c r="K13" i="3" s="1"/>
  <c r="K17" i="1" l="1"/>
  <c r="J17" i="1"/>
  <c r="L13" i="3"/>
  <c r="M13" i="3"/>
  <c r="N16" i="1" s="1"/>
  <c r="H13" i="3"/>
  <c r="I16" i="1" s="1"/>
  <c r="L16" i="1"/>
  <c r="F16" i="1"/>
  <c r="M16" i="1"/>
  <c r="H16" i="1"/>
  <c r="H13" i="2"/>
  <c r="I13" i="2"/>
  <c r="J13" i="3"/>
  <c r="I13" i="3"/>
  <c r="G12" i="2"/>
  <c r="K16" i="1" l="1"/>
  <c r="J16" i="1"/>
  <c r="L12" i="2"/>
  <c r="K12" i="2"/>
  <c r="G15" i="1"/>
  <c r="E15" i="1"/>
  <c r="D15" i="1"/>
  <c r="C15" i="1"/>
  <c r="B15" i="1"/>
  <c r="F12" i="2"/>
  <c r="J12" i="2" s="1"/>
  <c r="E12" i="3"/>
  <c r="G12" i="3" s="1"/>
  <c r="L12" i="3" s="1"/>
  <c r="H12" i="3" l="1"/>
  <c r="K12" i="3"/>
  <c r="M12" i="3"/>
  <c r="N15" i="1" s="1"/>
  <c r="F15" i="1"/>
  <c r="I15" i="1"/>
  <c r="L15" i="1"/>
  <c r="M15" i="1"/>
  <c r="H15" i="1"/>
  <c r="H12" i="2"/>
  <c r="I12" i="2"/>
  <c r="I12" i="3"/>
  <c r="J12" i="3"/>
  <c r="L11" i="2"/>
  <c r="K11" i="2"/>
  <c r="J11" i="2"/>
  <c r="G11" i="2"/>
  <c r="G14" i="1"/>
  <c r="E14" i="1"/>
  <c r="D14" i="1"/>
  <c r="C14" i="1"/>
  <c r="B14" i="1"/>
  <c r="F11" i="2"/>
  <c r="E11" i="3"/>
  <c r="G11" i="3" s="1"/>
  <c r="M11" i="3" s="1"/>
  <c r="K15" i="1" l="1"/>
  <c r="J15" i="1"/>
  <c r="H11" i="3"/>
  <c r="I14" i="1" s="1"/>
  <c r="K11" i="3"/>
  <c r="L14" i="1" s="1"/>
  <c r="L11" i="3"/>
  <c r="M14" i="1" s="1"/>
  <c r="N14" i="1"/>
  <c r="H14" i="1"/>
  <c r="F14" i="1"/>
  <c r="H11" i="2"/>
  <c r="I11" i="2"/>
  <c r="I11" i="3"/>
  <c r="J11" i="3"/>
  <c r="L10" i="2"/>
  <c r="K10" i="2"/>
  <c r="J10" i="2"/>
  <c r="G10" i="2"/>
  <c r="G13" i="1"/>
  <c r="E13" i="1"/>
  <c r="D13" i="1"/>
  <c r="C13" i="1"/>
  <c r="B13" i="1"/>
  <c r="F10" i="2"/>
  <c r="E10" i="3"/>
  <c r="G10" i="3" s="1"/>
  <c r="K10" i="3" s="1"/>
  <c r="K14" i="1" l="1"/>
  <c r="J14" i="1"/>
  <c r="L10" i="3"/>
  <c r="M13" i="1" s="1"/>
  <c r="M10" i="3"/>
  <c r="N13" i="1" s="1"/>
  <c r="L13" i="1"/>
  <c r="H13" i="1"/>
  <c r="H10" i="3"/>
  <c r="F13" i="1"/>
  <c r="I10" i="2"/>
  <c r="H10" i="2"/>
  <c r="J10" i="3"/>
  <c r="I10" i="3"/>
  <c r="G12" i="1"/>
  <c r="D12" i="1"/>
  <c r="C12" i="1"/>
  <c r="B12" i="1"/>
  <c r="D9" i="2"/>
  <c r="F9" i="2" s="1"/>
  <c r="K9" i="2" s="1"/>
  <c r="E9" i="3"/>
  <c r="G9" i="3" s="1"/>
  <c r="L9" i="3" s="1"/>
  <c r="K9" i="3" l="1"/>
  <c r="H9" i="3"/>
  <c r="J13" i="1"/>
  <c r="I13" i="1"/>
  <c r="K13" i="1"/>
  <c r="L9" i="2"/>
  <c r="G9" i="2"/>
  <c r="J9" i="2"/>
  <c r="M9" i="3"/>
  <c r="F12" i="1"/>
  <c r="M12" i="1"/>
  <c r="H12" i="1"/>
  <c r="E12" i="1"/>
  <c r="I9" i="2"/>
  <c r="H9" i="2"/>
  <c r="J9" i="3"/>
  <c r="I9" i="3"/>
  <c r="E8" i="3"/>
  <c r="G11" i="1"/>
  <c r="C11" i="1"/>
  <c r="B11" i="1"/>
  <c r="L12" i="1" l="1"/>
  <c r="I12" i="1"/>
  <c r="N12" i="1"/>
  <c r="J12" i="1"/>
  <c r="K12" i="1"/>
  <c r="D11" i="1"/>
  <c r="D8" i="2"/>
  <c r="C7" i="3"/>
  <c r="G10" i="1"/>
  <c r="C10" i="1"/>
  <c r="B10" i="1"/>
  <c r="C7" i="2"/>
  <c r="G8" i="3" l="1"/>
  <c r="F11" i="1"/>
  <c r="F8" i="2"/>
  <c r="E11" i="1"/>
  <c r="D10" i="1"/>
  <c r="D7" i="2"/>
  <c r="F7" i="2" s="1"/>
  <c r="D7" i="3"/>
  <c r="E7" i="3"/>
  <c r="F10" i="1" s="1"/>
  <c r="C6" i="3"/>
  <c r="I8" i="2" l="1"/>
  <c r="L8" i="2"/>
  <c r="K8" i="2"/>
  <c r="J8" i="2"/>
  <c r="G8" i="2"/>
  <c r="L8" i="3"/>
  <c r="M8" i="3"/>
  <c r="H8" i="3"/>
  <c r="K8" i="3"/>
  <c r="J8" i="3"/>
  <c r="I8" i="3"/>
  <c r="H11" i="1"/>
  <c r="H8" i="2"/>
  <c r="L7" i="2"/>
  <c r="G7" i="2"/>
  <c r="K7" i="2"/>
  <c r="J7" i="2"/>
  <c r="E10" i="1"/>
  <c r="I7" i="2"/>
  <c r="H7" i="2"/>
  <c r="G7" i="3"/>
  <c r="D6" i="3"/>
  <c r="M11" i="1" l="1"/>
  <c r="K11" i="1"/>
  <c r="I11" i="1"/>
  <c r="N11" i="1"/>
  <c r="L11" i="1"/>
  <c r="J11" i="1"/>
  <c r="M7" i="3"/>
  <c r="N10" i="1" s="1"/>
  <c r="H7" i="3"/>
  <c r="I10" i="1" s="1"/>
  <c r="K7" i="3"/>
  <c r="L10" i="1" s="1"/>
  <c r="I7" i="3"/>
  <c r="J10" i="1" s="1"/>
  <c r="H10" i="1"/>
  <c r="L7" i="3"/>
  <c r="M10" i="1" s="1"/>
  <c r="J7" i="3"/>
  <c r="K10" i="1" s="1"/>
  <c r="E18" i="2"/>
  <c r="B18" i="2"/>
  <c r="G9" i="1" l="1"/>
  <c r="C9" i="1"/>
  <c r="B9" i="1"/>
  <c r="C6" i="2"/>
  <c r="E6" i="3"/>
  <c r="G6" i="3" s="1"/>
  <c r="M6" i="3" l="1"/>
  <c r="L6" i="3"/>
  <c r="K6" i="3"/>
  <c r="H6" i="3"/>
  <c r="D9" i="1"/>
  <c r="C18" i="2"/>
  <c r="F9" i="1"/>
  <c r="D6" i="2"/>
  <c r="D18" i="2" s="1"/>
  <c r="J6" i="3"/>
  <c r="I6" i="3"/>
  <c r="F6" i="2" l="1"/>
  <c r="E9" i="1"/>
  <c r="K6" i="2" l="1"/>
  <c r="K18" i="2" s="1"/>
  <c r="L6" i="2"/>
  <c r="L18" i="2" s="1"/>
  <c r="J6" i="2"/>
  <c r="J18" i="2" s="1"/>
  <c r="G6" i="2"/>
  <c r="G18" i="2" s="1"/>
  <c r="H9" i="1"/>
  <c r="F18" i="2"/>
  <c r="I6" i="2"/>
  <c r="H6" i="2"/>
  <c r="N9" i="1" l="1"/>
  <c r="K9" i="1"/>
  <c r="I18" i="2"/>
  <c r="L9" i="1"/>
  <c r="I9" i="1"/>
  <c r="J9" i="1"/>
  <c r="H18" i="2"/>
  <c r="M9" i="1"/>
  <c r="G21" i="1"/>
  <c r="C21" i="1"/>
  <c r="B21" i="1"/>
  <c r="C18" i="3"/>
  <c r="F18" i="3"/>
  <c r="B18" i="3"/>
  <c r="D18" i="3" l="1"/>
  <c r="F21" i="1"/>
  <c r="D21" i="1"/>
  <c r="E18" i="3" l="1"/>
  <c r="E21" i="1"/>
  <c r="M18" i="3" l="1"/>
  <c r="L18" i="3"/>
  <c r="H18" i="3"/>
  <c r="K18" i="3"/>
  <c r="J18" i="3"/>
  <c r="G18" i="3"/>
  <c r="I18" i="3"/>
  <c r="H21" i="1"/>
  <c r="M21" i="1" l="1"/>
  <c r="K21" i="1"/>
  <c r="I21" i="1"/>
  <c r="L21" i="1"/>
  <c r="J21" i="1"/>
  <c r="N21" i="1"/>
</calcChain>
</file>

<file path=xl/sharedStrings.xml><?xml version="1.0" encoding="utf-8"?>
<sst xmlns="http://schemas.openxmlformats.org/spreadsheetml/2006/main" count="80" uniqueCount="33">
  <si>
    <t>Table
Games</t>
  </si>
  <si>
    <t>Video
Lottery</t>
  </si>
  <si>
    <t>State
Share</t>
  </si>
  <si>
    <t>Excess
Lottery
Fund</t>
  </si>
  <si>
    <t>Interest</t>
  </si>
  <si>
    <t>White
Sulphur
Springs</t>
  </si>
  <si>
    <t>Municipalities
In Greenbrier
County</t>
  </si>
  <si>
    <t>All Other
Counties *</t>
  </si>
  <si>
    <t>All Other
Municipalities *</t>
  </si>
  <si>
    <t>WEST VIRGINIA LOTTERY</t>
  </si>
  <si>
    <t>Gross
Receipts</t>
  </si>
  <si>
    <t>*  To get an even distribution amount there will be cents carried forward to each month.</t>
  </si>
  <si>
    <t>Admin
Expense</t>
  </si>
  <si>
    <t>Gross
Revenue</t>
  </si>
  <si>
    <t>Net
Revenue</t>
  </si>
  <si>
    <t>Net 
Receipts</t>
  </si>
  <si>
    <t>Net
Receipts / 
Net Revenue</t>
  </si>
  <si>
    <t>GREENBRIER HISTORIC RESORT MONTHLY DISTRIBUTION SUMMARY</t>
  </si>
  <si>
    <t>Greenbrier
County</t>
  </si>
  <si>
    <t>FISCAL YEAR 2022</t>
  </si>
  <si>
    <t>July 2021</t>
  </si>
  <si>
    <t>FY 2021</t>
  </si>
  <si>
    <t>August 2021</t>
  </si>
  <si>
    <t>September 2021</t>
  </si>
  <si>
    <t>October 2021</t>
  </si>
  <si>
    <t>November 2021</t>
  </si>
  <si>
    <t>December 2021</t>
  </si>
  <si>
    <t>January 2022</t>
  </si>
  <si>
    <t>February 2022</t>
  </si>
  <si>
    <t>March 2022</t>
  </si>
  <si>
    <t>April 2022</t>
  </si>
  <si>
    <t>FOR THE MONTH ENDING MAY 31, 2022</t>
  </si>
  <si>
    <t>May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</si>
</sst>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">
    <xf numFmtId="0" fontId="0" fillId="0" borderId="0" xfId="0"/>
    <xf numFmtId="0" fontId="3" fillId="0" borderId="0" xfId="0" applyFont="1" applyAlignment="1"/>
    <xf numFmtId="0" fontId="3" fillId="0" borderId="0" xfId="0" applyFont="1"/>
    <xf numFmtId="0" fontId="0" fillId="0" borderId="0" xfId="0" applyFont="1"/>
    <xf numFmtId="0" fontId="0" fillId="0" borderId="1" xfId="0" applyFont="1" applyBorder="1" applyAlignment="1">
      <alignment horizontal="center" wrapText="1"/>
    </xf>
    <xf numFmtId="0" fontId="0" fillId="0" borderId="1" xfId="0" applyFont="1" applyBorder="1" applyAlignment="1">
      <alignment horizontal="center"/>
    </xf>
    <xf numFmtId="17" fontId="0" fillId="0" borderId="0" xfId="0" quotePrefix="1" applyNumberFormat="1" applyFont="1"/>
    <xf numFmtId="44" fontId="0" fillId="0" borderId="0" xfId="1" applyFont="1"/>
    <xf numFmtId="44" fontId="0" fillId="0" borderId="2" xfId="1" applyFont="1" applyBorder="1"/>
    <xf numFmtId="0" fontId="5" fillId="0" borderId="0" xfId="0" applyFont="1"/>
    <xf numFmtId="0" fontId="0" fillId="0" borderId="0" xfId="0" quotePrefix="1" applyFont="1"/>
    <xf numFmtId="44" fontId="0" fillId="0" borderId="0" xfId="1" applyNumberFormat="1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3"/>
  <sheetViews>
    <sheetView tabSelected="1" workbookViewId="0">
      <selection sqref="A1:N1"/>
    </sheetView>
  </sheetViews>
  <sheetFormatPr defaultRowHeight="15" customHeight="1" x14ac:dyDescent="0.2"/>
  <cols>
    <col min="1" max="1" width="16.140625" style="2" customWidth="1"/>
    <col min="2" max="3" width="14.28515625" style="2" bestFit="1" customWidth="1"/>
    <col min="4" max="4" width="14.85546875" style="2" customWidth="1"/>
    <col min="5" max="5" width="13" style="2" customWidth="1"/>
    <col min="6" max="7" width="11.7109375" style="2" customWidth="1"/>
    <col min="8" max="8" width="15.140625" style="2" customWidth="1"/>
    <col min="9" max="9" width="14.7109375" style="2" customWidth="1"/>
    <col min="10" max="10" width="13.28515625" style="2" customWidth="1"/>
    <col min="11" max="11" width="11.7109375" style="2" customWidth="1"/>
    <col min="12" max="12" width="13.7109375" style="2" bestFit="1" customWidth="1"/>
    <col min="13" max="13" width="11.7109375" style="2" customWidth="1"/>
    <col min="14" max="14" width="15.140625" style="2" bestFit="1" customWidth="1"/>
    <col min="15" max="16384" width="9.140625" style="2"/>
  </cols>
  <sheetData>
    <row r="1" spans="1:17" ht="18.75" x14ac:dyDescent="0.3">
      <c r="A1" s="12" t="s">
        <v>9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"/>
      <c r="P1" s="1"/>
      <c r="Q1" s="1"/>
    </row>
    <row r="2" spans="1:17" ht="15.75" x14ac:dyDescent="0.25">
      <c r="A2" s="13" t="s">
        <v>17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"/>
      <c r="P2" s="1"/>
      <c r="Q2" s="1"/>
    </row>
    <row r="3" spans="1:17" ht="15.75" x14ac:dyDescent="0.25">
      <c r="A3" s="13" t="s">
        <v>31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"/>
      <c r="P3" s="1"/>
      <c r="Q3" s="1"/>
    </row>
    <row r="4" spans="1:17" ht="15.75" x14ac:dyDescent="0.25">
      <c r="A4" s="13" t="s">
        <v>19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"/>
      <c r="P4" s="1"/>
      <c r="Q4" s="1"/>
    </row>
    <row r="7" spans="1:17" s="3" customFormat="1" ht="45" x14ac:dyDescent="0.25">
      <c r="B7" s="4" t="s">
        <v>0</v>
      </c>
      <c r="C7" s="4" t="s">
        <v>1</v>
      </c>
      <c r="D7" s="4" t="s">
        <v>2</v>
      </c>
      <c r="E7" s="4" t="s">
        <v>12</v>
      </c>
      <c r="F7" s="4" t="s">
        <v>3</v>
      </c>
      <c r="G7" s="5" t="s">
        <v>4</v>
      </c>
      <c r="H7" s="4" t="s">
        <v>16</v>
      </c>
      <c r="I7" s="4" t="s">
        <v>3</v>
      </c>
      <c r="J7" s="4" t="s">
        <v>18</v>
      </c>
      <c r="K7" s="4" t="s">
        <v>5</v>
      </c>
      <c r="L7" s="4" t="s">
        <v>6</v>
      </c>
      <c r="M7" s="4" t="s">
        <v>7</v>
      </c>
      <c r="N7" s="4" t="s">
        <v>8</v>
      </c>
    </row>
    <row r="8" spans="1:17" s="3" customFormat="1" ht="15" customHeight="1" x14ac:dyDescent="0.25"/>
    <row r="9" spans="1:17" s="3" customFormat="1" ht="15" customHeight="1" x14ac:dyDescent="0.25">
      <c r="A9" s="6" t="s">
        <v>20</v>
      </c>
      <c r="B9" s="7">
        <f>'Table Games'!B6</f>
        <v>1150818.5</v>
      </c>
      <c r="C9" s="7">
        <f>'Video Lottery'!B6</f>
        <v>567017.32999999996</v>
      </c>
      <c r="D9" s="7">
        <f>'Table Games'!C6+'Video Lottery'!C6</f>
        <v>549371.78</v>
      </c>
      <c r="E9" s="7">
        <f>'Table Games'!D6+'Video Lottery'!D6</f>
        <v>82405.760000000009</v>
      </c>
      <c r="F9" s="7">
        <f>'Video Lottery'!E6</f>
        <v>5103.16</v>
      </c>
      <c r="G9" s="7">
        <f>'Table Games'!E6+'Video Lottery'!F6</f>
        <v>62.28</v>
      </c>
      <c r="H9" s="7">
        <f>'Table Games'!F6+'Video Lottery'!G6</f>
        <v>461925.14</v>
      </c>
      <c r="I9" s="7">
        <f>'Table Games'!G6+'Video Lottery'!H6</f>
        <v>397255.62</v>
      </c>
      <c r="J9" s="7">
        <f>'Table Games'!H6+'Video Lottery'!I6</f>
        <v>18477</v>
      </c>
      <c r="K9" s="7">
        <f>'Table Games'!I6+'Video Lottery'!J6</f>
        <v>11548.130000000001</v>
      </c>
      <c r="L9" s="7">
        <f>'Table Games'!J6+'Video Lottery'!K6</f>
        <v>11548.18</v>
      </c>
      <c r="M9" s="7">
        <f>'Table Games'!K6+'Video Lottery'!L6</f>
        <v>11548.439999999999</v>
      </c>
      <c r="N9" s="7">
        <f>'Table Games'!L6+'Video Lottery'!M6</f>
        <v>11549.439999999999</v>
      </c>
    </row>
    <row r="10" spans="1:17" s="3" customFormat="1" ht="15" customHeight="1" x14ac:dyDescent="0.25">
      <c r="A10" s="6" t="s">
        <v>22</v>
      </c>
      <c r="B10" s="7">
        <f>'Table Games'!B7</f>
        <v>486201.5</v>
      </c>
      <c r="C10" s="7">
        <f>'Video Lottery'!B7</f>
        <v>616531.1</v>
      </c>
      <c r="D10" s="7">
        <f>'Table Games'!C7+'Video Lottery'!C7</f>
        <v>367811.67000000004</v>
      </c>
      <c r="E10" s="7">
        <f>'Table Games'!D7+'Video Lottery'!D7</f>
        <v>55171.75</v>
      </c>
      <c r="F10" s="7">
        <f>'Video Lottery'!E7</f>
        <v>5548.78</v>
      </c>
      <c r="G10" s="7">
        <f>'Table Games'!E7+'Video Lottery'!F7</f>
        <v>60.12</v>
      </c>
      <c r="H10" s="7">
        <f>'Table Games'!F7+'Video Lottery'!G7</f>
        <v>307151.26</v>
      </c>
      <c r="I10" s="7">
        <f>'Table Games'!G7+'Video Lottery'!H7</f>
        <v>264150.05</v>
      </c>
      <c r="J10" s="7">
        <f>'Table Games'!H7+'Video Lottery'!I7</f>
        <v>12286.05</v>
      </c>
      <c r="K10" s="7">
        <f>'Table Games'!I7+'Video Lottery'!J7</f>
        <v>7678.79</v>
      </c>
      <c r="L10" s="7">
        <f>'Table Games'!J7+'Video Lottery'!K7</f>
        <v>7678.79</v>
      </c>
      <c r="M10" s="7">
        <f>'Table Games'!K7+'Video Lottery'!L7</f>
        <v>7678.8</v>
      </c>
      <c r="N10" s="7">
        <f>'Table Games'!L7+'Video Lottery'!M7</f>
        <v>7678.72</v>
      </c>
    </row>
    <row r="11" spans="1:17" s="3" customFormat="1" ht="15" customHeight="1" x14ac:dyDescent="0.25">
      <c r="A11" s="6" t="s">
        <v>23</v>
      </c>
      <c r="B11" s="7">
        <f>'Table Games'!B8</f>
        <v>1029143.5</v>
      </c>
      <c r="C11" s="7">
        <f>'Video Lottery'!B8</f>
        <v>277323.59000000003</v>
      </c>
      <c r="D11" s="7">
        <f>'Table Games'!C8+'Video Lottery'!C8</f>
        <v>408579.58999999997</v>
      </c>
      <c r="E11" s="7">
        <f>'Table Games'!D8+'Video Lottery'!D8</f>
        <v>61286.94</v>
      </c>
      <c r="F11" s="7">
        <f>'Video Lottery'!E8</f>
        <v>2495.91</v>
      </c>
      <c r="G11" s="7">
        <f>'Table Games'!E8+'Video Lottery'!F8</f>
        <v>42.53</v>
      </c>
      <c r="H11" s="7">
        <f>'Table Games'!F8+'Video Lottery'!G8</f>
        <v>344839.26999999996</v>
      </c>
      <c r="I11" s="7">
        <f>'Table Games'!G8+'Video Lottery'!H8</f>
        <v>296561.78000000003</v>
      </c>
      <c r="J11" s="7">
        <f>'Table Games'!H8+'Video Lottery'!I8</f>
        <v>13793.57</v>
      </c>
      <c r="K11" s="7">
        <f>'Table Games'!I8+'Video Lottery'!J8</f>
        <v>8620.98</v>
      </c>
      <c r="L11" s="7">
        <f>'Table Games'!J8+'Video Lottery'!K8</f>
        <v>8620.99</v>
      </c>
      <c r="M11" s="7">
        <f>'Table Games'!K8+'Video Lottery'!L8</f>
        <v>8621.1</v>
      </c>
      <c r="N11" s="7">
        <f>'Table Games'!L8+'Video Lottery'!M8</f>
        <v>8619.52</v>
      </c>
    </row>
    <row r="12" spans="1:17" s="3" customFormat="1" ht="15" customHeight="1" x14ac:dyDescent="0.25">
      <c r="A12" s="6" t="s">
        <v>24</v>
      </c>
      <c r="B12" s="7">
        <f>'Table Games'!B9</f>
        <v>457371</v>
      </c>
      <c r="C12" s="7">
        <f>'Video Lottery'!B9</f>
        <v>543254.53</v>
      </c>
      <c r="D12" s="7">
        <f>'Table Games'!C9+'Video Lottery'!C9</f>
        <v>332782.94</v>
      </c>
      <c r="E12" s="7">
        <f>'Table Games'!D9+'Video Lottery'!D9</f>
        <v>49917.45</v>
      </c>
      <c r="F12" s="7">
        <f>'Video Lottery'!E9</f>
        <v>4889.29</v>
      </c>
      <c r="G12" s="7">
        <f>'Table Games'!E9+'Video Lottery'!F9</f>
        <v>48.18</v>
      </c>
      <c r="H12" s="7">
        <f>'Table Games'!F9+'Video Lottery'!G9</f>
        <v>278024.38</v>
      </c>
      <c r="I12" s="7">
        <f>'Table Games'!G9+'Video Lottery'!H9</f>
        <v>239100.96</v>
      </c>
      <c r="J12" s="7">
        <f>'Table Games'!H9+'Video Lottery'!I9</f>
        <v>11120.98</v>
      </c>
      <c r="K12" s="7">
        <f>'Table Games'!I9+'Video Lottery'!J9</f>
        <v>6950.6100000000006</v>
      </c>
      <c r="L12" s="7">
        <f>'Table Games'!J9+'Video Lottery'!K9</f>
        <v>6950.58</v>
      </c>
      <c r="M12" s="7">
        <f>'Table Games'!K9+'Video Lottery'!L9</f>
        <v>6950.34</v>
      </c>
      <c r="N12" s="7">
        <f>'Table Games'!L9+'Video Lottery'!M9</f>
        <v>6950.72</v>
      </c>
    </row>
    <row r="13" spans="1:17" s="3" customFormat="1" ht="15" customHeight="1" x14ac:dyDescent="0.25">
      <c r="A13" s="6" t="s">
        <v>25</v>
      </c>
      <c r="B13" s="7">
        <f>'Table Games'!B10</f>
        <v>643197</v>
      </c>
      <c r="C13" s="7">
        <f>'Video Lottery'!B10</f>
        <v>441141.56</v>
      </c>
      <c r="D13" s="7">
        <f>'Table Games'!C10+'Video Lottery'!C10</f>
        <v>351770.08999999997</v>
      </c>
      <c r="E13" s="7">
        <f>'Table Games'!D10+'Video Lottery'!D10</f>
        <v>52765.520000000004</v>
      </c>
      <c r="F13" s="7">
        <f>'Video Lottery'!E10</f>
        <v>3970.27</v>
      </c>
      <c r="G13" s="7">
        <f>'Table Games'!E10+'Video Lottery'!F10</f>
        <v>50.769999999999996</v>
      </c>
      <c r="H13" s="7">
        <f>'Table Games'!F10+'Video Lottery'!G10</f>
        <v>295085.07</v>
      </c>
      <c r="I13" s="7">
        <f>'Table Games'!G10+'Video Lottery'!H10</f>
        <v>253773.15000000002</v>
      </c>
      <c r="J13" s="7">
        <f>'Table Games'!H10+'Video Lottery'!I10</f>
        <v>11803.4</v>
      </c>
      <c r="K13" s="7">
        <f>'Table Games'!I10+'Video Lottery'!J10</f>
        <v>7377.130000000001</v>
      </c>
      <c r="L13" s="7">
        <f>'Table Games'!J10+'Video Lottery'!K10</f>
        <v>7377.1600000000017</v>
      </c>
      <c r="M13" s="7">
        <f>'Table Games'!K10+'Video Lottery'!L10</f>
        <v>7376.9400000000005</v>
      </c>
      <c r="N13" s="7">
        <f>'Table Games'!L10+'Video Lottery'!M10</f>
        <v>7378.5600000000013</v>
      </c>
    </row>
    <row r="14" spans="1:17" s="3" customFormat="1" ht="15" customHeight="1" x14ac:dyDescent="0.25">
      <c r="A14" s="6" t="s">
        <v>26</v>
      </c>
      <c r="B14" s="7">
        <f>'Table Games'!B11</f>
        <v>694283.5</v>
      </c>
      <c r="C14" s="7">
        <f>'Video Lottery'!B11</f>
        <v>501264.2099999999</v>
      </c>
      <c r="D14" s="7">
        <f>'Table Games'!C11+'Video Lottery'!C11</f>
        <v>388740.17</v>
      </c>
      <c r="E14" s="7">
        <f>'Table Games'!D11+'Video Lottery'!D11</f>
        <v>58311.03</v>
      </c>
      <c r="F14" s="7">
        <f>'Video Lottery'!E11</f>
        <v>4511.38</v>
      </c>
      <c r="G14" s="7">
        <f>'Table Games'!E11+'Video Lottery'!F11</f>
        <v>75.84</v>
      </c>
      <c r="H14" s="7">
        <f>'Table Games'!F11+'Video Lottery'!G11</f>
        <v>325993.59999999998</v>
      </c>
      <c r="I14" s="7">
        <f>'Table Games'!G11+'Video Lottery'!H11</f>
        <v>280354.49</v>
      </c>
      <c r="J14" s="7">
        <f>'Table Games'!H11+'Video Lottery'!I11</f>
        <v>13039.75</v>
      </c>
      <c r="K14" s="7">
        <f>'Table Games'!I11+'Video Lottery'!J11</f>
        <v>8149.84</v>
      </c>
      <c r="L14" s="7">
        <f>'Table Games'!J11+'Video Lottery'!K11</f>
        <v>8149.82</v>
      </c>
      <c r="M14" s="7">
        <f>'Table Games'!K11+'Video Lottery'!L11</f>
        <v>8150.2199999999993</v>
      </c>
      <c r="N14" s="7">
        <f>'Table Games'!L11+'Video Lottery'!M11</f>
        <v>8149.1200000000008</v>
      </c>
    </row>
    <row r="15" spans="1:17" s="3" customFormat="1" ht="15" customHeight="1" x14ac:dyDescent="0.25">
      <c r="A15" s="6" t="s">
        <v>27</v>
      </c>
      <c r="B15" s="7">
        <f>'Table Games'!B12</f>
        <v>448556.25</v>
      </c>
      <c r="C15" s="7">
        <f>'Video Lottery'!B12</f>
        <v>447737.76</v>
      </c>
      <c r="D15" s="7">
        <f>'Table Games'!C12+'Video Lottery'!C12</f>
        <v>295752.46999999997</v>
      </c>
      <c r="E15" s="7">
        <f>'Table Games'!D12+'Video Lottery'!D12</f>
        <v>44362.869999999995</v>
      </c>
      <c r="F15" s="7">
        <f>'Video Lottery'!E12</f>
        <v>4029.64</v>
      </c>
      <c r="G15" s="7">
        <f>'Table Games'!E12+'Video Lottery'!F12</f>
        <v>81.44</v>
      </c>
      <c r="H15" s="7">
        <f>'Table Games'!F12+'Video Lottery'!G12</f>
        <v>247441.4</v>
      </c>
      <c r="I15" s="7">
        <f>'Table Games'!G12+'Video Lottery'!H12</f>
        <v>212799.63</v>
      </c>
      <c r="J15" s="7">
        <f>'Table Games'!H12+'Video Lottery'!I12</f>
        <v>9897.65</v>
      </c>
      <c r="K15" s="7">
        <f>'Table Games'!I12+'Video Lottery'!J12</f>
        <v>6186.03</v>
      </c>
      <c r="L15" s="7">
        <f>'Table Games'!J12+'Video Lottery'!K12</f>
        <v>6186.04</v>
      </c>
      <c r="M15" s="7">
        <f>'Table Games'!K12+'Video Lottery'!L12</f>
        <v>6185.7</v>
      </c>
      <c r="N15" s="7">
        <f>'Table Games'!L12+'Video Lottery'!M12</f>
        <v>6186.8799999999992</v>
      </c>
    </row>
    <row r="16" spans="1:17" s="3" customFormat="1" ht="15" customHeight="1" x14ac:dyDescent="0.25">
      <c r="A16" s="6" t="s">
        <v>28</v>
      </c>
      <c r="B16" s="7">
        <f>'Table Games'!B13</f>
        <v>725337</v>
      </c>
      <c r="C16" s="7">
        <f>'Video Lottery'!B13</f>
        <v>539957.91</v>
      </c>
      <c r="D16" s="7">
        <f>'Table Games'!C13+'Video Lottery'!C13</f>
        <v>411985.97</v>
      </c>
      <c r="E16" s="7">
        <f>'Table Games'!D13+'Video Lottery'!D13</f>
        <v>61797.899999999994</v>
      </c>
      <c r="F16" s="7">
        <f>'Video Lottery'!E13</f>
        <v>4859.62</v>
      </c>
      <c r="G16" s="7">
        <f>'Table Games'!E13+'Video Lottery'!F13</f>
        <v>85.18</v>
      </c>
      <c r="H16" s="7">
        <f>'Table Games'!F13+'Video Lottery'!G13</f>
        <v>345413.63</v>
      </c>
      <c r="I16" s="7">
        <f>'Table Games'!G13+'Video Lottery'!H13</f>
        <v>297055.73</v>
      </c>
      <c r="J16" s="7">
        <f>'Table Games'!H13+'Video Lottery'!I13</f>
        <v>13816.54</v>
      </c>
      <c r="K16" s="7">
        <f>'Table Games'!I13+'Video Lottery'!J13</f>
        <v>8635.34</v>
      </c>
      <c r="L16" s="7">
        <f>'Table Games'!J13+'Video Lottery'!K13</f>
        <v>8635.34</v>
      </c>
      <c r="M16" s="7">
        <f>'Table Games'!K13+'Video Lottery'!L13</f>
        <v>8635.68</v>
      </c>
      <c r="N16" s="7">
        <f>'Table Games'!L13+'Video Lottery'!M13</f>
        <v>8635.2000000000007</v>
      </c>
    </row>
    <row r="17" spans="1:14" s="3" customFormat="1" ht="15" customHeight="1" x14ac:dyDescent="0.25">
      <c r="A17" s="6" t="s">
        <v>29</v>
      </c>
      <c r="B17" s="7">
        <f>'Table Games'!B14</f>
        <v>488532</v>
      </c>
      <c r="C17" s="7">
        <f>'Video Lottery'!B14</f>
        <v>274847.96000000002</v>
      </c>
      <c r="D17" s="7">
        <f>'Table Games'!C14+'Video Lottery'!C14</f>
        <v>245504.83000000002</v>
      </c>
      <c r="E17" s="7">
        <f>'Table Games'!D14+'Video Lottery'!D14</f>
        <v>36825.72</v>
      </c>
      <c r="F17" s="7">
        <f>'Video Lottery'!E14</f>
        <v>2473.63</v>
      </c>
      <c r="G17" s="7">
        <f>'Table Games'!E14+'Video Lottery'!F14</f>
        <v>189.7</v>
      </c>
      <c r="H17" s="7">
        <f>'Table Games'!F14+'Video Lottery'!G14</f>
        <v>206395.18</v>
      </c>
      <c r="I17" s="7">
        <f>'Table Games'!G14+'Video Lottery'!H14</f>
        <v>177499.84999999998</v>
      </c>
      <c r="J17" s="7">
        <f>'Table Games'!H14+'Video Lottery'!I14</f>
        <v>8255.81</v>
      </c>
      <c r="K17" s="7">
        <f>'Table Games'!I14+'Video Lottery'!J14</f>
        <v>5159.88</v>
      </c>
      <c r="L17" s="7">
        <f>'Table Games'!J14+'Video Lottery'!K14</f>
        <v>5159.84</v>
      </c>
      <c r="M17" s="7">
        <f>'Table Games'!K14+'Video Lottery'!L14</f>
        <v>5159.7000000000007</v>
      </c>
      <c r="N17" s="7">
        <f>'Table Games'!L14+'Video Lottery'!M14</f>
        <v>5159.58</v>
      </c>
    </row>
    <row r="18" spans="1:14" s="3" customFormat="1" ht="15" customHeight="1" x14ac:dyDescent="0.25">
      <c r="A18" s="6" t="s">
        <v>30</v>
      </c>
      <c r="B18" s="7">
        <f>'Table Games'!B15</f>
        <v>349992</v>
      </c>
      <c r="C18" s="7">
        <f>'Video Lottery'!B15</f>
        <v>76866.189999999959</v>
      </c>
      <c r="D18" s="7">
        <f>'Table Games'!C15+'Video Lottery'!C15</f>
        <v>132669.41</v>
      </c>
      <c r="E18" s="7">
        <f>'Table Games'!D15+'Video Lottery'!D15</f>
        <v>19900.41</v>
      </c>
      <c r="F18" s="7">
        <f>'Video Lottery'!E15</f>
        <v>691.8</v>
      </c>
      <c r="G18" s="7">
        <f>'Table Games'!E15+'Video Lottery'!F15</f>
        <v>311.09000000000003</v>
      </c>
      <c r="H18" s="7">
        <f>'Table Games'!F15+'Video Lottery'!G15</f>
        <v>112388.29000000001</v>
      </c>
      <c r="I18" s="7">
        <f>'Table Games'!G15+'Video Lottery'!H15</f>
        <v>96653.92</v>
      </c>
      <c r="J18" s="7">
        <f>'Table Games'!H15+'Video Lottery'!I15</f>
        <v>4495.53</v>
      </c>
      <c r="K18" s="7">
        <f>'Table Games'!I15+'Video Lottery'!J15</f>
        <v>2809.71</v>
      </c>
      <c r="L18" s="7">
        <f>'Table Games'!J15+'Video Lottery'!K15</f>
        <v>2809.73</v>
      </c>
      <c r="M18" s="7">
        <f>'Table Games'!K15+'Video Lottery'!L15</f>
        <v>2809.6200000000003</v>
      </c>
      <c r="N18" s="7">
        <f>'Table Games'!L15+'Video Lottery'!M15</f>
        <v>2809.8</v>
      </c>
    </row>
    <row r="19" spans="1:14" s="3" customFormat="1" ht="15" customHeight="1" x14ac:dyDescent="0.25">
      <c r="A19" s="6" t="s">
        <v>32</v>
      </c>
      <c r="B19" s="7">
        <f>'Table Games'!B16</f>
        <v>873165.75</v>
      </c>
      <c r="C19" s="7">
        <f>'Video Lottery'!B16</f>
        <v>465116.44</v>
      </c>
      <c r="D19" s="7">
        <f>'Table Games'!C16+'Video Lottery'!C16</f>
        <v>429391.64</v>
      </c>
      <c r="E19" s="7">
        <f>'Table Games'!D16+'Video Lottery'!D16</f>
        <v>64408.75</v>
      </c>
      <c r="F19" s="7">
        <f>'Video Lottery'!E16</f>
        <v>4186.05</v>
      </c>
      <c r="G19" s="7">
        <f>'Table Games'!E16+'Video Lottery'!F16</f>
        <v>638.23</v>
      </c>
      <c r="H19" s="7">
        <f>'Table Games'!F16+'Video Lottery'!G16</f>
        <v>361435.07</v>
      </c>
      <c r="I19" s="7">
        <f>'Table Games'!G16+'Video Lottery'!H16</f>
        <v>310834.14</v>
      </c>
      <c r="J19" s="7">
        <f>'Table Games'!H16+'Video Lottery'!I16</f>
        <v>14457.41</v>
      </c>
      <c r="K19" s="7">
        <f>'Table Games'!I16+'Video Lottery'!J16</f>
        <v>9035.8799999999992</v>
      </c>
      <c r="L19" s="7">
        <f>'Table Games'!J16+'Video Lottery'!K16</f>
        <v>9035.8799999999992</v>
      </c>
      <c r="M19" s="7">
        <f>'Table Games'!K16+'Video Lottery'!L16</f>
        <v>9035.82</v>
      </c>
      <c r="N19" s="7">
        <f>'Table Games'!L16+'Video Lottery'!M16</f>
        <v>9035.9599999999991</v>
      </c>
    </row>
    <row r="20" spans="1:14" s="3" customFormat="1" ht="15" customHeight="1" x14ac:dyDescent="0.25"/>
    <row r="21" spans="1:14" s="3" customFormat="1" ht="15" customHeight="1" thickBot="1" x14ac:dyDescent="0.3">
      <c r="B21" s="8">
        <f t="shared" ref="B21:N21" si="0">SUM(B9:B20)</f>
        <v>7346598</v>
      </c>
      <c r="C21" s="8">
        <f t="shared" si="0"/>
        <v>4751058.580000001</v>
      </c>
      <c r="D21" s="8">
        <f t="shared" si="0"/>
        <v>3914360.56</v>
      </c>
      <c r="E21" s="8">
        <f t="shared" si="0"/>
        <v>587154.10000000009</v>
      </c>
      <c r="F21" s="8">
        <f t="shared" si="0"/>
        <v>42759.530000000006</v>
      </c>
      <c r="G21" s="8">
        <f t="shared" si="0"/>
        <v>1645.3600000000001</v>
      </c>
      <c r="H21" s="8">
        <f t="shared" si="0"/>
        <v>3286092.2899999996</v>
      </c>
      <c r="I21" s="8">
        <f t="shared" si="0"/>
        <v>2826039.3200000003</v>
      </c>
      <c r="J21" s="8">
        <f t="shared" si="0"/>
        <v>131443.68999999997</v>
      </c>
      <c r="K21" s="8">
        <f t="shared" si="0"/>
        <v>82152.320000000007</v>
      </c>
      <c r="L21" s="8">
        <f t="shared" si="0"/>
        <v>82152.350000000006</v>
      </c>
      <c r="M21" s="8">
        <f t="shared" si="0"/>
        <v>82152.359999999986</v>
      </c>
      <c r="N21" s="8">
        <f t="shared" si="0"/>
        <v>82153.5</v>
      </c>
    </row>
    <row r="22" spans="1:14" ht="15" customHeight="1" thickTop="1" x14ac:dyDescent="0.2"/>
    <row r="23" spans="1:14" ht="15" customHeight="1" x14ac:dyDescent="0.2">
      <c r="A23" s="9" t="s">
        <v>11</v>
      </c>
    </row>
  </sheetData>
  <mergeCells count="4">
    <mergeCell ref="A1:N1"/>
    <mergeCell ref="A2:N2"/>
    <mergeCell ref="A3:N3"/>
    <mergeCell ref="A4:N4"/>
  </mergeCells>
  <pageMargins left="0.25" right="0.25" top="0.5" bottom="0.25" header="0" footer="0"/>
  <pageSetup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workbookViewId="0">
      <pane ySplit="3" topLeftCell="A4" activePane="bottomLeft" state="frozen"/>
      <selection pane="bottomLeft"/>
    </sheetView>
  </sheetViews>
  <sheetFormatPr defaultRowHeight="15" customHeight="1" x14ac:dyDescent="0.25"/>
  <cols>
    <col min="1" max="1" width="15.7109375" style="3" customWidth="1"/>
    <col min="2" max="3" width="15" style="3" bestFit="1" customWidth="1"/>
    <col min="4" max="4" width="13.28515625" style="3" bestFit="1" customWidth="1"/>
    <col min="5" max="5" width="13.7109375" style="3" customWidth="1"/>
    <col min="6" max="6" width="11.7109375" style="3" customWidth="1"/>
    <col min="7" max="7" width="15" style="3" bestFit="1" customWidth="1"/>
    <col min="8" max="8" width="14.28515625" style="3" bestFit="1" customWidth="1"/>
    <col min="9" max="10" width="11.7109375" style="3" customWidth="1"/>
    <col min="11" max="11" width="13.7109375" style="3" bestFit="1" customWidth="1"/>
    <col min="12" max="12" width="11.7109375" style="3" customWidth="1"/>
    <col min="13" max="13" width="15.140625" style="3" bestFit="1" customWidth="1"/>
    <col min="14" max="16384" width="9.140625" style="3"/>
  </cols>
  <sheetData>
    <row r="1" spans="1:13" ht="45" x14ac:dyDescent="0.25">
      <c r="B1" s="4" t="s">
        <v>13</v>
      </c>
      <c r="C1" s="4" t="s">
        <v>2</v>
      </c>
      <c r="D1" s="4" t="s">
        <v>12</v>
      </c>
      <c r="E1" s="4" t="s">
        <v>3</v>
      </c>
      <c r="F1" s="5" t="s">
        <v>4</v>
      </c>
      <c r="G1" s="4" t="s">
        <v>14</v>
      </c>
      <c r="H1" s="4" t="s">
        <v>3</v>
      </c>
      <c r="I1" s="4" t="s">
        <v>18</v>
      </c>
      <c r="J1" s="4" t="s">
        <v>5</v>
      </c>
      <c r="K1" s="4" t="s">
        <v>6</v>
      </c>
      <c r="L1" s="4" t="s">
        <v>7</v>
      </c>
      <c r="M1" s="4" t="s">
        <v>8</v>
      </c>
    </row>
    <row r="2" spans="1:13" ht="15" customHeight="1" x14ac:dyDescent="0.25">
      <c r="A2" s="6" t="s">
        <v>21</v>
      </c>
      <c r="B2" s="11">
        <v>5554722.5700000003</v>
      </c>
      <c r="C2" s="11">
        <v>1999700.02</v>
      </c>
      <c r="D2" s="11">
        <v>299954.99</v>
      </c>
      <c r="E2" s="11">
        <v>49992.509999999987</v>
      </c>
      <c r="F2" s="11">
        <v>713.10000000000014</v>
      </c>
      <c r="G2" s="11">
        <v>1650465.6199999999</v>
      </c>
      <c r="H2" s="11">
        <v>1419400.4200000002</v>
      </c>
      <c r="I2" s="11">
        <v>66018.64</v>
      </c>
      <c r="J2" s="11">
        <v>41261.639999999992</v>
      </c>
      <c r="K2" s="11">
        <v>41261.62999999999</v>
      </c>
      <c r="L2" s="11">
        <v>41261.509999999995</v>
      </c>
      <c r="M2" s="11">
        <v>41261.31</v>
      </c>
    </row>
    <row r="4" spans="1:13" ht="15" customHeight="1" x14ac:dyDescent="0.25">
      <c r="A4" s="14" t="s">
        <v>19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</row>
    <row r="6" spans="1:13" ht="15" customHeight="1" x14ac:dyDescent="0.25">
      <c r="A6" s="6" t="s">
        <v>20</v>
      </c>
      <c r="B6" s="7">
        <v>567017.32999999996</v>
      </c>
      <c r="C6" s="7">
        <f>ROUND(B6*0.36,2)-0.01</f>
        <v>204126.22999999998</v>
      </c>
      <c r="D6" s="7">
        <f>ROUND(C6*0.15,2)</f>
        <v>30618.93</v>
      </c>
      <c r="E6" s="7">
        <f t="shared" ref="E6:E16" si="0">ROUND($C6*0.025,2)</f>
        <v>5103.16</v>
      </c>
      <c r="F6" s="7">
        <v>31.14</v>
      </c>
      <c r="G6" s="7">
        <f t="shared" ref="G6" si="1">C6-D6-E6+F6</f>
        <v>168435.28</v>
      </c>
      <c r="H6" s="7">
        <f>ROUND($G6*0.86,2)+0.01</f>
        <v>144854.35</v>
      </c>
      <c r="I6" s="7">
        <f t="shared" ref="I6:I16" si="2">ROUND($G6*0.04,2)</f>
        <v>6737.41</v>
      </c>
      <c r="J6" s="7">
        <f t="shared" ref="J6:J16" si="3">ROUND($G6*0.025,2)</f>
        <v>4210.88</v>
      </c>
      <c r="K6" s="7">
        <f>ROUND($G6*0.025,2)+0.02</f>
        <v>4210.9000000000005</v>
      </c>
      <c r="L6" s="7">
        <f>ROUND($G6*0.025,2)+0.16</f>
        <v>4211.04</v>
      </c>
      <c r="M6" s="7">
        <f>ROUND($G6*0.025,2)+0.65</f>
        <v>4211.53</v>
      </c>
    </row>
    <row r="7" spans="1:13" ht="15" customHeight="1" x14ac:dyDescent="0.25">
      <c r="A7" s="6" t="s">
        <v>22</v>
      </c>
      <c r="B7" s="7">
        <v>616531.1</v>
      </c>
      <c r="C7" s="7">
        <f>ROUND(B7*0.36,2)+0.02</f>
        <v>221951.22</v>
      </c>
      <c r="D7" s="7">
        <f>ROUND(C7*0.15,2)</f>
        <v>33292.68</v>
      </c>
      <c r="E7" s="7">
        <f t="shared" si="0"/>
        <v>5548.78</v>
      </c>
      <c r="F7" s="7">
        <v>30.06</v>
      </c>
      <c r="G7" s="7">
        <f t="shared" ref="G7" si="4">C7-D7-E7+F7</f>
        <v>183139.82</v>
      </c>
      <c r="H7" s="7">
        <f>ROUND($G7*0.86,2)-0.02</f>
        <v>157500.23000000001</v>
      </c>
      <c r="I7" s="7">
        <f t="shared" si="2"/>
        <v>7325.59</v>
      </c>
      <c r="J7" s="7">
        <f t="shared" si="3"/>
        <v>4578.5</v>
      </c>
      <c r="K7" s="7">
        <f>ROUND($G7*0.025,2)+0.01</f>
        <v>4578.51</v>
      </c>
      <c r="L7" s="7">
        <f>ROUND($G7*0.025,2)</f>
        <v>4578.5</v>
      </c>
      <c r="M7" s="7">
        <f>ROUND($G7*0.025,2)-0.03</f>
        <v>4578.47</v>
      </c>
    </row>
    <row r="8" spans="1:13" ht="15" customHeight="1" x14ac:dyDescent="0.25">
      <c r="A8" s="6" t="s">
        <v>23</v>
      </c>
      <c r="B8" s="7">
        <v>277323.59000000003</v>
      </c>
      <c r="C8" s="7">
        <v>99836.54</v>
      </c>
      <c r="D8" s="7">
        <v>14975.48</v>
      </c>
      <c r="E8" s="7">
        <f t="shared" si="0"/>
        <v>2495.91</v>
      </c>
      <c r="F8" s="7">
        <v>21.27</v>
      </c>
      <c r="G8" s="7">
        <f t="shared" ref="G8" si="5">C8-D8-E8+F8</f>
        <v>82386.42</v>
      </c>
      <c r="H8" s="7">
        <f>ROUND($G8*0.86,2)</f>
        <v>70852.320000000007</v>
      </c>
      <c r="I8" s="7">
        <f t="shared" si="2"/>
        <v>3295.46</v>
      </c>
      <c r="J8" s="7">
        <f t="shared" si="3"/>
        <v>2059.66</v>
      </c>
      <c r="K8" s="7">
        <f>ROUND($G8*0.025,2)</f>
        <v>2059.66</v>
      </c>
      <c r="L8" s="7">
        <f>ROUND($G8*0.025,2)+0.06</f>
        <v>2059.7199999999998</v>
      </c>
      <c r="M8" s="7">
        <f>ROUND($G8*0.025,2)-0.73</f>
        <v>2058.9299999999998</v>
      </c>
    </row>
    <row r="9" spans="1:13" ht="15" customHeight="1" x14ac:dyDescent="0.25">
      <c r="A9" s="6" t="s">
        <v>24</v>
      </c>
      <c r="B9" s="7">
        <v>543254.53</v>
      </c>
      <c r="C9" s="7">
        <v>195571.64</v>
      </c>
      <c r="D9" s="7">
        <v>29335.75</v>
      </c>
      <c r="E9" s="7">
        <f t="shared" si="0"/>
        <v>4889.29</v>
      </c>
      <c r="F9" s="7">
        <v>24.09</v>
      </c>
      <c r="G9" s="7">
        <f t="shared" ref="G9" si="6">C9-D9-E9+F9</f>
        <v>161370.69</v>
      </c>
      <c r="H9" s="7">
        <f>ROUND($G9*0.86,2)-0.01</f>
        <v>138778.78</v>
      </c>
      <c r="I9" s="7">
        <f t="shared" si="2"/>
        <v>6454.83</v>
      </c>
      <c r="J9" s="7">
        <f t="shared" si="3"/>
        <v>4034.27</v>
      </c>
      <c r="K9" s="7">
        <f>ROUND($G9*0.025,2)-0.01</f>
        <v>4034.2599999999998</v>
      </c>
      <c r="L9" s="7">
        <f>ROUND($G9*0.025,2)-0.14</f>
        <v>4034.13</v>
      </c>
      <c r="M9" s="7">
        <f>ROUND($G9*0.025,2)+0.06</f>
        <v>4034.33</v>
      </c>
    </row>
    <row r="10" spans="1:13" ht="15" customHeight="1" x14ac:dyDescent="0.25">
      <c r="A10" s="6" t="s">
        <v>25</v>
      </c>
      <c r="B10" s="7">
        <v>441141.56</v>
      </c>
      <c r="C10" s="7">
        <v>158810.99</v>
      </c>
      <c r="D10" s="7">
        <v>23821.65</v>
      </c>
      <c r="E10" s="7">
        <f t="shared" si="0"/>
        <v>3970.27</v>
      </c>
      <c r="F10" s="7">
        <v>25.39</v>
      </c>
      <c r="G10" s="7">
        <f t="shared" ref="G10" si="7">C10-D10-E10+F10</f>
        <v>131044.45999999999</v>
      </c>
      <c r="H10" s="7">
        <f>ROUND($G10*0.86,2)</f>
        <v>112698.24000000001</v>
      </c>
      <c r="I10" s="7">
        <f t="shared" si="2"/>
        <v>5241.78</v>
      </c>
      <c r="J10" s="7">
        <f t="shared" si="3"/>
        <v>3276.11</v>
      </c>
      <c r="K10" s="7">
        <f>ROUND($G10*0.025,2)+0.01</f>
        <v>3276.1200000000003</v>
      </c>
      <c r="L10" s="7">
        <f>ROUND($G10*0.025,2)-0.09</f>
        <v>3276.02</v>
      </c>
      <c r="M10" s="7">
        <f>ROUND($G10*0.025,2)+0.71</f>
        <v>3276.82</v>
      </c>
    </row>
    <row r="11" spans="1:13" ht="15" customHeight="1" x14ac:dyDescent="0.25">
      <c r="A11" s="6" t="s">
        <v>26</v>
      </c>
      <c r="B11" s="7">
        <v>501264.2099999999</v>
      </c>
      <c r="C11" s="7">
        <v>180455.11</v>
      </c>
      <c r="D11" s="7">
        <v>27068.27</v>
      </c>
      <c r="E11" s="7">
        <f t="shared" si="0"/>
        <v>4511.38</v>
      </c>
      <c r="F11" s="7">
        <v>37.92</v>
      </c>
      <c r="G11" s="7">
        <f t="shared" ref="G11" si="8">C11-D11-E11+F11</f>
        <v>148913.38</v>
      </c>
      <c r="H11" s="7">
        <f>ROUND($G11*0.86,2)+0.01</f>
        <v>128065.51999999999</v>
      </c>
      <c r="I11" s="7">
        <f t="shared" si="2"/>
        <v>5956.54</v>
      </c>
      <c r="J11" s="7">
        <f t="shared" si="3"/>
        <v>3722.83</v>
      </c>
      <c r="K11" s="7">
        <f>ROUND($G11*0.025,2)-0.01</f>
        <v>3722.8199999999997</v>
      </c>
      <c r="L11" s="7">
        <f>ROUND($G11*0.025,2)+0.19</f>
        <v>3723.02</v>
      </c>
      <c r="M11" s="7">
        <f>ROUND($G11*0.025,2)-0.36</f>
        <v>3722.47</v>
      </c>
    </row>
    <row r="12" spans="1:13" ht="15" customHeight="1" x14ac:dyDescent="0.25">
      <c r="A12" s="6" t="s">
        <v>27</v>
      </c>
      <c r="B12" s="7">
        <v>447737.76</v>
      </c>
      <c r="C12" s="7">
        <v>161185.60000000001</v>
      </c>
      <c r="D12" s="7">
        <v>24177.84</v>
      </c>
      <c r="E12" s="7">
        <f t="shared" si="0"/>
        <v>4029.64</v>
      </c>
      <c r="F12" s="7">
        <v>40.72</v>
      </c>
      <c r="G12" s="7">
        <f t="shared" ref="G12" si="9">C12-D12-E12+F12</f>
        <v>133018.84</v>
      </c>
      <c r="H12" s="7">
        <f>ROUND($G12*0.86,2)+0.01</f>
        <v>114396.20999999999</v>
      </c>
      <c r="I12" s="7">
        <f t="shared" si="2"/>
        <v>5320.75</v>
      </c>
      <c r="J12" s="7">
        <f t="shared" si="3"/>
        <v>3325.47</v>
      </c>
      <c r="K12" s="7">
        <f>ROUND($G12*0.025,2)+0.01</f>
        <v>3325.48</v>
      </c>
      <c r="L12" s="7">
        <f>ROUND($G12*0.025,2)-0.16</f>
        <v>3325.31</v>
      </c>
      <c r="M12" s="7">
        <f>ROUND($G12*0.025,2)+0.42</f>
        <v>3325.89</v>
      </c>
    </row>
    <row r="13" spans="1:13" ht="15" customHeight="1" x14ac:dyDescent="0.25">
      <c r="A13" s="6" t="s">
        <v>28</v>
      </c>
      <c r="B13" s="7">
        <v>539957.91</v>
      </c>
      <c r="C13" s="7">
        <v>194384.87</v>
      </c>
      <c r="D13" s="7">
        <v>29157.73</v>
      </c>
      <c r="E13" s="7">
        <f t="shared" si="0"/>
        <v>4859.62</v>
      </c>
      <c r="F13" s="7">
        <v>42.59</v>
      </c>
      <c r="G13" s="7">
        <f t="shared" ref="G13" si="10">C13-D13-E13+F13</f>
        <v>160410.10999999999</v>
      </c>
      <c r="H13" s="7">
        <f>ROUND($G13*0.86,2)+0.02</f>
        <v>137952.71</v>
      </c>
      <c r="I13" s="7">
        <f t="shared" si="2"/>
        <v>6416.4</v>
      </c>
      <c r="J13" s="7">
        <f t="shared" si="3"/>
        <v>4010.25</v>
      </c>
      <c r="K13" s="7">
        <f>ROUND($G13*0.025,2)-0.01</f>
        <v>4010.24</v>
      </c>
      <c r="L13" s="7">
        <f>ROUND($G13*0.025,2)+0.16</f>
        <v>4010.41</v>
      </c>
      <c r="M13" s="7">
        <f>ROUND($G13*0.025,2)-0.06</f>
        <v>4010.19</v>
      </c>
    </row>
    <row r="14" spans="1:13" ht="15" customHeight="1" x14ac:dyDescent="0.25">
      <c r="A14" s="6" t="s">
        <v>29</v>
      </c>
      <c r="B14" s="7">
        <v>274847.96000000002</v>
      </c>
      <c r="C14" s="7">
        <v>98945.23</v>
      </c>
      <c r="D14" s="7">
        <v>14841.78</v>
      </c>
      <c r="E14" s="7">
        <f t="shared" si="0"/>
        <v>2473.63</v>
      </c>
      <c r="F14" s="7">
        <v>94.85</v>
      </c>
      <c r="G14" s="7">
        <f t="shared" ref="G14" si="11">C14-D14-E14+F14</f>
        <v>81724.67</v>
      </c>
      <c r="H14" s="7">
        <f>ROUND($G14*0.86,2)-0.02</f>
        <v>70283.199999999997</v>
      </c>
      <c r="I14" s="7">
        <f t="shared" si="2"/>
        <v>3268.99</v>
      </c>
      <c r="J14" s="7">
        <f t="shared" si="3"/>
        <v>2043.12</v>
      </c>
      <c r="K14" s="7">
        <f>ROUND($G14*0.025,2)-0.01</f>
        <v>2043.11</v>
      </c>
      <c r="L14" s="7">
        <f>ROUND($G14*0.025,2)-0.08</f>
        <v>2043.04</v>
      </c>
      <c r="M14" s="7">
        <f>ROUND($G14*0.025,2)-0.16</f>
        <v>2042.9599999999998</v>
      </c>
    </row>
    <row r="15" spans="1:13" ht="15" customHeight="1" x14ac:dyDescent="0.25">
      <c r="A15" s="6" t="s">
        <v>30</v>
      </c>
      <c r="B15" s="7">
        <v>76866.189999999959</v>
      </c>
      <c r="C15" s="7">
        <v>27671.81</v>
      </c>
      <c r="D15" s="7">
        <v>4150.7700000000004</v>
      </c>
      <c r="E15" s="7">
        <f t="shared" si="0"/>
        <v>691.8</v>
      </c>
      <c r="F15" s="7">
        <v>155.55000000000001</v>
      </c>
      <c r="G15" s="7">
        <f t="shared" ref="G15" si="12">C15-D15-E15+F15</f>
        <v>22984.79</v>
      </c>
      <c r="H15" s="7">
        <f>ROUND($G15*0.86,2)</f>
        <v>19766.919999999998</v>
      </c>
      <c r="I15" s="7">
        <f t="shared" si="2"/>
        <v>919.39</v>
      </c>
      <c r="J15" s="7">
        <f t="shared" si="3"/>
        <v>574.62</v>
      </c>
      <c r="K15" s="7">
        <f>ROUND($G15*0.025,2)</f>
        <v>574.62</v>
      </c>
      <c r="L15" s="7">
        <f>ROUND($G15*0.025,2)-0.05</f>
        <v>574.57000000000005</v>
      </c>
      <c r="M15" s="7">
        <f>ROUND($G15*0.025,2)+0.05</f>
        <v>574.66999999999996</v>
      </c>
    </row>
    <row r="16" spans="1:13" ht="15" customHeight="1" x14ac:dyDescent="0.25">
      <c r="A16" s="6" t="s">
        <v>32</v>
      </c>
      <c r="B16" s="7">
        <v>465116.44</v>
      </c>
      <c r="C16" s="7">
        <v>167441.91</v>
      </c>
      <c r="D16" s="7">
        <v>25116.29</v>
      </c>
      <c r="E16" s="7">
        <f t="shared" si="0"/>
        <v>4186.05</v>
      </c>
      <c r="F16" s="7">
        <v>319.11</v>
      </c>
      <c r="G16" s="7">
        <f t="shared" ref="G16" si="13">C16-D16-E16+F16</f>
        <v>138458.68</v>
      </c>
      <c r="H16" s="7">
        <f>ROUND($G16*0.86,2)-0.01</f>
        <v>119074.45000000001</v>
      </c>
      <c r="I16" s="7">
        <f t="shared" si="2"/>
        <v>5538.35</v>
      </c>
      <c r="J16" s="7">
        <f t="shared" si="3"/>
        <v>3461.47</v>
      </c>
      <c r="K16" s="7">
        <f>ROUND($G16*0.025,2)+0.01</f>
        <v>3461.48</v>
      </c>
      <c r="L16" s="7">
        <f>ROUND($G16*0.025,2)-0.03</f>
        <v>3461.4399999999996</v>
      </c>
      <c r="M16" s="7">
        <f>ROUND($G16*0.025,2)+0.04</f>
        <v>3461.5099999999998</v>
      </c>
    </row>
    <row r="18" spans="1:13" ht="15" customHeight="1" thickBot="1" x14ac:dyDescent="0.3">
      <c r="B18" s="8">
        <f t="shared" ref="B18:M18" si="14">SUM(B6:B17)</f>
        <v>4751058.580000001</v>
      </c>
      <c r="C18" s="8">
        <f t="shared" si="14"/>
        <v>1710381.1500000001</v>
      </c>
      <c r="D18" s="8">
        <f t="shared" si="14"/>
        <v>256557.16999999998</v>
      </c>
      <c r="E18" s="8">
        <f t="shared" si="14"/>
        <v>42759.530000000006</v>
      </c>
      <c r="F18" s="8">
        <f t="shared" si="14"/>
        <v>822.69</v>
      </c>
      <c r="G18" s="8">
        <f t="shared" si="14"/>
        <v>1411887.14</v>
      </c>
      <c r="H18" s="8">
        <f t="shared" si="14"/>
        <v>1214222.93</v>
      </c>
      <c r="I18" s="8">
        <f t="shared" si="14"/>
        <v>56475.49</v>
      </c>
      <c r="J18" s="8">
        <f t="shared" si="14"/>
        <v>35297.18</v>
      </c>
      <c r="K18" s="8">
        <f t="shared" si="14"/>
        <v>35297.199999999997</v>
      </c>
      <c r="L18" s="8">
        <f t="shared" si="14"/>
        <v>35297.200000000004</v>
      </c>
      <c r="M18" s="8">
        <f t="shared" si="14"/>
        <v>35297.769999999997</v>
      </c>
    </row>
    <row r="19" spans="1:13" ht="15" customHeight="1" thickTop="1" x14ac:dyDescent="0.25"/>
    <row r="20" spans="1:13" ht="15" customHeight="1" x14ac:dyDescent="0.25">
      <c r="A20" s="9" t="s">
        <v>11</v>
      </c>
    </row>
  </sheetData>
  <mergeCells count="1">
    <mergeCell ref="A4:M4"/>
  </mergeCells>
  <pageMargins left="0.25" right="0.25" top="0.75" bottom="0.25" header="0.25" footer="0"/>
  <pageSetup scale="75" orientation="landscape" r:id="rId1"/>
  <headerFooter>
    <oddHeader>&amp;C&amp;"Arial,Italic"&amp;10GREENBRIER HISTORIC RESORT VIDEO LOTTERY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0"/>
  <sheetViews>
    <sheetView workbookViewId="0">
      <pane ySplit="3" topLeftCell="A4" activePane="bottomLeft" state="frozen"/>
      <selection pane="bottomLeft"/>
    </sheetView>
  </sheetViews>
  <sheetFormatPr defaultRowHeight="15" customHeight="1" x14ac:dyDescent="0.25"/>
  <cols>
    <col min="1" max="1" width="15.7109375" style="3" customWidth="1"/>
    <col min="2" max="3" width="15" style="3" bestFit="1" customWidth="1"/>
    <col min="4" max="4" width="13.28515625" style="3" bestFit="1" customWidth="1"/>
    <col min="5" max="5" width="11.7109375" style="3" customWidth="1"/>
    <col min="6" max="6" width="14.85546875" style="3" customWidth="1"/>
    <col min="7" max="7" width="14.28515625" style="3" bestFit="1" customWidth="1"/>
    <col min="8" max="9" width="11.7109375" style="3" customWidth="1"/>
    <col min="10" max="10" width="13.7109375" style="3" bestFit="1" customWidth="1"/>
    <col min="11" max="11" width="11.7109375" style="3" customWidth="1"/>
    <col min="12" max="12" width="15.140625" style="3" bestFit="1" customWidth="1"/>
    <col min="13" max="16384" width="9.140625" style="3"/>
  </cols>
  <sheetData>
    <row r="1" spans="1:12" ht="45" x14ac:dyDescent="0.25">
      <c r="B1" s="4" t="s">
        <v>10</v>
      </c>
      <c r="C1" s="4" t="s">
        <v>2</v>
      </c>
      <c r="D1" s="4" t="s">
        <v>12</v>
      </c>
      <c r="E1" s="5" t="s">
        <v>4</v>
      </c>
      <c r="F1" s="4" t="s">
        <v>15</v>
      </c>
      <c r="G1" s="4" t="s">
        <v>3</v>
      </c>
      <c r="H1" s="4" t="s">
        <v>18</v>
      </c>
      <c r="I1" s="4" t="s">
        <v>5</v>
      </c>
      <c r="J1" s="4" t="s">
        <v>6</v>
      </c>
      <c r="K1" s="4" t="s">
        <v>7</v>
      </c>
      <c r="L1" s="4" t="s">
        <v>8</v>
      </c>
    </row>
    <row r="2" spans="1:12" ht="15" customHeight="1" x14ac:dyDescent="0.25">
      <c r="A2" s="6" t="s">
        <v>21</v>
      </c>
      <c r="B2" s="11">
        <v>6681689.25</v>
      </c>
      <c r="C2" s="11">
        <v>2004506.79</v>
      </c>
      <c r="D2" s="11">
        <v>300676.02</v>
      </c>
      <c r="E2" s="11">
        <v>713.1</v>
      </c>
      <c r="F2" s="11">
        <v>1704543.8699999999</v>
      </c>
      <c r="G2" s="11">
        <v>1465907.79</v>
      </c>
      <c r="H2" s="11">
        <v>68181.759999999995</v>
      </c>
      <c r="I2" s="11">
        <v>42613.58</v>
      </c>
      <c r="J2" s="11">
        <v>42613.560000000005</v>
      </c>
      <c r="K2" s="11">
        <v>42613.44999999999</v>
      </c>
      <c r="L2" s="11">
        <v>42613.25</v>
      </c>
    </row>
    <row r="4" spans="1:12" ht="15" customHeight="1" x14ac:dyDescent="0.25">
      <c r="A4" s="14" t="s">
        <v>19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</row>
    <row r="6" spans="1:12" ht="15" customHeight="1" x14ac:dyDescent="0.25">
      <c r="A6" s="10" t="s">
        <v>20</v>
      </c>
      <c r="B6" s="7">
        <v>1150818.5</v>
      </c>
      <c r="C6" s="7">
        <f>ROUND($B6*0.3,2)</f>
        <v>345245.55</v>
      </c>
      <c r="D6" s="7">
        <f t="shared" ref="D6:D9" si="0">ROUND($C6*0.15,2)</f>
        <v>51786.83</v>
      </c>
      <c r="E6" s="7">
        <v>31.14</v>
      </c>
      <c r="F6" s="7">
        <f t="shared" ref="F6" si="1">C6-D6+E6</f>
        <v>293489.86</v>
      </c>
      <c r="G6" s="7">
        <f>ROUND($F6*0.86,2)-0.01</f>
        <v>252401.27</v>
      </c>
      <c r="H6" s="7">
        <f t="shared" ref="H6:H16" si="2">ROUND($F6*0.04,2)</f>
        <v>11739.59</v>
      </c>
      <c r="I6" s="7">
        <f t="shared" ref="I6:I16" si="3">ROUND($F6*0.025,2)</f>
        <v>7337.25</v>
      </c>
      <c r="J6" s="7">
        <f>ROUND($F6*0.025,2)+0.03</f>
        <v>7337.28</v>
      </c>
      <c r="K6" s="7">
        <f>ROUND($F6*0.025,2)+0.15</f>
        <v>7337.4</v>
      </c>
      <c r="L6" s="7">
        <f>ROUND($F6*0.025,2)+0.66</f>
        <v>7337.91</v>
      </c>
    </row>
    <row r="7" spans="1:12" ht="15" customHeight="1" x14ac:dyDescent="0.25">
      <c r="A7" s="6" t="s">
        <v>22</v>
      </c>
      <c r="B7" s="7">
        <v>486201.5</v>
      </c>
      <c r="C7" s="7">
        <f>ROUND($B7*0.3,2)</f>
        <v>145860.45000000001</v>
      </c>
      <c r="D7" s="7">
        <f t="shared" si="0"/>
        <v>21879.07</v>
      </c>
      <c r="E7" s="7">
        <v>30.06</v>
      </c>
      <c r="F7" s="7">
        <f t="shared" ref="F7" si="4">C7-D7+E7</f>
        <v>124011.44</v>
      </c>
      <c r="G7" s="7">
        <f>ROUND($F7*0.86,2)-0.02</f>
        <v>106649.81999999999</v>
      </c>
      <c r="H7" s="7">
        <f t="shared" si="2"/>
        <v>4960.46</v>
      </c>
      <c r="I7" s="7">
        <f t="shared" si="3"/>
        <v>3100.29</v>
      </c>
      <c r="J7" s="7">
        <f>ROUND($F7*0.025,2)-0.01</f>
        <v>3100.2799999999997</v>
      </c>
      <c r="K7" s="7">
        <f>ROUND($F7*0.025,2)+0.01</f>
        <v>3100.3</v>
      </c>
      <c r="L7" s="7">
        <f>ROUND($F7*0.025,2)-0.04</f>
        <v>3100.25</v>
      </c>
    </row>
    <row r="8" spans="1:12" ht="15" customHeight="1" x14ac:dyDescent="0.25">
      <c r="A8" s="6" t="s">
        <v>23</v>
      </c>
      <c r="B8" s="7">
        <v>1029143.5</v>
      </c>
      <c r="C8" s="7">
        <v>308743.05</v>
      </c>
      <c r="D8" s="7">
        <f t="shared" si="0"/>
        <v>46311.46</v>
      </c>
      <c r="E8" s="7">
        <v>21.26</v>
      </c>
      <c r="F8" s="7">
        <f t="shared" ref="F8" si="5">C8-D8+E8</f>
        <v>262452.84999999998</v>
      </c>
      <c r="G8" s="7">
        <f>ROUND($F8*0.86,2)+0.01</f>
        <v>225709.46000000002</v>
      </c>
      <c r="H8" s="7">
        <f t="shared" si="2"/>
        <v>10498.11</v>
      </c>
      <c r="I8" s="7">
        <f t="shared" si="3"/>
        <v>6561.32</v>
      </c>
      <c r="J8" s="7">
        <f>ROUND($F8*0.025,2)+0.01</f>
        <v>6561.33</v>
      </c>
      <c r="K8" s="7">
        <f>ROUND($F8*0.025,2)+0.06</f>
        <v>6561.38</v>
      </c>
      <c r="L8" s="7">
        <f>ROUND($F8*0.025,2)-0.73</f>
        <v>6560.59</v>
      </c>
    </row>
    <row r="9" spans="1:12" ht="15" customHeight="1" x14ac:dyDescent="0.25">
      <c r="A9" s="6" t="s">
        <v>24</v>
      </c>
      <c r="B9" s="7">
        <v>457371</v>
      </c>
      <c r="C9" s="7">
        <v>137211.29999999999</v>
      </c>
      <c r="D9" s="7">
        <f t="shared" si="0"/>
        <v>20581.7</v>
      </c>
      <c r="E9" s="7">
        <v>24.09</v>
      </c>
      <c r="F9" s="7">
        <f t="shared" ref="F9" si="6">C9-D9+E9</f>
        <v>116653.68999999999</v>
      </c>
      <c r="G9" s="7">
        <f>ROUND($F9*0.86,2)+0.01</f>
        <v>100322.18</v>
      </c>
      <c r="H9" s="7">
        <f t="shared" si="2"/>
        <v>4666.1499999999996</v>
      </c>
      <c r="I9" s="7">
        <f t="shared" si="3"/>
        <v>2916.34</v>
      </c>
      <c r="J9" s="7">
        <f>ROUND($F9*0.025,2)-0.02</f>
        <v>2916.32</v>
      </c>
      <c r="K9" s="7">
        <f>ROUND($F9*0.025,2)-0.13</f>
        <v>2916.21</v>
      </c>
      <c r="L9" s="7">
        <f>ROUND($F9*0.025,2)+0.05</f>
        <v>2916.3900000000003</v>
      </c>
    </row>
    <row r="10" spans="1:12" ht="15" customHeight="1" x14ac:dyDescent="0.25">
      <c r="A10" s="6" t="s">
        <v>25</v>
      </c>
      <c r="B10" s="7">
        <v>643197</v>
      </c>
      <c r="C10" s="7">
        <v>192959.1</v>
      </c>
      <c r="D10" s="7">
        <v>28943.87</v>
      </c>
      <c r="E10" s="7">
        <v>25.38</v>
      </c>
      <c r="F10" s="7">
        <f t="shared" ref="F10" si="7">C10-D10+E10</f>
        <v>164040.61000000002</v>
      </c>
      <c r="G10" s="7">
        <f>ROUND($F10*0.86,2)-0.01</f>
        <v>141074.91</v>
      </c>
      <c r="H10" s="7">
        <f t="shared" si="2"/>
        <v>6561.62</v>
      </c>
      <c r="I10" s="7">
        <f t="shared" si="3"/>
        <v>4101.0200000000004</v>
      </c>
      <c r="J10" s="7">
        <f>ROUND($F10*0.025,2)+0.02</f>
        <v>4101.0400000000009</v>
      </c>
      <c r="K10" s="7">
        <f>ROUND($F10*0.025,2)-0.1</f>
        <v>4100.92</v>
      </c>
      <c r="L10" s="7">
        <f>ROUND($F10*0.025,2)+0.72</f>
        <v>4101.7400000000007</v>
      </c>
    </row>
    <row r="11" spans="1:12" ht="15" customHeight="1" x14ac:dyDescent="0.25">
      <c r="A11" s="6" t="s">
        <v>26</v>
      </c>
      <c r="B11" s="7">
        <v>694283.5</v>
      </c>
      <c r="C11" s="7">
        <v>208285.06</v>
      </c>
      <c r="D11" s="7">
        <v>31242.76</v>
      </c>
      <c r="E11" s="7">
        <v>37.92</v>
      </c>
      <c r="F11" s="7">
        <f t="shared" ref="F11" si="8">C11-D11+E11</f>
        <v>177080.22</v>
      </c>
      <c r="G11" s="7">
        <f>ROUND($F11*0.86,2)-0.02</f>
        <v>152288.97</v>
      </c>
      <c r="H11" s="7">
        <f t="shared" si="2"/>
        <v>7083.21</v>
      </c>
      <c r="I11" s="7">
        <f t="shared" si="3"/>
        <v>4427.01</v>
      </c>
      <c r="J11" s="7">
        <f>ROUND($F11*0.025,2)-0.01</f>
        <v>4427</v>
      </c>
      <c r="K11" s="7">
        <f>ROUND($F11*0.025,2)+0.19</f>
        <v>4427.2</v>
      </c>
      <c r="L11" s="7">
        <f>ROUND($F11*0.025,2)-0.36</f>
        <v>4426.6500000000005</v>
      </c>
    </row>
    <row r="12" spans="1:12" ht="15" customHeight="1" x14ac:dyDescent="0.25">
      <c r="A12" s="6" t="s">
        <v>27</v>
      </c>
      <c r="B12" s="7">
        <v>448556.25</v>
      </c>
      <c r="C12" s="7">
        <v>134566.87</v>
      </c>
      <c r="D12" s="7">
        <v>20185.03</v>
      </c>
      <c r="E12" s="7">
        <v>40.72</v>
      </c>
      <c r="F12" s="7">
        <f t="shared" ref="F12" si="9">C12-D12+E12</f>
        <v>114422.56</v>
      </c>
      <c r="G12" s="7">
        <f>ROUND($F12*0.86,2)+0.02</f>
        <v>98403.42</v>
      </c>
      <c r="H12" s="7">
        <f t="shared" si="2"/>
        <v>4576.8999999999996</v>
      </c>
      <c r="I12" s="7">
        <f t="shared" si="3"/>
        <v>2860.56</v>
      </c>
      <c r="J12" s="7">
        <f>ROUND($F12*0.025,2)</f>
        <v>2860.56</v>
      </c>
      <c r="K12" s="7">
        <f>ROUND($F12*0.025,2)-0.17</f>
        <v>2860.39</v>
      </c>
      <c r="L12" s="7">
        <f>ROUND($F12*0.025,2)+0.43</f>
        <v>2860.99</v>
      </c>
    </row>
    <row r="13" spans="1:12" ht="15" customHeight="1" x14ac:dyDescent="0.25">
      <c r="A13" s="6" t="s">
        <v>28</v>
      </c>
      <c r="B13" s="7">
        <v>725337</v>
      </c>
      <c r="C13" s="7">
        <v>217601.1</v>
      </c>
      <c r="D13" s="7">
        <v>32640.17</v>
      </c>
      <c r="E13" s="7">
        <v>42.59</v>
      </c>
      <c r="F13" s="7">
        <f t="shared" ref="F13" si="10">C13-D13+E13</f>
        <v>185003.51999999999</v>
      </c>
      <c r="G13" s="7">
        <f>ROUND($F13*0.86,2)-0.01</f>
        <v>159103.01999999999</v>
      </c>
      <c r="H13" s="7">
        <f t="shared" si="2"/>
        <v>7400.14</v>
      </c>
      <c r="I13" s="7">
        <f t="shared" si="3"/>
        <v>4625.09</v>
      </c>
      <c r="J13" s="7">
        <f>ROUND($F13*0.025,2)+0.01</f>
        <v>4625.1000000000004</v>
      </c>
      <c r="K13" s="7">
        <f>ROUND($F13*0.025,2)+0.18</f>
        <v>4625.2700000000004</v>
      </c>
      <c r="L13" s="7">
        <f>ROUND($F13*0.025,2)-0.08</f>
        <v>4625.01</v>
      </c>
    </row>
    <row r="14" spans="1:12" ht="15" customHeight="1" x14ac:dyDescent="0.25">
      <c r="A14" s="6" t="s">
        <v>29</v>
      </c>
      <c r="B14" s="7">
        <v>488532</v>
      </c>
      <c r="C14" s="7">
        <v>146559.6</v>
      </c>
      <c r="D14" s="7">
        <v>21983.94</v>
      </c>
      <c r="E14" s="7">
        <v>94.85</v>
      </c>
      <c r="F14" s="7">
        <f t="shared" ref="F14" si="11">C14-D14+E14</f>
        <v>124670.51000000001</v>
      </c>
      <c r="G14" s="7">
        <f>ROUND($F14*0.86,2)+0.01</f>
        <v>107216.65</v>
      </c>
      <c r="H14" s="7">
        <f t="shared" si="2"/>
        <v>4986.82</v>
      </c>
      <c r="I14" s="7">
        <f t="shared" si="3"/>
        <v>3116.76</v>
      </c>
      <c r="J14" s="7">
        <f>ROUND($F14*0.025,2)-0.03</f>
        <v>3116.73</v>
      </c>
      <c r="K14" s="7">
        <f>ROUND($F14*0.025,2)-0.1</f>
        <v>3116.6600000000003</v>
      </c>
      <c r="L14" s="7">
        <f>ROUND($F14*0.025,2)-0.14</f>
        <v>3116.6200000000003</v>
      </c>
    </row>
    <row r="15" spans="1:12" ht="15" customHeight="1" x14ac:dyDescent="0.25">
      <c r="A15" s="6" t="s">
        <v>30</v>
      </c>
      <c r="B15" s="7">
        <v>349992</v>
      </c>
      <c r="C15" s="7">
        <v>104997.6</v>
      </c>
      <c r="D15" s="7">
        <v>15749.64</v>
      </c>
      <c r="E15" s="7">
        <v>155.54</v>
      </c>
      <c r="F15" s="7">
        <f t="shared" ref="F15" si="12">C15-D15+E15</f>
        <v>89403.5</v>
      </c>
      <c r="G15" s="7">
        <f>ROUND($F15*0.86,2)-0.01</f>
        <v>76887</v>
      </c>
      <c r="H15" s="7">
        <f t="shared" si="2"/>
        <v>3576.14</v>
      </c>
      <c r="I15" s="7">
        <f t="shared" si="3"/>
        <v>2235.09</v>
      </c>
      <c r="J15" s="7">
        <f>ROUND($F15*0.025,2)+0.02</f>
        <v>2235.11</v>
      </c>
      <c r="K15" s="7">
        <f>ROUND($F15*0.025,2)-0.04</f>
        <v>2235.0500000000002</v>
      </c>
      <c r="L15" s="7">
        <f>ROUND($F15*0.025,2)+0.04</f>
        <v>2235.13</v>
      </c>
    </row>
    <row r="16" spans="1:12" ht="15" customHeight="1" x14ac:dyDescent="0.25">
      <c r="A16" s="6" t="s">
        <v>32</v>
      </c>
      <c r="B16" s="7">
        <v>873165.75</v>
      </c>
      <c r="C16" s="7">
        <v>261949.73</v>
      </c>
      <c r="D16" s="7">
        <v>39292.46</v>
      </c>
      <c r="E16" s="7">
        <v>319.12</v>
      </c>
      <c r="F16" s="7">
        <f t="shared" ref="F16" si="13">C16-D16+E16</f>
        <v>222976.39</v>
      </c>
      <c r="G16" s="7">
        <f>ROUND($F16*0.86,2)-0.01</f>
        <v>191759.69</v>
      </c>
      <c r="H16" s="7">
        <f t="shared" si="2"/>
        <v>8919.06</v>
      </c>
      <c r="I16" s="7">
        <f t="shared" si="3"/>
        <v>5574.41</v>
      </c>
      <c r="J16" s="7">
        <f>ROUND($F16*0.025,2)-0.01</f>
        <v>5574.4</v>
      </c>
      <c r="K16" s="7">
        <f>ROUND($F16*0.025,2)-0.03</f>
        <v>5574.38</v>
      </c>
      <c r="L16" s="7">
        <f>ROUND($F16*0.025,2)+0.04</f>
        <v>5574.45</v>
      </c>
    </row>
    <row r="17" spans="1:12" ht="15" customHeight="1" x14ac:dyDescent="0.25">
      <c r="A17" s="10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</row>
    <row r="18" spans="1:12" ht="15" customHeight="1" thickBot="1" x14ac:dyDescent="0.3">
      <c r="B18" s="8">
        <f t="shared" ref="B18:L18" si="14">SUM(B6:B17)</f>
        <v>7346598</v>
      </c>
      <c r="C18" s="8">
        <f t="shared" si="14"/>
        <v>2203979.4100000006</v>
      </c>
      <c r="D18" s="8">
        <f t="shared" si="14"/>
        <v>330596.93000000005</v>
      </c>
      <c r="E18" s="8">
        <f t="shared" si="14"/>
        <v>822.67</v>
      </c>
      <c r="F18" s="8">
        <f t="shared" si="14"/>
        <v>1874205.15</v>
      </c>
      <c r="G18" s="8">
        <f t="shared" si="14"/>
        <v>1611816.39</v>
      </c>
      <c r="H18" s="8">
        <f t="shared" si="14"/>
        <v>74968.2</v>
      </c>
      <c r="I18" s="8">
        <f t="shared" si="14"/>
        <v>46855.140000000014</v>
      </c>
      <c r="J18" s="8">
        <f t="shared" si="14"/>
        <v>46855.150000000009</v>
      </c>
      <c r="K18" s="8">
        <f t="shared" si="14"/>
        <v>46855.16</v>
      </c>
      <c r="L18" s="8">
        <f t="shared" si="14"/>
        <v>46855.73</v>
      </c>
    </row>
    <row r="19" spans="1:12" ht="15" customHeight="1" thickTop="1" x14ac:dyDescent="0.25"/>
    <row r="20" spans="1:12" ht="15" customHeight="1" x14ac:dyDescent="0.25">
      <c r="A20" s="9" t="s">
        <v>11</v>
      </c>
    </row>
  </sheetData>
  <mergeCells count="1">
    <mergeCell ref="A4:L4"/>
  </mergeCells>
  <pageMargins left="0.25" right="0.25" top="0.75" bottom="0.25" header="0.25" footer="0"/>
  <pageSetup scale="81" orientation="landscape" r:id="rId1"/>
  <headerFooter>
    <oddHeader>&amp;C&amp;"Arial,Italic"&amp;10GREENBRIER HISTORIC RESORT TABLE GAMES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Summary</vt:lpstr>
      <vt:lpstr>Video Lottery</vt:lpstr>
      <vt:lpstr>Table Games</vt:lpstr>
      <vt:lpstr>Summary!Print_Area</vt:lpstr>
      <vt:lpstr>'Table Games'!Print_Area</vt:lpstr>
      <vt:lpstr>'Video Lottery'!Print_Area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Mara Dawson</cp:lastModifiedBy>
  <cp:lastPrinted>2021-05-11T20:11:55Z</cp:lastPrinted>
  <dcterms:created xsi:type="dcterms:W3CDTF">2017-06-09T17:49:43Z</dcterms:created>
  <dcterms:modified xsi:type="dcterms:W3CDTF">2022-06-08T14:12:57Z</dcterms:modified>
</cp:coreProperties>
</file>