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3FY\"/>
    </mc:Choice>
  </mc:AlternateContent>
  <bookViews>
    <workbookView xWindow="285" yWindow="0" windowWidth="13710" windowHeight="13395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Town'!$A$1:$O$32</definedName>
    <definedName name="_xlnm.Print_Area" localSheetId="3">'Mardi Gras'!$A$1:$O$41</definedName>
    <definedName name="_xlnm.Print_Area" localSheetId="1">Mountaineer!$A$1:$O$35</definedName>
    <definedName name="_xlnm.Print_Area" localSheetId="0">Summary!$A$1:$O$26</definedName>
    <definedName name="_xlnm.Print_Area" localSheetId="2">Wheeling!$A$1:$O$41</definedName>
  </definedNames>
  <calcPr calcId="162913"/>
</workbook>
</file>

<file path=xl/calcChain.xml><?xml version="1.0" encoding="utf-8"?>
<calcChain xmlns="http://schemas.openxmlformats.org/spreadsheetml/2006/main">
  <c r="M20" i="2" l="1"/>
  <c r="J20" i="2"/>
  <c r="O21" i="5" l="1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O20" i="1"/>
  <c r="N20" i="1"/>
  <c r="L20" i="1"/>
  <c r="I20" i="1"/>
  <c r="H20" i="1"/>
  <c r="G20" i="1"/>
  <c r="E20" i="1"/>
  <c r="D20" i="1"/>
  <c r="C20" i="1"/>
  <c r="O20" i="2"/>
  <c r="N20" i="2"/>
  <c r="L20" i="2"/>
  <c r="I20" i="2"/>
  <c r="D20" i="2"/>
  <c r="C20" i="2"/>
  <c r="O20" i="3"/>
  <c r="N20" i="3"/>
  <c r="C20" i="3"/>
  <c r="O20" i="4"/>
  <c r="N20" i="4"/>
  <c r="I20" i="4"/>
  <c r="G20" i="4"/>
  <c r="D20" i="4"/>
  <c r="C20" i="4"/>
  <c r="H20" i="3" l="1"/>
  <c r="L20" i="3"/>
  <c r="M20" i="4"/>
  <c r="M20" i="1"/>
  <c r="J20" i="1"/>
  <c r="F20" i="1"/>
  <c r="H20" i="2"/>
  <c r="G20" i="2"/>
  <c r="F20" i="2"/>
  <c r="E20" i="2"/>
  <c r="M20" i="3"/>
  <c r="J20" i="3"/>
  <c r="I20" i="3"/>
  <c r="G20" i="3"/>
  <c r="F20" i="3"/>
  <c r="E20" i="3"/>
  <c r="D20" i="3"/>
  <c r="L20" i="4"/>
  <c r="J20" i="4"/>
  <c r="H20" i="4"/>
  <c r="F20" i="4"/>
  <c r="E20" i="4"/>
  <c r="N19" i="1" l="1"/>
  <c r="L19" i="1"/>
  <c r="I19" i="1"/>
  <c r="H19" i="1"/>
  <c r="E19" i="1"/>
  <c r="D19" i="1"/>
  <c r="O19" i="2"/>
  <c r="N19" i="2"/>
  <c r="L19" i="2"/>
  <c r="J19" i="2"/>
  <c r="O19" i="3"/>
  <c r="N19" i="3"/>
  <c r="L19" i="3"/>
  <c r="H19" i="3"/>
  <c r="C19" i="3"/>
  <c r="N19" i="4"/>
  <c r="M19" i="4"/>
  <c r="C19" i="4"/>
  <c r="K20" i="5" l="1"/>
  <c r="B20" i="5"/>
  <c r="O19" i="4"/>
  <c r="L19" i="4"/>
  <c r="J19" i="4"/>
  <c r="I19" i="4"/>
  <c r="D19" i="4"/>
  <c r="I19" i="3"/>
  <c r="E19" i="3"/>
  <c r="D19" i="3"/>
  <c r="I19" i="2"/>
  <c r="G19" i="2"/>
  <c r="F19" i="2"/>
  <c r="D19" i="2"/>
  <c r="C19" i="2"/>
  <c r="O19" i="1"/>
  <c r="O20" i="5" s="1"/>
  <c r="N20" i="5"/>
  <c r="G19" i="1"/>
  <c r="C19" i="1"/>
  <c r="C20" i="5" s="1"/>
  <c r="M19" i="1"/>
  <c r="J19" i="1"/>
  <c r="F19" i="1"/>
  <c r="M19" i="2"/>
  <c r="H19" i="2"/>
  <c r="E19" i="2"/>
  <c r="M19" i="3"/>
  <c r="J19" i="3"/>
  <c r="G19" i="3"/>
  <c r="F19" i="3"/>
  <c r="H19" i="4"/>
  <c r="H20" i="5" s="1"/>
  <c r="G19" i="4"/>
  <c r="F19" i="4"/>
  <c r="E19" i="4"/>
  <c r="M20" i="5" l="1"/>
  <c r="F20" i="5"/>
  <c r="I20" i="5"/>
  <c r="J20" i="5"/>
  <c r="E20" i="5"/>
  <c r="L20" i="5"/>
  <c r="G20" i="5"/>
  <c r="D20" i="5"/>
  <c r="L18" i="3"/>
  <c r="E18" i="3"/>
  <c r="O19" i="5" l="1"/>
  <c r="N19" i="5"/>
  <c r="L19" i="5"/>
  <c r="K19" i="5"/>
  <c r="J19" i="5"/>
  <c r="I19" i="5"/>
  <c r="H19" i="5"/>
  <c r="D19" i="5"/>
  <c r="C19" i="5"/>
  <c r="B19" i="5"/>
  <c r="O18" i="1"/>
  <c r="N18" i="1"/>
  <c r="L18" i="1"/>
  <c r="I18" i="1"/>
  <c r="G18" i="1"/>
  <c r="D18" i="1"/>
  <c r="C18" i="1"/>
  <c r="O18" i="2"/>
  <c r="N18" i="2"/>
  <c r="I18" i="2"/>
  <c r="G18" i="2"/>
  <c r="F18" i="2"/>
  <c r="D18" i="2"/>
  <c r="C18" i="2"/>
  <c r="O18" i="3"/>
  <c r="N18" i="3"/>
  <c r="I18" i="3"/>
  <c r="D18" i="3"/>
  <c r="C18" i="3"/>
  <c r="O18" i="4"/>
  <c r="N18" i="4"/>
  <c r="L18" i="4"/>
  <c r="J18" i="4"/>
  <c r="I18" i="4"/>
  <c r="D18" i="4"/>
  <c r="C18" i="4"/>
  <c r="J18" i="1"/>
  <c r="H18" i="1"/>
  <c r="E18" i="1"/>
  <c r="G18" i="3"/>
  <c r="M18" i="1"/>
  <c r="F18" i="1"/>
  <c r="M18" i="2"/>
  <c r="L18" i="2"/>
  <c r="J18" i="2"/>
  <c r="H18" i="2"/>
  <c r="E18" i="2"/>
  <c r="E19" i="5" s="1"/>
  <c r="M18" i="3"/>
  <c r="J18" i="3"/>
  <c r="H18" i="3"/>
  <c r="F18" i="3"/>
  <c r="M18" i="4"/>
  <c r="H18" i="4"/>
  <c r="G18" i="4"/>
  <c r="G19" i="5" s="1"/>
  <c r="F18" i="4"/>
  <c r="E18" i="4"/>
  <c r="F19" i="5" l="1"/>
  <c r="M19" i="5"/>
  <c r="L17" i="4"/>
  <c r="J17" i="4"/>
  <c r="O17" i="1" l="1"/>
  <c r="N17" i="1"/>
  <c r="L17" i="1"/>
  <c r="J17" i="1"/>
  <c r="I17" i="1"/>
  <c r="H17" i="1"/>
  <c r="G17" i="1"/>
  <c r="E17" i="1"/>
  <c r="D17" i="1"/>
  <c r="C17" i="1"/>
  <c r="O17" i="2"/>
  <c r="N17" i="2"/>
  <c r="I17" i="2"/>
  <c r="D17" i="2"/>
  <c r="C17" i="2"/>
  <c r="O17" i="3"/>
  <c r="N17" i="3"/>
  <c r="L17" i="3"/>
  <c r="I17" i="3"/>
  <c r="G17" i="3"/>
  <c r="E17" i="3"/>
  <c r="D17" i="3"/>
  <c r="C17" i="3"/>
  <c r="O17" i="4"/>
  <c r="I17" i="4"/>
  <c r="D17" i="4"/>
  <c r="C17" i="4"/>
  <c r="K18" i="5" l="1"/>
  <c r="B18" i="5"/>
  <c r="L17" i="2"/>
  <c r="J17" i="2"/>
  <c r="D18" i="5"/>
  <c r="O18" i="5"/>
  <c r="M17" i="1"/>
  <c r="F17" i="1"/>
  <c r="M17" i="2"/>
  <c r="H17" i="2"/>
  <c r="G17" i="2"/>
  <c r="F17" i="2"/>
  <c r="E17" i="2"/>
  <c r="H17" i="3"/>
  <c r="M17" i="3"/>
  <c r="J17" i="3"/>
  <c r="I18" i="5"/>
  <c r="F17" i="3"/>
  <c r="N17" i="4"/>
  <c r="C18" i="5"/>
  <c r="M17" i="4"/>
  <c r="H17" i="4"/>
  <c r="G17" i="4"/>
  <c r="F17" i="4"/>
  <c r="E17" i="4"/>
  <c r="G18" i="5" l="1"/>
  <c r="E18" i="5"/>
  <c r="L18" i="5"/>
  <c r="F18" i="5"/>
  <c r="N18" i="5"/>
  <c r="M18" i="5"/>
  <c r="H18" i="5"/>
  <c r="J18" i="5"/>
  <c r="C22" i="1"/>
  <c r="D22" i="1"/>
  <c r="E22" i="1"/>
  <c r="H22" i="1"/>
  <c r="I22" i="1"/>
  <c r="K22" i="1"/>
  <c r="L22" i="1"/>
  <c r="M22" i="1"/>
  <c r="N22" i="1"/>
  <c r="O22" i="1"/>
  <c r="C22" i="2"/>
  <c r="D22" i="2"/>
  <c r="F22" i="2"/>
  <c r="I22" i="2"/>
  <c r="J22" i="2"/>
  <c r="K22" i="2"/>
  <c r="L22" i="2"/>
  <c r="N22" i="2"/>
  <c r="O22" i="2"/>
  <c r="C22" i="4"/>
  <c r="D22" i="4"/>
  <c r="E22" i="4"/>
  <c r="I22" i="4"/>
  <c r="K22" i="4"/>
  <c r="L22" i="4"/>
  <c r="N22" i="4"/>
  <c r="O22" i="4"/>
  <c r="C22" i="3"/>
  <c r="E22" i="3"/>
  <c r="F22" i="3"/>
  <c r="K22" i="3"/>
  <c r="L22" i="3"/>
  <c r="N22" i="3"/>
  <c r="O22" i="3"/>
  <c r="N16" i="4" l="1"/>
  <c r="O16" i="1"/>
  <c r="N16" i="1"/>
  <c r="L16" i="1"/>
  <c r="I16" i="1"/>
  <c r="H16" i="1"/>
  <c r="G16" i="1"/>
  <c r="D16" i="1"/>
  <c r="O16" i="2"/>
  <c r="N16" i="2"/>
  <c r="L16" i="2"/>
  <c r="J16" i="2"/>
  <c r="I16" i="2"/>
  <c r="D16" i="2"/>
  <c r="O16" i="3"/>
  <c r="N16" i="3"/>
  <c r="L16" i="3"/>
  <c r="H16" i="3"/>
  <c r="E16" i="3"/>
  <c r="O16" i="4"/>
  <c r="L16" i="4"/>
  <c r="C16" i="4"/>
  <c r="K17" i="5" l="1"/>
  <c r="B17" i="5"/>
  <c r="C16" i="2"/>
  <c r="L17" i="5"/>
  <c r="F16" i="3"/>
  <c r="N17" i="5"/>
  <c r="O17" i="5"/>
  <c r="M16" i="1"/>
  <c r="J16" i="1"/>
  <c r="F16" i="1"/>
  <c r="E16" i="1"/>
  <c r="C16" i="1"/>
  <c r="M16" i="2"/>
  <c r="H16" i="2"/>
  <c r="G16" i="2"/>
  <c r="F16" i="2"/>
  <c r="E16" i="2"/>
  <c r="M16" i="3"/>
  <c r="J16" i="3"/>
  <c r="I16" i="3"/>
  <c r="G16" i="3"/>
  <c r="D16" i="3"/>
  <c r="D17" i="5" s="1"/>
  <c r="C16" i="3"/>
  <c r="I16" i="4"/>
  <c r="D16" i="4"/>
  <c r="M16" i="4"/>
  <c r="J16" i="4"/>
  <c r="H16" i="4"/>
  <c r="G16" i="4"/>
  <c r="F16" i="4"/>
  <c r="E16" i="4"/>
  <c r="E17" i="5" l="1"/>
  <c r="F17" i="5"/>
  <c r="C17" i="5"/>
  <c r="I17" i="5"/>
  <c r="J17" i="5"/>
  <c r="G17" i="5"/>
  <c r="M17" i="5"/>
  <c r="H17" i="5"/>
  <c r="B22" i="1"/>
  <c r="E15" i="3" l="1"/>
  <c r="O16" i="5"/>
  <c r="N16" i="5"/>
  <c r="L16" i="5"/>
  <c r="K16" i="5"/>
  <c r="H16" i="5"/>
  <c r="C16" i="5"/>
  <c r="B16" i="5"/>
  <c r="O15" i="1"/>
  <c r="N15" i="1"/>
  <c r="O15" i="2"/>
  <c r="N15" i="2"/>
  <c r="O15" i="3"/>
  <c r="N15" i="3"/>
  <c r="O15" i="4"/>
  <c r="N15" i="4"/>
  <c r="L15" i="1"/>
  <c r="I15" i="1"/>
  <c r="H15" i="1"/>
  <c r="G15" i="1"/>
  <c r="D15" i="1"/>
  <c r="L15" i="2"/>
  <c r="C15" i="2"/>
  <c r="L15" i="3"/>
  <c r="F15" i="3"/>
  <c r="L15" i="4"/>
  <c r="I15" i="4"/>
  <c r="D15" i="4"/>
  <c r="M15" i="1" l="1"/>
  <c r="C15" i="1"/>
  <c r="I15" i="2"/>
  <c r="H15" i="2"/>
  <c r="F15" i="2"/>
  <c r="D15" i="2"/>
  <c r="J15" i="3"/>
  <c r="C15" i="3"/>
  <c r="H15" i="4"/>
  <c r="E15" i="4"/>
  <c r="C15" i="4"/>
  <c r="J15" i="1"/>
  <c r="J16" i="5" s="1"/>
  <c r="F15" i="1"/>
  <c r="E15" i="1"/>
  <c r="M15" i="2"/>
  <c r="J15" i="2"/>
  <c r="G15" i="2"/>
  <c r="E15" i="2"/>
  <c r="E16" i="5" s="1"/>
  <c r="M15" i="3"/>
  <c r="I15" i="3"/>
  <c r="I16" i="5" s="1"/>
  <c r="H15" i="3"/>
  <c r="G15" i="3"/>
  <c r="D15" i="3"/>
  <c r="D16" i="5" s="1"/>
  <c r="M15" i="4"/>
  <c r="J15" i="4"/>
  <c r="G15" i="4"/>
  <c r="F15" i="4"/>
  <c r="F16" i="5" l="1"/>
  <c r="M16" i="5"/>
  <c r="G16" i="5"/>
  <c r="E14" i="4"/>
  <c r="O14" i="1" l="1"/>
  <c r="M14" i="1"/>
  <c r="L14" i="1"/>
  <c r="I14" i="1"/>
  <c r="H14" i="1"/>
  <c r="D14" i="1"/>
  <c r="C14" i="1"/>
  <c r="O14" i="2"/>
  <c r="L14" i="2"/>
  <c r="I14" i="2"/>
  <c r="H14" i="2"/>
  <c r="F14" i="2"/>
  <c r="D14" i="2"/>
  <c r="O14" i="3"/>
  <c r="J14" i="3"/>
  <c r="C14" i="3"/>
  <c r="O14" i="4"/>
  <c r="N14" i="4"/>
  <c r="I14" i="4"/>
  <c r="H14" i="4"/>
  <c r="D14" i="4"/>
  <c r="C14" i="4"/>
  <c r="K15" i="5" l="1"/>
  <c r="B15" i="5"/>
  <c r="N14" i="1"/>
  <c r="E14" i="1"/>
  <c r="O15" i="5"/>
  <c r="N14" i="2"/>
  <c r="C14" i="2"/>
  <c r="E14" i="3"/>
  <c r="N14" i="3"/>
  <c r="L14" i="3"/>
  <c r="J14" i="4"/>
  <c r="J14" i="1"/>
  <c r="G14" i="1"/>
  <c r="F14" i="1"/>
  <c r="M14" i="2"/>
  <c r="J14" i="2"/>
  <c r="G14" i="2"/>
  <c r="E14" i="2"/>
  <c r="M14" i="3"/>
  <c r="I14" i="3"/>
  <c r="H14" i="3"/>
  <c r="H15" i="5" s="1"/>
  <c r="G14" i="3"/>
  <c r="F14" i="3"/>
  <c r="D14" i="3"/>
  <c r="M14" i="4"/>
  <c r="L14" i="4"/>
  <c r="G14" i="4"/>
  <c r="F14" i="4"/>
  <c r="C15" i="5"/>
  <c r="E15" i="5" l="1"/>
  <c r="I15" i="5"/>
  <c r="F15" i="5"/>
  <c r="N15" i="5"/>
  <c r="G15" i="5"/>
  <c r="D15" i="5"/>
  <c r="J15" i="5"/>
  <c r="L15" i="5"/>
  <c r="M15" i="5"/>
  <c r="L13" i="2"/>
  <c r="E13" i="2"/>
  <c r="C13" i="2" l="1"/>
  <c r="O13" i="1"/>
  <c r="N13" i="1"/>
  <c r="L13" i="1"/>
  <c r="I13" i="1"/>
  <c r="H13" i="1"/>
  <c r="E13" i="1"/>
  <c r="D13" i="1"/>
  <c r="C13" i="1"/>
  <c r="O13" i="2"/>
  <c r="N13" i="2"/>
  <c r="O13" i="3"/>
  <c r="N13" i="3"/>
  <c r="L13" i="3"/>
  <c r="E13" i="3"/>
  <c r="C13" i="3"/>
  <c r="O13" i="4"/>
  <c r="N13" i="4"/>
  <c r="J13" i="4"/>
  <c r="K14" i="5" l="1"/>
  <c r="B14" i="5"/>
  <c r="L13" i="4"/>
  <c r="I13" i="4"/>
  <c r="D13" i="4"/>
  <c r="C13" i="4"/>
  <c r="H13" i="3"/>
  <c r="F13" i="3"/>
  <c r="O14" i="5"/>
  <c r="N14" i="5"/>
  <c r="J13" i="2"/>
  <c r="I13" i="2"/>
  <c r="D13" i="2"/>
  <c r="M13" i="1"/>
  <c r="J13" i="1"/>
  <c r="G13" i="1"/>
  <c r="F13" i="1"/>
  <c r="M13" i="2"/>
  <c r="H13" i="2"/>
  <c r="G13" i="2"/>
  <c r="F13" i="2"/>
  <c r="M13" i="3"/>
  <c r="J13" i="3"/>
  <c r="I13" i="3"/>
  <c r="G13" i="3"/>
  <c r="D13" i="3"/>
  <c r="M13" i="4"/>
  <c r="H13" i="4"/>
  <c r="G13" i="4"/>
  <c r="F13" i="4"/>
  <c r="E13" i="4"/>
  <c r="J14" i="5" l="1"/>
  <c r="H14" i="5"/>
  <c r="I14" i="5"/>
  <c r="D14" i="5"/>
  <c r="F14" i="5"/>
  <c r="L14" i="5"/>
  <c r="M14" i="5"/>
  <c r="E14" i="5"/>
  <c r="G14" i="5"/>
  <c r="C14" i="5"/>
  <c r="O12" i="1"/>
  <c r="N12" i="1"/>
  <c r="L12" i="1"/>
  <c r="I12" i="1"/>
  <c r="D12" i="1"/>
  <c r="C12" i="1"/>
  <c r="O12" i="2"/>
  <c r="N12" i="2"/>
  <c r="L12" i="2"/>
  <c r="J12" i="2"/>
  <c r="I12" i="2"/>
  <c r="D12" i="2"/>
  <c r="O12" i="3"/>
  <c r="N12" i="3"/>
  <c r="L12" i="3"/>
  <c r="H12" i="3"/>
  <c r="F12" i="3"/>
  <c r="C12" i="3"/>
  <c r="O12" i="4"/>
  <c r="N12" i="4"/>
  <c r="L12" i="4"/>
  <c r="I12" i="4"/>
  <c r="D12" i="4"/>
  <c r="C12" i="4"/>
  <c r="K13" i="5" l="1"/>
  <c r="B13" i="5"/>
  <c r="O13" i="5"/>
  <c r="L13" i="5"/>
  <c r="J12" i="1"/>
  <c r="H12" i="1"/>
  <c r="E12" i="1"/>
  <c r="N13" i="5"/>
  <c r="M12" i="2"/>
  <c r="M22" i="2" s="1"/>
  <c r="C12" i="2"/>
  <c r="I12" i="3"/>
  <c r="I22" i="3" s="1"/>
  <c r="E12" i="3"/>
  <c r="D12" i="3"/>
  <c r="D22" i="3" s="1"/>
  <c r="E12" i="4"/>
  <c r="C13" i="5"/>
  <c r="M12" i="1"/>
  <c r="G12" i="1"/>
  <c r="F12" i="1"/>
  <c r="H12" i="2"/>
  <c r="G12" i="2"/>
  <c r="F12" i="2"/>
  <c r="E12" i="2"/>
  <c r="M12" i="3"/>
  <c r="J12" i="3"/>
  <c r="G12" i="3"/>
  <c r="M12" i="4"/>
  <c r="J12" i="4"/>
  <c r="H12" i="4"/>
  <c r="G12" i="4"/>
  <c r="F12" i="4"/>
  <c r="M13" i="5" l="1"/>
  <c r="E13" i="5"/>
  <c r="H13" i="5"/>
  <c r="D13" i="5"/>
  <c r="I13" i="5"/>
  <c r="F13" i="5"/>
  <c r="G13" i="5"/>
  <c r="J13" i="5"/>
  <c r="O11" i="1"/>
  <c r="N11" i="1"/>
  <c r="L11" i="1"/>
  <c r="J11" i="1"/>
  <c r="I11" i="1"/>
  <c r="H11" i="1"/>
  <c r="E11" i="1"/>
  <c r="D11" i="1"/>
  <c r="C11" i="1"/>
  <c r="O11" i="2"/>
  <c r="N11" i="2"/>
  <c r="M11" i="2"/>
  <c r="L11" i="2"/>
  <c r="C11" i="2"/>
  <c r="O11" i="3"/>
  <c r="L11" i="3"/>
  <c r="I11" i="3"/>
  <c r="F11" i="3"/>
  <c r="E11" i="3"/>
  <c r="D11" i="3"/>
  <c r="C11" i="3"/>
  <c r="O11" i="4"/>
  <c r="L11" i="4"/>
  <c r="E11" i="4"/>
  <c r="C11" i="4"/>
  <c r="K12" i="5" l="1"/>
  <c r="B12" i="5"/>
  <c r="O12" i="5"/>
  <c r="D12" i="5"/>
  <c r="M11" i="1"/>
  <c r="G11" i="1"/>
  <c r="F11" i="1"/>
  <c r="L12" i="5"/>
  <c r="J11" i="2"/>
  <c r="I11" i="2"/>
  <c r="E11" i="2"/>
  <c r="E22" i="2" s="1"/>
  <c r="D11" i="2"/>
  <c r="H11" i="2"/>
  <c r="G11" i="2"/>
  <c r="F11" i="2"/>
  <c r="C12" i="5"/>
  <c r="N11" i="3"/>
  <c r="M11" i="3"/>
  <c r="J11" i="3"/>
  <c r="H11" i="3"/>
  <c r="G11" i="3"/>
  <c r="N11" i="4"/>
  <c r="M11" i="4"/>
  <c r="J11" i="4"/>
  <c r="I11" i="4"/>
  <c r="H11" i="4"/>
  <c r="G11" i="4"/>
  <c r="F11" i="4"/>
  <c r="D11" i="4"/>
  <c r="E12" i="5" l="1"/>
  <c r="J12" i="5"/>
  <c r="H12" i="5"/>
  <c r="I12" i="5"/>
  <c r="G12" i="5"/>
  <c r="N12" i="5"/>
  <c r="M12" i="5"/>
  <c r="F12" i="5"/>
  <c r="L10" i="1"/>
  <c r="E10" i="1"/>
  <c r="E10" i="3" l="1"/>
  <c r="O10" i="1"/>
  <c r="N10" i="1"/>
  <c r="I10" i="1"/>
  <c r="H10" i="1"/>
  <c r="D10" i="1"/>
  <c r="O10" i="2"/>
  <c r="N10" i="2"/>
  <c r="L10" i="2"/>
  <c r="J10" i="2"/>
  <c r="I10" i="2"/>
  <c r="E10" i="2"/>
  <c r="D10" i="2"/>
  <c r="O10" i="3"/>
  <c r="N10" i="3"/>
  <c r="F10" i="3"/>
  <c r="C10" i="3"/>
  <c r="O10" i="4"/>
  <c r="N10" i="4"/>
  <c r="L10" i="4"/>
  <c r="C10" i="4"/>
  <c r="K11" i="5" l="1"/>
  <c r="B11" i="5"/>
  <c r="N11" i="5"/>
  <c r="M10" i="1"/>
  <c r="G10" i="1"/>
  <c r="G22" i="1" s="1"/>
  <c r="C10" i="1"/>
  <c r="O11" i="5"/>
  <c r="M10" i="2"/>
  <c r="F10" i="2"/>
  <c r="E10" i="4"/>
  <c r="J10" i="1"/>
  <c r="F10" i="1"/>
  <c r="H10" i="2"/>
  <c r="G10" i="2"/>
  <c r="C10" i="2"/>
  <c r="M10" i="3"/>
  <c r="L10" i="3"/>
  <c r="J10" i="3"/>
  <c r="I10" i="3"/>
  <c r="H10" i="3"/>
  <c r="G10" i="3"/>
  <c r="D10" i="3"/>
  <c r="C11" i="5"/>
  <c r="M10" i="4"/>
  <c r="J10" i="4"/>
  <c r="I10" i="4"/>
  <c r="H10" i="4"/>
  <c r="G10" i="4"/>
  <c r="F10" i="4"/>
  <c r="D10" i="4"/>
  <c r="D11" i="5" s="1"/>
  <c r="F11" i="5" l="1"/>
  <c r="J11" i="5"/>
  <c r="G11" i="5"/>
  <c r="H11" i="5"/>
  <c r="I11" i="5"/>
  <c r="L11" i="5"/>
  <c r="M11" i="5"/>
  <c r="E11" i="5"/>
  <c r="O9" i="1"/>
  <c r="N9" i="1"/>
  <c r="M9" i="1"/>
  <c r="L9" i="1"/>
  <c r="I9" i="1"/>
  <c r="H9" i="1"/>
  <c r="G9" i="1"/>
  <c r="E9" i="1"/>
  <c r="D9" i="1"/>
  <c r="C9" i="1"/>
  <c r="O9" i="2"/>
  <c r="N9" i="2"/>
  <c r="M9" i="2"/>
  <c r="L9" i="2"/>
  <c r="I9" i="2"/>
  <c r="F9" i="2"/>
  <c r="D9" i="2"/>
  <c r="O9" i="3"/>
  <c r="N9" i="3"/>
  <c r="E9" i="3"/>
  <c r="O9" i="4"/>
  <c r="N9" i="4"/>
  <c r="L9" i="4" l="1"/>
  <c r="E9" i="4"/>
  <c r="C9" i="4"/>
  <c r="J9" i="1" l="1"/>
  <c r="J22" i="1" s="1"/>
  <c r="F9" i="1"/>
  <c r="F22" i="1" s="1"/>
  <c r="J9" i="2"/>
  <c r="H9" i="2"/>
  <c r="H22" i="2" s="1"/>
  <c r="G9" i="2"/>
  <c r="G22" i="2" s="1"/>
  <c r="E9" i="2"/>
  <c r="C9" i="2"/>
  <c r="M9" i="3"/>
  <c r="M22" i="3" s="1"/>
  <c r="L9" i="3"/>
  <c r="J9" i="3"/>
  <c r="J22" i="3" s="1"/>
  <c r="I9" i="3"/>
  <c r="H9" i="3"/>
  <c r="H22" i="3" s="1"/>
  <c r="G9" i="3"/>
  <c r="G22" i="3" s="1"/>
  <c r="F9" i="3"/>
  <c r="D9" i="3"/>
  <c r="C9" i="3"/>
  <c r="B22" i="4" l="1"/>
  <c r="M9" i="4"/>
  <c r="M22" i="4" s="1"/>
  <c r="J9" i="4"/>
  <c r="J22" i="4" s="1"/>
  <c r="I9" i="4"/>
  <c r="H9" i="4"/>
  <c r="H22" i="4" s="1"/>
  <c r="G9" i="4"/>
  <c r="G22" i="4" s="1"/>
  <c r="F9" i="4"/>
  <c r="F22" i="4" s="1"/>
  <c r="D9" i="4"/>
  <c r="B22" i="3"/>
  <c r="B22" i="2"/>
  <c r="B10" i="5" l="1"/>
  <c r="K10" i="5"/>
  <c r="K23" i="5" s="1"/>
  <c r="O10" i="5" l="1"/>
  <c r="O23" i="5" s="1"/>
  <c r="N10" i="5"/>
  <c r="N23" i="5" s="1"/>
  <c r="L10" i="5"/>
  <c r="L23" i="5" s="1"/>
  <c r="C10" i="5"/>
  <c r="C23" i="5" s="1"/>
  <c r="G10" i="5" l="1"/>
  <c r="G23" i="5" s="1"/>
  <c r="E10" i="5"/>
  <c r="E23" i="5" s="1"/>
  <c r="D10" i="5"/>
  <c r="D23" i="5" s="1"/>
  <c r="J10" i="5"/>
  <c r="J23" i="5" s="1"/>
  <c r="F10" i="5"/>
  <c r="F23" i="5" s="1"/>
  <c r="M10" i="5"/>
  <c r="M23" i="5" s="1"/>
  <c r="H10" i="5"/>
  <c r="H23" i="5" s="1"/>
  <c r="I10" i="5"/>
  <c r="I23" i="5" s="1"/>
  <c r="B23" i="5" l="1"/>
</calcChain>
</file>

<file path=xl/sharedStrings.xml><?xml version="1.0" encoding="utf-8"?>
<sst xmlns="http://schemas.openxmlformats.org/spreadsheetml/2006/main" count="156" uniqueCount="39">
  <si>
    <t>HOLLYWOOD CASINO AT CHARLES TOWN RACES TABLE GAMES</t>
  </si>
  <si>
    <t>Total Adjusted
Gross Receipts</t>
  </si>
  <si>
    <t>Privilege Tax</t>
  </si>
  <si>
    <t>Administrative</t>
  </si>
  <si>
    <t>Excess Lottery
Fund</t>
  </si>
  <si>
    <t>Thoroughbred Development Fund</t>
  </si>
  <si>
    <t>Racetrack County</t>
  </si>
  <si>
    <t>Racetrack Municipality</t>
  </si>
  <si>
    <t>Racetracks Within Municipalities</t>
  </si>
  <si>
    <t>Interest **</t>
  </si>
  <si>
    <t>Excess Lottery Fund</t>
  </si>
  <si>
    <t>Pension Fund</t>
  </si>
  <si>
    <t>Non-Racetrack Counties *</t>
  </si>
  <si>
    <t>Non-Racetrack Municipalities *</t>
  </si>
  <si>
    <t>*  To get an even distribution amount there will be cents carried forward each month.</t>
  </si>
  <si>
    <t>**  Interest is only used in the calculation of Excess Lottery Fund, Pension Fund, and Non-Racetrack Counties and Municipalities.</t>
  </si>
  <si>
    <t>MARDI GRAS CASINO TABLE GAMES</t>
  </si>
  <si>
    <t>WHEELING ISLAND CASINO TABLE GAMES</t>
  </si>
  <si>
    <t>MOUNTAINEER CASINO TABLE GAMES</t>
  </si>
  <si>
    <t>Thoroughbred Purse Fund</t>
  </si>
  <si>
    <t>Thoroughbred / Greyhound Purse Fund</t>
  </si>
  <si>
    <t>Thoroughbred / Greyhound Development Fund</t>
  </si>
  <si>
    <t>WEST VIRGINIA LOTTERY</t>
  </si>
  <si>
    <t>TABLE GAMES DISTRIBUTION SUMMARY</t>
  </si>
  <si>
    <t>FY 2022</t>
  </si>
  <si>
    <t>FISCAL YEAR 2023</t>
  </si>
  <si>
    <t>July 2022</t>
  </si>
  <si>
    <t>August 2022</t>
  </si>
  <si>
    <t>September 2022</t>
  </si>
  <si>
    <t>October 2022</t>
  </si>
  <si>
    <t>November 2022</t>
  </si>
  <si>
    <t>December 2022</t>
  </si>
  <si>
    <t>January 2023</t>
  </si>
  <si>
    <t>February 2023</t>
  </si>
  <si>
    <t>March 2023</t>
  </si>
  <si>
    <t>April 2023</t>
  </si>
  <si>
    <t>May 2023</t>
  </si>
  <si>
    <t>FOR THE MONTH ENDING JUNE 30, 2023</t>
  </si>
  <si>
    <t>June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</si>
</sst>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32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/>
    </xf>
    <xf numFmtId="0" fontId="18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44" fontId="18" fillId="0" borderId="0" xfId="1" applyFont="1"/>
    <xf numFmtId="44" fontId="18" fillId="0" borderId="2" xfId="0" applyNumberFormat="1" applyFont="1" applyBorder="1"/>
    <xf numFmtId="0" fontId="20" fillId="0" borderId="0" xfId="0" applyFont="1"/>
    <xf numFmtId="44" fontId="18" fillId="0" borderId="0" xfId="1" applyNumberFormat="1" applyFont="1"/>
    <xf numFmtId="0" fontId="18" fillId="0" borderId="0" xfId="0" applyFont="1" applyFill="1"/>
    <xf numFmtId="0" fontId="15" fillId="0" borderId="0" xfId="0" applyFont="1" applyFill="1"/>
    <xf numFmtId="0" fontId="14" fillId="0" borderId="0" xfId="0" applyFont="1"/>
    <xf numFmtId="0" fontId="13" fillId="0" borderId="0" xfId="0" applyFont="1"/>
    <xf numFmtId="0" fontId="13" fillId="0" borderId="0" xfId="0" quotePrefix="1" applyFont="1"/>
    <xf numFmtId="0" fontId="12" fillId="0" borderId="0" xfId="0" quotePrefix="1" applyFont="1"/>
    <xf numFmtId="0" fontId="11" fillId="0" borderId="0" xfId="0" quotePrefix="1" applyFont="1"/>
    <xf numFmtId="0" fontId="10" fillId="0" borderId="0" xfId="0" quotePrefix="1" applyFont="1"/>
    <xf numFmtId="0" fontId="9" fillId="0" borderId="0" xfId="0" quotePrefix="1" applyFont="1"/>
    <xf numFmtId="0" fontId="8" fillId="0" borderId="0" xfId="0" quotePrefix="1" applyFont="1"/>
    <xf numFmtId="0" fontId="7" fillId="0" borderId="0" xfId="0" quotePrefix="1" applyFont="1"/>
    <xf numFmtId="0" fontId="6" fillId="0" borderId="0" xfId="0" quotePrefix="1" applyFont="1"/>
    <xf numFmtId="0" fontId="5" fillId="0" borderId="0" xfId="0" quotePrefix="1" applyFont="1"/>
    <xf numFmtId="0" fontId="4" fillId="0" borderId="0" xfId="0" quotePrefix="1" applyFont="1"/>
    <xf numFmtId="0" fontId="3" fillId="0" borderId="0" xfId="0" quotePrefix="1" applyFont="1"/>
    <xf numFmtId="0" fontId="2" fillId="0" borderId="0" xfId="0" quotePrefix="1" applyFont="1"/>
    <xf numFmtId="0" fontId="1" fillId="0" borderId="0" xfId="0" quotePrefix="1" applyFont="1"/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tabSelected="1" workbookViewId="0">
      <selection activeCell="A21" sqref="A21"/>
    </sheetView>
  </sheetViews>
  <sheetFormatPr defaultColWidth="9.140625" defaultRowHeight="15" customHeight="1" x14ac:dyDescent="0.25"/>
  <cols>
    <col min="1" max="1" width="15.7109375" style="1" customWidth="1"/>
    <col min="2" max="3" width="15.28515625" style="1" bestFit="1" customWidth="1"/>
    <col min="4" max="4" width="14.28515625" style="1" bestFit="1" customWidth="1"/>
    <col min="5" max="5" width="13.7109375" style="1" customWidth="1"/>
    <col min="6" max="6" width="14.28515625" style="1" bestFit="1" customWidth="1"/>
    <col min="7" max="7" width="15.140625" style="1" customWidth="1"/>
    <col min="8" max="9" width="14.28515625" style="1" bestFit="1" customWidth="1"/>
    <col min="10" max="10" width="13.7109375" style="1" bestFit="1" customWidth="1"/>
    <col min="11" max="11" width="13.85546875" style="1" customWidth="1"/>
    <col min="12" max="12" width="15.28515625" style="1" bestFit="1" customWidth="1"/>
    <col min="13" max="13" width="12.5703125" style="1" bestFit="1" customWidth="1"/>
    <col min="14" max="14" width="14.28515625" style="1" bestFit="1" customWidth="1"/>
    <col min="15" max="15" width="15.140625" style="1" customWidth="1"/>
    <col min="16" max="16384" width="9.140625" style="1"/>
  </cols>
  <sheetData>
    <row r="1" spans="1:15" ht="18.75" x14ac:dyDescent="0.3">
      <c r="A1" s="28" t="s">
        <v>22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5" customHeight="1" x14ac:dyDescent="0.25">
      <c r="A2" s="29" t="s">
        <v>23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5" customHeight="1" x14ac:dyDescent="0.25">
      <c r="A3" s="29" t="s">
        <v>37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15" customHeight="1" x14ac:dyDescent="0.25">
      <c r="A4" s="29" t="s">
        <v>25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8" spans="1:15" ht="60" customHeight="1" x14ac:dyDescent="0.25">
      <c r="B8" s="3" t="s">
        <v>1</v>
      </c>
      <c r="C8" s="4" t="s">
        <v>2</v>
      </c>
      <c r="D8" s="4" t="s">
        <v>3</v>
      </c>
      <c r="E8" s="3" t="s">
        <v>4</v>
      </c>
      <c r="F8" s="3" t="s">
        <v>20</v>
      </c>
      <c r="G8" s="3" t="s">
        <v>21</v>
      </c>
      <c r="H8" s="3" t="s">
        <v>6</v>
      </c>
      <c r="I8" s="3" t="s">
        <v>7</v>
      </c>
      <c r="J8" s="3" t="s">
        <v>8</v>
      </c>
      <c r="K8" s="3" t="s">
        <v>9</v>
      </c>
      <c r="L8" s="3" t="s">
        <v>10</v>
      </c>
      <c r="M8" s="3" t="s">
        <v>11</v>
      </c>
      <c r="N8" s="3" t="s">
        <v>12</v>
      </c>
      <c r="O8" s="3" t="s">
        <v>13</v>
      </c>
    </row>
    <row r="9" spans="1:15" x14ac:dyDescent="0.25">
      <c r="B9" s="5"/>
      <c r="C9" s="6"/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15" customHeight="1" x14ac:dyDescent="0.25">
      <c r="A10" s="15" t="s">
        <v>26</v>
      </c>
      <c r="B10" s="7">
        <f>SUM('Mountaineer:Charles Town'!B9)</f>
        <v>8576231.3399999999</v>
      </c>
      <c r="C10" s="7">
        <f>SUM('Mountaineer:Charles Town'!C9)</f>
        <v>3001681</v>
      </c>
      <c r="D10" s="7">
        <f>SUM('Mountaineer:Charles Town'!D9)</f>
        <v>257286.96000000002</v>
      </c>
      <c r="E10" s="7">
        <f>SUM('Mountaineer:Charles Town'!E9)</f>
        <v>38593.03</v>
      </c>
      <c r="F10" s="7">
        <f>SUM('Mountaineer:Charles Town'!F9)</f>
        <v>192965.21000000002</v>
      </c>
      <c r="G10" s="7">
        <f>SUM('Mountaineer:Charles Town'!G9)</f>
        <v>154372.18</v>
      </c>
      <c r="H10" s="7">
        <f>SUM('Mountaineer:Charles Town'!H9)</f>
        <v>171524.63999999998</v>
      </c>
      <c r="I10" s="7">
        <f>SUM('Mountaineer:Charles Town'!I9)</f>
        <v>257286.96000000002</v>
      </c>
      <c r="J10" s="7">
        <f>SUM('Mountaineer:Charles Town'!J9)</f>
        <v>42881.16</v>
      </c>
      <c r="K10" s="7">
        <f>SUM('Mountaineer:Charles Town'!K9)</f>
        <v>9256.5399999999991</v>
      </c>
      <c r="L10" s="7">
        <f>SUM('Mountaineer:Charles Town'!L9)</f>
        <v>1440980.81</v>
      </c>
      <c r="M10" s="7">
        <f>SUM('Mountaineer:Charles Town'!M9)</f>
        <v>75841.09</v>
      </c>
      <c r="N10" s="7">
        <f>SUM('Mountaineer:Charles Town'!N9)</f>
        <v>189602.7</v>
      </c>
      <c r="O10" s="7">
        <f>SUM('Mountaineer:Charles Town'!O9)</f>
        <v>189603.26</v>
      </c>
    </row>
    <row r="11" spans="1:15" ht="15" customHeight="1" x14ac:dyDescent="0.25">
      <c r="A11" s="16" t="s">
        <v>27</v>
      </c>
      <c r="B11" s="7">
        <f>SUM('Mountaineer:Charles Town'!B10)</f>
        <v>8512334.8800000008</v>
      </c>
      <c r="C11" s="7">
        <f>SUM('Mountaineer:Charles Town'!C10)</f>
        <v>2979317.23</v>
      </c>
      <c r="D11" s="7">
        <f>SUM('Mountaineer:Charles Town'!D10)</f>
        <v>255370.02</v>
      </c>
      <c r="E11" s="7">
        <f>SUM('Mountaineer:Charles Town'!E10)</f>
        <v>38305.51</v>
      </c>
      <c r="F11" s="7">
        <f>SUM('Mountaineer:Charles Town'!F10)</f>
        <v>191527.55</v>
      </c>
      <c r="G11" s="7">
        <f>SUM('Mountaineer:Charles Town'!G10)</f>
        <v>153222.02000000002</v>
      </c>
      <c r="H11" s="7">
        <f>SUM('Mountaineer:Charles Town'!H10)</f>
        <v>170246.68</v>
      </c>
      <c r="I11" s="7">
        <f>SUM('Mountaineer:Charles Town'!I10)</f>
        <v>255370.02</v>
      </c>
      <c r="J11" s="7">
        <f>SUM('Mountaineer:Charles Town'!J10)</f>
        <v>42561.68</v>
      </c>
      <c r="K11" s="7">
        <f>SUM('Mountaineer:Charles Town'!K10)</f>
        <v>11192.24</v>
      </c>
      <c r="L11" s="7">
        <f>SUM('Mountaineer:Charles Town'!L10)</f>
        <v>1431768.56</v>
      </c>
      <c r="M11" s="7">
        <f>SUM('Mountaineer:Charles Town'!M10)</f>
        <v>75356.23</v>
      </c>
      <c r="N11" s="7">
        <f>SUM('Mountaineer:Charles Town'!N10)</f>
        <v>188390.43</v>
      </c>
      <c r="O11" s="7">
        <f>SUM('Mountaineer:Charles Town'!O10)</f>
        <v>188389.24</v>
      </c>
    </row>
    <row r="12" spans="1:15" ht="15" customHeight="1" x14ac:dyDescent="0.25">
      <c r="A12" s="17" t="s">
        <v>28</v>
      </c>
      <c r="B12" s="7">
        <f>SUM('Mountaineer:Charles Town'!B11)</f>
        <v>7705581.0999999996</v>
      </c>
      <c r="C12" s="7">
        <f>SUM('Mountaineer:Charles Town'!C11)</f>
        <v>2696953.39</v>
      </c>
      <c r="D12" s="7">
        <f>SUM('Mountaineer:Charles Town'!D11)</f>
        <v>231167.38</v>
      </c>
      <c r="E12" s="7">
        <f>SUM('Mountaineer:Charles Town'!E11)</f>
        <v>34675.11</v>
      </c>
      <c r="F12" s="7">
        <f>SUM('Mountaineer:Charles Town'!F11)</f>
        <v>173375.57</v>
      </c>
      <c r="G12" s="7">
        <f>SUM('Mountaineer:Charles Town'!G11)</f>
        <v>138700.46</v>
      </c>
      <c r="H12" s="7">
        <f>SUM('Mountaineer:Charles Town'!H11)</f>
        <v>154111.59999999998</v>
      </c>
      <c r="I12" s="7">
        <f>SUM('Mountaineer:Charles Town'!I11)</f>
        <v>231167.38</v>
      </c>
      <c r="J12" s="7">
        <f>SUM('Mountaineer:Charles Town'!J11)</f>
        <v>38527.9</v>
      </c>
      <c r="K12" s="7">
        <f>SUM('Mountaineer:Charles Town'!K11)</f>
        <v>10217.27</v>
      </c>
      <c r="L12" s="7">
        <f>SUM('Mountaineer:Charles Town'!L11)</f>
        <v>1296138.3900000001</v>
      </c>
      <c r="M12" s="7">
        <f>SUM('Mountaineer:Charles Town'!M11)</f>
        <v>68217.81</v>
      </c>
      <c r="N12" s="7">
        <f>SUM('Mountaineer:Charles Town'!N11)</f>
        <v>170544.51</v>
      </c>
      <c r="O12" s="7">
        <f>SUM('Mountaineer:Charles Town'!O11)</f>
        <v>170544.56</v>
      </c>
    </row>
    <row r="13" spans="1:15" ht="15" customHeight="1" x14ac:dyDescent="0.25">
      <c r="A13" s="18" t="s">
        <v>29</v>
      </c>
      <c r="B13" s="7">
        <f>SUM('Mountaineer:Charles Town'!B12)</f>
        <v>8352562.4000000004</v>
      </c>
      <c r="C13" s="7">
        <f>SUM('Mountaineer:Charles Town'!C12)</f>
        <v>2923396.86</v>
      </c>
      <c r="D13" s="7">
        <f>SUM('Mountaineer:Charles Town'!D12)</f>
        <v>250576.87</v>
      </c>
      <c r="E13" s="7">
        <f>SUM('Mountaineer:Charles Town'!E12)</f>
        <v>37586.53</v>
      </c>
      <c r="F13" s="7">
        <f>SUM('Mountaineer:Charles Town'!F12)</f>
        <v>187932.65</v>
      </c>
      <c r="G13" s="7">
        <f>SUM('Mountaineer:Charles Town'!G12)</f>
        <v>150346.12</v>
      </c>
      <c r="H13" s="7">
        <f>SUM('Mountaineer:Charles Town'!H12)</f>
        <v>167051.25</v>
      </c>
      <c r="I13" s="7">
        <f>SUM('Mountaineer:Charles Town'!I12)</f>
        <v>250576.87</v>
      </c>
      <c r="J13" s="7">
        <f>SUM('Mountaineer:Charles Town'!J12)</f>
        <v>41762.800000000003</v>
      </c>
      <c r="K13" s="7">
        <f>SUM('Mountaineer:Charles Town'!K12)</f>
        <v>13553.92</v>
      </c>
      <c r="L13" s="7">
        <f>SUM('Mountaineer:Charles Town'!L12)</f>
        <v>1406849.44</v>
      </c>
      <c r="M13" s="7">
        <f>SUM('Mountaineer:Charles Town'!M12)</f>
        <v>74044.709999999992</v>
      </c>
      <c r="N13" s="7">
        <f>SUM('Mountaineer:Charles Town'!N12)</f>
        <v>185111.64</v>
      </c>
      <c r="O13" s="7">
        <f>SUM('Mountaineer:Charles Town'!O12)</f>
        <v>185112.80000000002</v>
      </c>
    </row>
    <row r="14" spans="1:15" ht="15" customHeight="1" x14ac:dyDescent="0.25">
      <c r="A14" s="19" t="s">
        <v>30</v>
      </c>
      <c r="B14" s="7">
        <f>SUM('Mountaineer:Charles Town'!B13)</f>
        <v>7911750.4100000001</v>
      </c>
      <c r="C14" s="7">
        <f>SUM('Mountaineer:Charles Town'!C13)</f>
        <v>2769112.66</v>
      </c>
      <c r="D14" s="7">
        <f>SUM('Mountaineer:Charles Town'!D13)</f>
        <v>237352.52999999997</v>
      </c>
      <c r="E14" s="7">
        <f>SUM('Mountaineer:Charles Town'!E13)</f>
        <v>35602.899999999994</v>
      </c>
      <c r="F14" s="7">
        <f>SUM('Mountaineer:Charles Town'!F13)</f>
        <v>178014.38</v>
      </c>
      <c r="G14" s="7">
        <f>SUM('Mountaineer:Charles Town'!G13)</f>
        <v>142411.51</v>
      </c>
      <c r="H14" s="7">
        <f>SUM('Mountaineer:Charles Town'!H13)</f>
        <v>158235.03</v>
      </c>
      <c r="I14" s="7">
        <f>SUM('Mountaineer:Charles Town'!I13)</f>
        <v>237352.52999999997</v>
      </c>
      <c r="J14" s="7">
        <f>SUM('Mountaineer:Charles Town'!J13)</f>
        <v>39558.740000000005</v>
      </c>
      <c r="K14" s="7">
        <f>SUM('Mountaineer:Charles Town'!K13)</f>
        <v>15546.76</v>
      </c>
      <c r="L14" s="7">
        <f>SUM('Mountaineer:Charles Town'!L13)</f>
        <v>1334660.1600000001</v>
      </c>
      <c r="M14" s="7">
        <f>SUM('Mountaineer:Charles Town'!M13)</f>
        <v>70245.279999999999</v>
      </c>
      <c r="N14" s="7">
        <f>SUM('Mountaineer:Charles Town'!N13)</f>
        <v>175613.4</v>
      </c>
      <c r="O14" s="7">
        <f>SUM('Mountaineer:Charles Town'!O13)</f>
        <v>175612.74</v>
      </c>
    </row>
    <row r="15" spans="1:15" ht="15" customHeight="1" x14ac:dyDescent="0.25">
      <c r="A15" s="20" t="s">
        <v>31</v>
      </c>
      <c r="B15" s="7">
        <f>SUM('Mountaineer:Charles Town'!B14)</f>
        <v>8693011.9800000004</v>
      </c>
      <c r="C15" s="7">
        <f>SUM('Mountaineer:Charles Town'!C14)</f>
        <v>3042554.2199999997</v>
      </c>
      <c r="D15" s="7">
        <f>SUM('Mountaineer:Charles Town'!D14)</f>
        <v>260790.36000000002</v>
      </c>
      <c r="E15" s="7">
        <f>SUM('Mountaineer:Charles Town'!E14)</f>
        <v>39118.559999999998</v>
      </c>
      <c r="F15" s="7">
        <f>SUM('Mountaineer:Charles Town'!F14)</f>
        <v>195592.78</v>
      </c>
      <c r="G15" s="7">
        <f>SUM('Mountaineer:Charles Town'!G14)</f>
        <v>156474.23000000001</v>
      </c>
      <c r="H15" s="7">
        <f>SUM('Mountaineer:Charles Town'!H14)</f>
        <v>173860.27</v>
      </c>
      <c r="I15" s="7">
        <f>SUM('Mountaineer:Charles Town'!I14)</f>
        <v>260790.36000000002</v>
      </c>
      <c r="J15" s="7">
        <f>SUM('Mountaineer:Charles Town'!J14)</f>
        <v>43465.06</v>
      </c>
      <c r="K15" s="7">
        <f>SUM('Mountaineer:Charles Town'!K14)</f>
        <v>20350.5</v>
      </c>
      <c r="L15" s="7">
        <f>SUM('Mountaineer:Charles Town'!L14)</f>
        <v>1468937.94</v>
      </c>
      <c r="M15" s="7">
        <f>SUM('Mountaineer:Charles Town'!M14)</f>
        <v>77312.52</v>
      </c>
      <c r="N15" s="7">
        <f>SUM('Mountaineer:Charles Town'!N14)</f>
        <v>193281.33000000002</v>
      </c>
      <c r="O15" s="7">
        <f>SUM('Mountaineer:Charles Town'!O14)</f>
        <v>193281.68</v>
      </c>
    </row>
    <row r="16" spans="1:15" ht="15" customHeight="1" x14ac:dyDescent="0.25">
      <c r="A16" s="21" t="s">
        <v>32</v>
      </c>
      <c r="B16" s="7">
        <f>SUM('Mountaineer:Charles Town'!B15)</f>
        <v>8475315.8599999994</v>
      </c>
      <c r="C16" s="7">
        <f>SUM('Mountaineer:Charles Town'!C15)</f>
        <v>2966360.5700000003</v>
      </c>
      <c r="D16" s="7">
        <f>SUM('Mountaineer:Charles Town'!D15)</f>
        <v>254259.5</v>
      </c>
      <c r="E16" s="7">
        <f>SUM('Mountaineer:Charles Town'!E15)</f>
        <v>38138.92</v>
      </c>
      <c r="F16" s="7">
        <f>SUM('Mountaineer:Charles Town'!F15)</f>
        <v>190694.61</v>
      </c>
      <c r="G16" s="7">
        <f>SUM('Mountaineer:Charles Town'!G15)</f>
        <v>152555.69</v>
      </c>
      <c r="H16" s="7">
        <f>SUM('Mountaineer:Charles Town'!H15)</f>
        <v>169506.32</v>
      </c>
      <c r="I16" s="7">
        <f>SUM('Mountaineer:Charles Town'!I15)</f>
        <v>254259.5</v>
      </c>
      <c r="J16" s="7">
        <f>SUM('Mountaineer:Charles Town'!J15)</f>
        <v>42376.58</v>
      </c>
      <c r="K16" s="7">
        <f>SUM('Mountaineer:Charles Town'!K15)</f>
        <v>19643.79</v>
      </c>
      <c r="L16" s="7">
        <f>SUM('Mountaineer:Charles Town'!L15)</f>
        <v>1432002.06</v>
      </c>
      <c r="M16" s="7">
        <f>SUM('Mountaineer:Charles Town'!M15)</f>
        <v>75368.540000000008</v>
      </c>
      <c r="N16" s="7">
        <f>SUM('Mountaineer:Charles Town'!N15)</f>
        <v>188421.03</v>
      </c>
      <c r="O16" s="7">
        <f>SUM('Mountaineer:Charles Town'!O15)</f>
        <v>188421.56</v>
      </c>
    </row>
    <row r="17" spans="1:15" ht="15.75" customHeight="1" x14ac:dyDescent="0.25">
      <c r="A17" s="22" t="s">
        <v>33</v>
      </c>
      <c r="B17" s="7">
        <f>SUM('Mountaineer:Charles Town'!B16)</f>
        <v>8047646.9800000004</v>
      </c>
      <c r="C17" s="7">
        <f>SUM('Mountaineer:Charles Town'!C16)</f>
        <v>2816676.46</v>
      </c>
      <c r="D17" s="7">
        <f>SUM('Mountaineer:Charles Town'!D16)</f>
        <v>241429.38</v>
      </c>
      <c r="E17" s="7">
        <f>SUM('Mountaineer:Charles Town'!E16)</f>
        <v>36214.42</v>
      </c>
      <c r="F17" s="7">
        <f>SUM('Mountaineer:Charles Town'!F16)</f>
        <v>181072.05</v>
      </c>
      <c r="G17" s="7">
        <f>SUM('Mountaineer:Charles Town'!G16)</f>
        <v>144857.63</v>
      </c>
      <c r="H17" s="7">
        <f>SUM('Mountaineer:Charles Town'!H16)</f>
        <v>160952.93</v>
      </c>
      <c r="I17" s="7">
        <f>SUM('Mountaineer:Charles Town'!I16)</f>
        <v>241429.38</v>
      </c>
      <c r="J17" s="7">
        <f>SUM('Mountaineer:Charles Town'!J16)</f>
        <v>40238.22</v>
      </c>
      <c r="K17" s="7">
        <f>SUM('Mountaineer:Charles Town'!K16)</f>
        <v>21130.21</v>
      </c>
      <c r="L17" s="7">
        <f>SUM('Mountaineer:Charles Town'!L16)</f>
        <v>1361625.6099999999</v>
      </c>
      <c r="M17" s="7">
        <f>SUM('Mountaineer:Charles Town'!M16)</f>
        <v>71664.509999999995</v>
      </c>
      <c r="N17" s="7">
        <f>SUM('Mountaineer:Charles Town'!N16)</f>
        <v>179161.47</v>
      </c>
      <c r="O17" s="7">
        <f>SUM('Mountaineer:Charles Town'!O16)</f>
        <v>179159.86</v>
      </c>
    </row>
    <row r="18" spans="1:15" ht="15" customHeight="1" x14ac:dyDescent="0.25">
      <c r="A18" s="23" t="s">
        <v>34</v>
      </c>
      <c r="B18" s="7">
        <f>SUM('Mountaineer:Charles Town'!B17)</f>
        <v>9190958.3499999996</v>
      </c>
      <c r="C18" s="7">
        <f>SUM('Mountaineer:Charles Town'!C17)</f>
        <v>3216835.49</v>
      </c>
      <c r="D18" s="7">
        <f>SUM('Mountaineer:Charles Town'!D17)</f>
        <v>275728.78000000003</v>
      </c>
      <c r="E18" s="7">
        <f>SUM('Mountaineer:Charles Town'!E17)</f>
        <v>41359.340000000004</v>
      </c>
      <c r="F18" s="7">
        <f>SUM('Mountaineer:Charles Town'!F17)</f>
        <v>206796.56</v>
      </c>
      <c r="G18" s="7">
        <f>SUM('Mountaineer:Charles Town'!G17)</f>
        <v>165437.25</v>
      </c>
      <c r="H18" s="7">
        <f>SUM('Mountaineer:Charles Town'!H17)</f>
        <v>183819.19</v>
      </c>
      <c r="I18" s="7">
        <f>SUM('Mountaineer:Charles Town'!I17)</f>
        <v>275728.78000000003</v>
      </c>
      <c r="J18" s="7">
        <f>SUM('Mountaineer:Charles Town'!J17)</f>
        <v>45954.8</v>
      </c>
      <c r="K18" s="7">
        <f>SUM('Mountaineer:Charles Town'!K17)</f>
        <v>22059.759999999998</v>
      </c>
      <c r="L18" s="7">
        <f>SUM('Mountaineer:Charles Town'!L17)</f>
        <v>1553493.6300000001</v>
      </c>
      <c r="M18" s="7">
        <f>SUM('Mountaineer:Charles Town'!M17)</f>
        <v>81762.820000000007</v>
      </c>
      <c r="N18" s="7">
        <f>SUM('Mountaineer:Charles Town'!N17)</f>
        <v>204406.98</v>
      </c>
      <c r="O18" s="7">
        <f>SUM('Mountaineer:Charles Town'!O17)</f>
        <v>204407.84</v>
      </c>
    </row>
    <row r="19" spans="1:15" ht="15" customHeight="1" x14ac:dyDescent="0.25">
      <c r="A19" s="24" t="s">
        <v>35</v>
      </c>
      <c r="B19" s="7">
        <f>SUM('Mountaineer:Charles Town'!B18)</f>
        <v>8232270.54</v>
      </c>
      <c r="C19" s="7">
        <f>SUM('Mountaineer:Charles Town'!C18)</f>
        <v>2881294.6900000004</v>
      </c>
      <c r="D19" s="7">
        <f>SUM('Mountaineer:Charles Town'!D18)</f>
        <v>246968.08000000002</v>
      </c>
      <c r="E19" s="7">
        <f>SUM('Mountaineer:Charles Town'!E18)</f>
        <v>37045.230000000003</v>
      </c>
      <c r="F19" s="7">
        <f>SUM('Mountaineer:Charles Town'!F18)</f>
        <v>185226.09</v>
      </c>
      <c r="G19" s="7">
        <f>SUM('Mountaineer:Charles Town'!G18)</f>
        <v>148180.87</v>
      </c>
      <c r="H19" s="7">
        <f>SUM('Mountaineer:Charles Town'!H18)</f>
        <v>164645.42000000001</v>
      </c>
      <c r="I19" s="7">
        <f>SUM('Mountaineer:Charles Town'!I18)</f>
        <v>246968.08000000002</v>
      </c>
      <c r="J19" s="7">
        <f>SUM('Mountaineer:Charles Town'!J18)</f>
        <v>41161.339999999997</v>
      </c>
      <c r="K19" s="7">
        <f>SUM('Mountaineer:Charles Town'!K18)</f>
        <v>19067.599999999999</v>
      </c>
      <c r="L19" s="7">
        <f>SUM('Mountaineer:Charles Town'!L18)</f>
        <v>1390927.06</v>
      </c>
      <c r="M19" s="7">
        <f>SUM('Mountaineer:Charles Town'!M18)</f>
        <v>73206.680000000008</v>
      </c>
      <c r="N19" s="7">
        <f>SUM('Mountaineer:Charles Town'!N18)</f>
        <v>183017.07</v>
      </c>
      <c r="O19" s="7">
        <f>SUM('Mountaineer:Charles Town'!O18)</f>
        <v>183016.03999999998</v>
      </c>
    </row>
    <row r="20" spans="1:15" ht="15" customHeight="1" x14ac:dyDescent="0.25">
      <c r="A20" s="25" t="s">
        <v>36</v>
      </c>
      <c r="B20" s="7">
        <f>SUM('Mountaineer:Charles Town'!B19)</f>
        <v>8032311.25</v>
      </c>
      <c r="C20" s="7">
        <f>SUM('Mountaineer:Charles Town'!C19)</f>
        <v>2811308.98</v>
      </c>
      <c r="D20" s="7">
        <f>SUM('Mountaineer:Charles Town'!D19)</f>
        <v>240969.32</v>
      </c>
      <c r="E20" s="7">
        <f>SUM('Mountaineer:Charles Town'!E19)</f>
        <v>36145.4</v>
      </c>
      <c r="F20" s="7">
        <f>SUM('Mountaineer:Charles Town'!F19)</f>
        <v>180727</v>
      </c>
      <c r="G20" s="7">
        <f>SUM('Mountaineer:Charles Town'!G19)</f>
        <v>144581.6</v>
      </c>
      <c r="H20" s="7">
        <f>SUM('Mountaineer:Charles Town'!H19)</f>
        <v>160646.22000000003</v>
      </c>
      <c r="I20" s="7">
        <f>SUM('Mountaineer:Charles Town'!I19)</f>
        <v>240969.32</v>
      </c>
      <c r="J20" s="7">
        <f>SUM('Mountaineer:Charles Town'!J19)</f>
        <v>40161.54</v>
      </c>
      <c r="K20" s="7">
        <f>SUM('Mountaineer:Charles Town'!K19)</f>
        <v>18531.29</v>
      </c>
      <c r="L20" s="7">
        <f>SUM('Mountaineer:Charles Town'!L19)</f>
        <v>1357086.3</v>
      </c>
      <c r="M20" s="7">
        <f>SUM('Mountaineer:Charles Town'!M19)</f>
        <v>71425.59</v>
      </c>
      <c r="N20" s="7">
        <f>SUM('Mountaineer:Charles Town'!N19)</f>
        <v>178563.75</v>
      </c>
      <c r="O20" s="7">
        <f>SUM('Mountaineer:Charles Town'!O19)</f>
        <v>178563.96000000002</v>
      </c>
    </row>
    <row r="21" spans="1:15" ht="15" customHeight="1" x14ac:dyDescent="0.25">
      <c r="A21" s="27" t="s">
        <v>38</v>
      </c>
      <c r="B21" s="7">
        <f>SUM('Mountaineer:Charles Town'!B20)</f>
        <v>8046762.9699999997</v>
      </c>
      <c r="C21" s="7">
        <f>SUM('Mountaineer:Charles Town'!C20)</f>
        <v>2816367.06</v>
      </c>
      <c r="D21" s="7">
        <f>SUM('Mountaineer:Charles Town'!D20)</f>
        <v>241402.92</v>
      </c>
      <c r="E21" s="7">
        <f>SUM('Mountaineer:Charles Town'!E20)</f>
        <v>36210.44</v>
      </c>
      <c r="F21" s="7">
        <f>SUM('Mountaineer:Charles Town'!F20)</f>
        <v>181052.16</v>
      </c>
      <c r="G21" s="7">
        <f>SUM('Mountaineer:Charles Town'!G20)</f>
        <v>144841.75</v>
      </c>
      <c r="H21" s="7">
        <f>SUM('Mountaineer:Charles Town'!H20)</f>
        <v>160935.28000000003</v>
      </c>
      <c r="I21" s="7">
        <f>SUM('Mountaineer:Charles Town'!I20)</f>
        <v>241402.92</v>
      </c>
      <c r="J21" s="7">
        <f>SUM('Mountaineer:Charles Town'!J20)</f>
        <v>40233.82</v>
      </c>
      <c r="K21" s="7">
        <f>SUM('Mountaineer:Charles Town'!K20)</f>
        <v>22258.659999999996</v>
      </c>
      <c r="L21" s="7">
        <f>SUM('Mountaineer:Charles Town'!L20)</f>
        <v>1362335.29</v>
      </c>
      <c r="M21" s="7">
        <f>SUM('Mountaineer:Charles Town'!M20)</f>
        <v>71701.86</v>
      </c>
      <c r="N21" s="7">
        <f>SUM('Mountaineer:Charles Town'!N20)</f>
        <v>179254.8</v>
      </c>
      <c r="O21" s="7">
        <f>SUM('Mountaineer:Charles Town'!O20)</f>
        <v>179254.8</v>
      </c>
    </row>
    <row r="22" spans="1:15" ht="13.5" customHeight="1" x14ac:dyDescent="0.25"/>
    <row r="23" spans="1:15" ht="15" customHeight="1" thickBot="1" x14ac:dyDescent="0.3">
      <c r="B23" s="8">
        <f t="shared" ref="B23:O23" si="0">SUM(B10:B22)</f>
        <v>99776738.060000002</v>
      </c>
      <c r="C23" s="8">
        <f t="shared" si="0"/>
        <v>34921858.610000007</v>
      </c>
      <c r="D23" s="8">
        <f t="shared" si="0"/>
        <v>2993302.1</v>
      </c>
      <c r="E23" s="8">
        <f t="shared" si="0"/>
        <v>448995.39</v>
      </c>
      <c r="F23" s="8">
        <f t="shared" si="0"/>
        <v>2244976.6100000003</v>
      </c>
      <c r="G23" s="8">
        <f t="shared" si="0"/>
        <v>1795981.31</v>
      </c>
      <c r="H23" s="8">
        <f t="shared" si="0"/>
        <v>1995534.8299999998</v>
      </c>
      <c r="I23" s="8">
        <f t="shared" si="0"/>
        <v>2993302.1</v>
      </c>
      <c r="J23" s="8">
        <f t="shared" si="0"/>
        <v>498883.64</v>
      </c>
      <c r="K23" s="8">
        <f t="shared" si="0"/>
        <v>202808.54000000004</v>
      </c>
      <c r="L23" s="8">
        <f t="shared" si="0"/>
        <v>16836805.250000004</v>
      </c>
      <c r="M23" s="8">
        <f t="shared" si="0"/>
        <v>886147.64</v>
      </c>
      <c r="N23" s="8">
        <f t="shared" si="0"/>
        <v>2215369.11</v>
      </c>
      <c r="O23" s="8">
        <f t="shared" si="0"/>
        <v>2215368.3400000003</v>
      </c>
    </row>
    <row r="24" spans="1:15" ht="15" customHeight="1" thickTop="1" x14ac:dyDescent="0.25"/>
    <row r="25" spans="1:15" ht="15" customHeight="1" x14ac:dyDescent="0.25">
      <c r="A25" s="9" t="s">
        <v>14</v>
      </c>
    </row>
    <row r="26" spans="1:15" ht="15" customHeight="1" x14ac:dyDescent="0.25">
      <c r="A26" s="9" t="s">
        <v>15</v>
      </c>
    </row>
  </sheetData>
  <mergeCells count="4">
    <mergeCell ref="A1:O1"/>
    <mergeCell ref="A2:O2"/>
    <mergeCell ref="A3:O3"/>
    <mergeCell ref="A4:O4"/>
  </mergeCells>
  <pageMargins left="0.25" right="0.25" top="0.5" bottom="0.5" header="0" footer="0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workbookViewId="0">
      <selection sqref="A1:O1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3.5703125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42578125" style="1" customWidth="1"/>
    <col min="16" max="16384" width="9.140625" style="1"/>
  </cols>
  <sheetData>
    <row r="1" spans="1:15" ht="15" customHeight="1" x14ac:dyDescent="0.25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5" customHeight="1" x14ac:dyDescent="0.25">
      <c r="A2" s="13"/>
    </row>
    <row r="3" spans="1:15" ht="15" customHeight="1" x14ac:dyDescent="0.25">
      <c r="A3" s="12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4" t="s">
        <v>24</v>
      </c>
      <c r="B5" s="10">
        <v>14332871.4</v>
      </c>
      <c r="C5" s="10">
        <v>5016505.05</v>
      </c>
      <c r="D5" s="10">
        <v>429986.14000000007</v>
      </c>
      <c r="E5" s="10">
        <v>64497.920000000013</v>
      </c>
      <c r="F5" s="10">
        <v>322489.59999999998</v>
      </c>
      <c r="G5" s="10">
        <v>257991.70999999996</v>
      </c>
      <c r="H5" s="10">
        <v>286657.45</v>
      </c>
      <c r="I5" s="10">
        <v>429986.14000000007</v>
      </c>
      <c r="J5" s="10">
        <v>71664.359999999986</v>
      </c>
      <c r="K5" s="10">
        <v>2687.52</v>
      </c>
      <c r="L5" s="10">
        <v>2398498.6399999997</v>
      </c>
      <c r="M5" s="10">
        <v>126236.77</v>
      </c>
      <c r="N5" s="10">
        <v>315591.93</v>
      </c>
      <c r="O5" s="10">
        <v>315592.21999999997</v>
      </c>
    </row>
    <row r="7" spans="1:15" ht="15" customHeight="1" x14ac:dyDescent="0.25">
      <c r="A7" s="31" t="s">
        <v>25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9" spans="1:15" ht="14.25" customHeight="1" x14ac:dyDescent="0.25">
      <c r="A9" s="15" t="s">
        <v>26</v>
      </c>
      <c r="B9" s="7">
        <v>1198241.4099999999</v>
      </c>
      <c r="C9" s="7">
        <f>ROUND($B9*0.35,2)+0.02</f>
        <v>419384.51</v>
      </c>
      <c r="D9" s="7">
        <f>ROUND($B9*0.03,2)</f>
        <v>35947.24</v>
      </c>
      <c r="E9" s="7">
        <f>ROUND($B9*0.0045,2)-0.01</f>
        <v>5392.08</v>
      </c>
      <c r="F9" s="7">
        <f t="shared" ref="F9:F20" si="0">ROUND(($B9*0.025)*0.9,2)</f>
        <v>26960.43</v>
      </c>
      <c r="G9" s="7">
        <f t="shared" ref="G9:G19" si="1">ROUND(($B9*0.02)*0.9,2)</f>
        <v>21568.35</v>
      </c>
      <c r="H9" s="7">
        <f t="shared" ref="H9:H13" si="2">ROUND($B9*0.02,2)</f>
        <v>23964.83</v>
      </c>
      <c r="I9" s="7">
        <f>ROUND($B9*0.03,2)</f>
        <v>35947.24</v>
      </c>
      <c r="J9" s="7">
        <f t="shared" ref="J9:J12" si="3">ROUND($B9*0.005,2)</f>
        <v>5991.21</v>
      </c>
      <c r="K9" s="7">
        <v>2314.13</v>
      </c>
      <c r="L9" s="7">
        <f>ROUND((($B9*0.22)+$K9)*0.76,2)+0.01</f>
        <v>202104.71000000002</v>
      </c>
      <c r="M9" s="7">
        <f t="shared" ref="M9:M18" si="4">ROUND((($B9*0.22)+$K9)*0.04,2)</f>
        <v>10637.09</v>
      </c>
      <c r="N9" s="7">
        <f>ROUND((($B9*0.22)+$K9)*0.1,2)</f>
        <v>26592.720000000001</v>
      </c>
      <c r="O9" s="7">
        <f>ROUND((($B9*0.22)+$K9)*0.1,2)+0.13</f>
        <v>26592.850000000002</v>
      </c>
    </row>
    <row r="10" spans="1:15" ht="14.25" customHeight="1" x14ac:dyDescent="0.25">
      <c r="A10" s="16" t="s">
        <v>27</v>
      </c>
      <c r="B10" s="7">
        <v>967654.63</v>
      </c>
      <c r="C10" s="7">
        <f>ROUND($B10*0.35,2)+0.01</f>
        <v>338679.13</v>
      </c>
      <c r="D10" s="7">
        <f>ROUND($B10*0.03,2)</f>
        <v>29029.64</v>
      </c>
      <c r="E10" s="7">
        <f>ROUND($B10*0.0045,2)</f>
        <v>4354.45</v>
      </c>
      <c r="F10" s="7">
        <f t="shared" si="0"/>
        <v>21772.23</v>
      </c>
      <c r="G10" s="7">
        <f t="shared" si="1"/>
        <v>17417.78</v>
      </c>
      <c r="H10" s="7">
        <f t="shared" si="2"/>
        <v>19353.09</v>
      </c>
      <c r="I10" s="7">
        <f>ROUND($B10*0.03,2)</f>
        <v>29029.64</v>
      </c>
      <c r="J10" s="7">
        <f t="shared" si="3"/>
        <v>4838.2700000000004</v>
      </c>
      <c r="K10" s="7">
        <v>2798.06</v>
      </c>
      <c r="L10" s="7">
        <f>ROUND((($B10*0.22)+$K10)*0.76,2)+0.01</f>
        <v>163918.39000000001</v>
      </c>
      <c r="M10" s="7">
        <f t="shared" si="4"/>
        <v>8627.2800000000007</v>
      </c>
      <c r="N10" s="7">
        <f>ROUND((($B10*0.22)+$K10)*0.1,2)-0.05</f>
        <v>21568.16</v>
      </c>
      <c r="O10" s="7">
        <f>ROUND((($B10*0.22)+$K10)*0.1,2)-0.34</f>
        <v>21567.87</v>
      </c>
    </row>
    <row r="11" spans="1:15" ht="14.25" customHeight="1" x14ac:dyDescent="0.25">
      <c r="A11" s="17" t="s">
        <v>28</v>
      </c>
      <c r="B11" s="7">
        <v>1128506.81</v>
      </c>
      <c r="C11" s="7">
        <f>ROUND($B11*0.35,2)+0.01</f>
        <v>394977.39</v>
      </c>
      <c r="D11" s="7">
        <f>ROUND($B11*0.03,2)</f>
        <v>33855.199999999997</v>
      </c>
      <c r="E11" s="7">
        <f>ROUND($B11*0.0045,2)+0.01</f>
        <v>5078.29</v>
      </c>
      <c r="F11" s="7">
        <f t="shared" si="0"/>
        <v>25391.4</v>
      </c>
      <c r="G11" s="7">
        <f t="shared" si="1"/>
        <v>20313.12</v>
      </c>
      <c r="H11" s="7">
        <f t="shared" si="2"/>
        <v>22570.14</v>
      </c>
      <c r="I11" s="7">
        <f>ROUND($B11*0.03,2)</f>
        <v>33855.199999999997</v>
      </c>
      <c r="J11" s="7">
        <f t="shared" si="3"/>
        <v>5642.53</v>
      </c>
      <c r="K11" s="7">
        <v>2554.3200000000002</v>
      </c>
      <c r="L11" s="7">
        <f>ROUND((($B11*0.22)+$K11)*0.76,2)+0.02</f>
        <v>190627.63999999998</v>
      </c>
      <c r="M11" s="7">
        <f t="shared" si="4"/>
        <v>10033.030000000001</v>
      </c>
      <c r="N11" s="7">
        <f>ROUND((($B11*0.22)+$K11)*0.1,2)</f>
        <v>25082.58</v>
      </c>
      <c r="O11" s="7">
        <f>ROUND((($B11*0.22)+$K11)*0.1,2)+0.02</f>
        <v>25082.600000000002</v>
      </c>
    </row>
    <row r="12" spans="1:15" ht="14.25" customHeight="1" x14ac:dyDescent="0.25">
      <c r="A12" s="18" t="s">
        <v>29</v>
      </c>
      <c r="B12" s="7">
        <v>1007153.77</v>
      </c>
      <c r="C12" s="7">
        <f>ROUND($B12*0.35,2)+0.01</f>
        <v>352503.83</v>
      </c>
      <c r="D12" s="7">
        <f>ROUND($B12*0.03,2)+0.01</f>
        <v>30214.62</v>
      </c>
      <c r="E12" s="7">
        <f>ROUND($B12*0.0045,2)</f>
        <v>4532.1899999999996</v>
      </c>
      <c r="F12" s="7">
        <f t="shared" si="0"/>
        <v>22660.959999999999</v>
      </c>
      <c r="G12" s="7">
        <f t="shared" si="1"/>
        <v>18128.77</v>
      </c>
      <c r="H12" s="7">
        <f t="shared" si="2"/>
        <v>20143.080000000002</v>
      </c>
      <c r="I12" s="7">
        <f>ROUND($B12*0.03,2)+0.01</f>
        <v>30214.62</v>
      </c>
      <c r="J12" s="7">
        <f t="shared" si="3"/>
        <v>5035.7700000000004</v>
      </c>
      <c r="K12" s="7">
        <v>3388.48</v>
      </c>
      <c r="L12" s="7">
        <f>ROUND((($B12*0.22)+$K12)*0.76,2)-0.01</f>
        <v>170971.34999999998</v>
      </c>
      <c r="M12" s="7">
        <f t="shared" si="4"/>
        <v>8998.49</v>
      </c>
      <c r="N12" s="7">
        <f>ROUND((($B12*0.22)+$K12)*0.1,2)-0.04</f>
        <v>22496.19</v>
      </c>
      <c r="O12" s="7">
        <f>ROUND((($B12*0.22)+$K12)*0.1,2)+0.25</f>
        <v>22496.48</v>
      </c>
    </row>
    <row r="13" spans="1:15" ht="14.25" customHeight="1" x14ac:dyDescent="0.25">
      <c r="A13" s="19" t="s">
        <v>30</v>
      </c>
      <c r="B13" s="7">
        <v>964197.25</v>
      </c>
      <c r="C13" s="7">
        <f>ROUND($B13*0.35,2)</f>
        <v>337469.04</v>
      </c>
      <c r="D13" s="7">
        <f>ROUND($B13*0.03,2)</f>
        <v>28925.919999999998</v>
      </c>
      <c r="E13" s="7">
        <f>ROUND($B13*0.0045,2)</f>
        <v>4338.8900000000003</v>
      </c>
      <c r="F13" s="7">
        <f t="shared" si="0"/>
        <v>21694.44</v>
      </c>
      <c r="G13" s="7">
        <f t="shared" si="1"/>
        <v>17355.55</v>
      </c>
      <c r="H13" s="7">
        <f t="shared" si="2"/>
        <v>19283.95</v>
      </c>
      <c r="I13" s="7">
        <f>ROUND($B13*0.03,2)</f>
        <v>28925.919999999998</v>
      </c>
      <c r="J13" s="7">
        <f>ROUND($B13*0.005,2)-0.01</f>
        <v>4820.9799999999996</v>
      </c>
      <c r="K13" s="7">
        <v>3886.69</v>
      </c>
      <c r="L13" s="7">
        <f>ROUND((($B13*0.22)+$K13)*0.76,2)</f>
        <v>164167.66</v>
      </c>
      <c r="M13" s="7">
        <f t="shared" si="4"/>
        <v>8640.4</v>
      </c>
      <c r="N13" s="7">
        <f>ROUND((($B13*0.22)+$K13)*0.1,2)+0.06</f>
        <v>21601.07</v>
      </c>
      <c r="O13" s="7">
        <f>ROUND((($B13*0.22)+$K13)*0.1,2)-0.1</f>
        <v>21600.91</v>
      </c>
    </row>
    <row r="14" spans="1:15" ht="14.25" customHeight="1" x14ac:dyDescent="0.25">
      <c r="A14" s="20" t="s">
        <v>31</v>
      </c>
      <c r="B14" s="7">
        <v>816067.5</v>
      </c>
      <c r="C14" s="7">
        <f>ROUND($B14*0.35,2)+0.01</f>
        <v>285623.64</v>
      </c>
      <c r="D14" s="7">
        <f>ROUND($B14*0.03,2)-0.01</f>
        <v>24482.02</v>
      </c>
      <c r="E14" s="7">
        <f>ROUND($B14*0.0045,2)+0.01</f>
        <v>3672.3100000000004</v>
      </c>
      <c r="F14" s="7">
        <f t="shared" si="0"/>
        <v>18361.52</v>
      </c>
      <c r="G14" s="7">
        <f t="shared" si="1"/>
        <v>14689.22</v>
      </c>
      <c r="H14" s="7">
        <f>ROUND($B14*0.02,2)+0.01</f>
        <v>16321.36</v>
      </c>
      <c r="I14" s="7">
        <f>ROUND($B14*0.03,2)-0.01</f>
        <v>24482.02</v>
      </c>
      <c r="J14" s="7">
        <f>ROUND($B14*0.005,2)</f>
        <v>4080.34</v>
      </c>
      <c r="K14" s="7">
        <v>5087.63</v>
      </c>
      <c r="L14" s="7">
        <f>ROUND((($B14*0.22)+$K14)*0.76,2)</f>
        <v>140313.07999999999</v>
      </c>
      <c r="M14" s="7">
        <f t="shared" si="4"/>
        <v>7384.9</v>
      </c>
      <c r="N14" s="7">
        <f>ROUND((($B14*0.22)+$K14)*0.1,2)+0.01</f>
        <v>18462.259999999998</v>
      </c>
      <c r="O14" s="7">
        <f>ROUND((($B14*0.22)+$K14)*0.1,2)+0.08</f>
        <v>18462.330000000002</v>
      </c>
    </row>
    <row r="15" spans="1:15" ht="14.25" customHeight="1" x14ac:dyDescent="0.25">
      <c r="A15" s="21" t="s">
        <v>32</v>
      </c>
      <c r="B15" s="7">
        <v>941629.5</v>
      </c>
      <c r="C15" s="7">
        <f>ROUND($B15*0.35,2)</f>
        <v>329570.33</v>
      </c>
      <c r="D15" s="7">
        <f>ROUND($B15*0.03,2)+0.01</f>
        <v>28248.899999999998</v>
      </c>
      <c r="E15" s="7">
        <f t="shared" ref="E15:E20" si="5">ROUND($B15*0.0045,2)</f>
        <v>4237.33</v>
      </c>
      <c r="F15" s="7">
        <f t="shared" si="0"/>
        <v>21186.66</v>
      </c>
      <c r="G15" s="7">
        <f t="shared" si="1"/>
        <v>16949.330000000002</v>
      </c>
      <c r="H15" s="7">
        <f t="shared" ref="H15:H20" si="6">ROUND($B15*0.02,2)</f>
        <v>18832.59</v>
      </c>
      <c r="I15" s="7">
        <f>ROUND($B15*0.03,2)+0.01</f>
        <v>28248.899999999998</v>
      </c>
      <c r="J15" s="7">
        <f>ROUND($B15*0.005,2)</f>
        <v>4708.1499999999996</v>
      </c>
      <c r="K15" s="7">
        <v>4910.9399999999996</v>
      </c>
      <c r="L15" s="7">
        <f>ROUND((($B15*0.22)+$K15)*0.76,2)-0.02</f>
        <v>161172.75</v>
      </c>
      <c r="M15" s="7">
        <f t="shared" si="4"/>
        <v>8482.7800000000007</v>
      </c>
      <c r="N15" s="7">
        <f>ROUND((($B15*0.22)+$K15)*0.1,2)-0.08</f>
        <v>21206.859999999997</v>
      </c>
      <c r="O15" s="7">
        <f>ROUND((($B15*0.22)+$K15)*0.1,2)+0.07</f>
        <v>21207.01</v>
      </c>
    </row>
    <row r="16" spans="1:15" ht="14.25" customHeight="1" x14ac:dyDescent="0.25">
      <c r="A16" s="22" t="s">
        <v>33</v>
      </c>
      <c r="B16" s="7">
        <v>1089464</v>
      </c>
      <c r="C16" s="7">
        <f>ROUND($B16*0.35,2)+0.01</f>
        <v>381312.41000000003</v>
      </c>
      <c r="D16" s="7">
        <f>ROUND($B16*0.03,2)</f>
        <v>32683.919999999998</v>
      </c>
      <c r="E16" s="7">
        <f t="shared" si="5"/>
        <v>4902.59</v>
      </c>
      <c r="F16" s="7">
        <f t="shared" si="0"/>
        <v>24512.94</v>
      </c>
      <c r="G16" s="7">
        <f t="shared" si="1"/>
        <v>19610.349999999999</v>
      </c>
      <c r="H16" s="7">
        <f t="shared" si="6"/>
        <v>21789.279999999999</v>
      </c>
      <c r="I16" s="7">
        <f>ROUND($B16*0.03,2)</f>
        <v>32683.919999999998</v>
      </c>
      <c r="J16" s="7">
        <f>ROUND($B16*0.005,2)</f>
        <v>5447.32</v>
      </c>
      <c r="K16" s="7">
        <v>5282.56</v>
      </c>
      <c r="L16" s="7">
        <f>ROUND((($B16*0.22)+$K16)*0.76,2)-0.01</f>
        <v>186173.12</v>
      </c>
      <c r="M16" s="7">
        <f t="shared" si="4"/>
        <v>9798.59</v>
      </c>
      <c r="N16" s="7">
        <f>ROUND((($B16*0.22)+$K16)*0.1,2)+0.06</f>
        <v>24496.52</v>
      </c>
      <c r="O16" s="7">
        <f>ROUND((($B16*0.22)+$K16)*0.1,2)-0.35</f>
        <v>24496.11</v>
      </c>
    </row>
    <row r="17" spans="1:15" ht="14.25" customHeight="1" x14ac:dyDescent="0.25">
      <c r="A17" s="23" t="s">
        <v>34</v>
      </c>
      <c r="B17" s="7">
        <v>937293.5</v>
      </c>
      <c r="C17" s="7">
        <f>ROUND($B17*0.35,2)+0.02</f>
        <v>328052.75</v>
      </c>
      <c r="D17" s="7">
        <f>ROUND($B17*0.03,2)-0.01</f>
        <v>28118.800000000003</v>
      </c>
      <c r="E17" s="7">
        <f t="shared" si="5"/>
        <v>4217.82</v>
      </c>
      <c r="F17" s="7">
        <f t="shared" si="0"/>
        <v>21089.1</v>
      </c>
      <c r="G17" s="7">
        <f t="shared" si="1"/>
        <v>16871.28</v>
      </c>
      <c r="H17" s="7">
        <f t="shared" si="6"/>
        <v>18745.87</v>
      </c>
      <c r="I17" s="7">
        <f>ROUND($B17*0.03,2)-0.01</f>
        <v>28118.800000000003</v>
      </c>
      <c r="J17" s="7">
        <f>ROUND($B17*0.005,2)-0.01</f>
        <v>4686.46</v>
      </c>
      <c r="K17" s="7">
        <v>5514.94</v>
      </c>
      <c r="L17" s="7">
        <f>ROUND((($B17*0.22)+$K17)*0.76,2)+0.03</f>
        <v>160906.85999999999</v>
      </c>
      <c r="M17" s="7">
        <f t="shared" si="4"/>
        <v>8468.7800000000007</v>
      </c>
      <c r="N17" s="7">
        <f>ROUND((($B17*0.22)+$K17)*0.1,2)</f>
        <v>21171.95</v>
      </c>
      <c r="O17" s="7">
        <f>ROUND((($B17*0.22)+$K17)*0.1,2)+0.21</f>
        <v>21172.16</v>
      </c>
    </row>
    <row r="18" spans="1:15" ht="14.25" customHeight="1" x14ac:dyDescent="0.25">
      <c r="A18" s="24" t="s">
        <v>35</v>
      </c>
      <c r="B18" s="7">
        <v>988843.75</v>
      </c>
      <c r="C18" s="7">
        <f>ROUND($B18*0.35,2)-0.01</f>
        <v>346095.3</v>
      </c>
      <c r="D18" s="7">
        <f>ROUND($B18*0.03,2)-0.01</f>
        <v>29665.300000000003</v>
      </c>
      <c r="E18" s="7">
        <f t="shared" si="5"/>
        <v>4449.8</v>
      </c>
      <c r="F18" s="7">
        <f t="shared" si="0"/>
        <v>22248.98</v>
      </c>
      <c r="G18" s="7">
        <f t="shared" si="1"/>
        <v>17799.189999999999</v>
      </c>
      <c r="H18" s="7">
        <f t="shared" si="6"/>
        <v>19776.88</v>
      </c>
      <c r="I18" s="7">
        <f>ROUND($B18*0.03,2)-0.01</f>
        <v>29665.300000000003</v>
      </c>
      <c r="J18" s="7">
        <f>ROUND($B18*0.005,2)-0.01</f>
        <v>4944.21</v>
      </c>
      <c r="K18" s="7">
        <v>4766.8999999999996</v>
      </c>
      <c r="L18" s="7">
        <f>ROUND((($B18*0.22)+$K18)*0.76,2)+0.02</f>
        <v>168957.53999999998</v>
      </c>
      <c r="M18" s="7">
        <f t="shared" si="4"/>
        <v>8892.5</v>
      </c>
      <c r="N18" s="7">
        <f>ROUND((($B18*0.22)+$K18)*0.1,2)+0.08</f>
        <v>22231.33</v>
      </c>
      <c r="O18" s="7">
        <f>ROUND((($B18*0.22)+$K18)*0.1,2)-0.18</f>
        <v>22231.07</v>
      </c>
    </row>
    <row r="19" spans="1:15" ht="14.25" customHeight="1" x14ac:dyDescent="0.25">
      <c r="A19" s="25" t="s">
        <v>36</v>
      </c>
      <c r="B19" s="7">
        <v>769454.75</v>
      </c>
      <c r="C19" s="7">
        <f>ROUND($B19*0.35,2)+0.02</f>
        <v>269309.18</v>
      </c>
      <c r="D19" s="7">
        <f>ROUND($B19*0.03,2)</f>
        <v>23083.64</v>
      </c>
      <c r="E19" s="7">
        <f t="shared" si="5"/>
        <v>3462.55</v>
      </c>
      <c r="F19" s="7">
        <f t="shared" si="0"/>
        <v>17312.73</v>
      </c>
      <c r="G19" s="7">
        <f t="shared" si="1"/>
        <v>13850.19</v>
      </c>
      <c r="H19" s="7">
        <f t="shared" si="6"/>
        <v>15389.1</v>
      </c>
      <c r="I19" s="7">
        <f>ROUND($B19*0.03,2)</f>
        <v>23083.64</v>
      </c>
      <c r="J19" s="7">
        <f>ROUND($B19*0.005,2)</f>
        <v>3847.27</v>
      </c>
      <c r="K19" s="7">
        <v>4632.82</v>
      </c>
      <c r="L19" s="7">
        <f>ROUND((($B19*0.22)+$K19)*0.76,2)</f>
        <v>132173.78</v>
      </c>
      <c r="M19" s="7">
        <f>ROUND((($B19*0.22)+$K19)*0.04,2)+0.01</f>
        <v>6956.52</v>
      </c>
      <c r="N19" s="7">
        <f>ROUND((($B19*0.22)+$K19)*0.1,2)-0.06</f>
        <v>17391.23</v>
      </c>
      <c r="O19" s="7">
        <f>ROUND((($B19*0.22)+$K19)*0.1,2)</f>
        <v>17391.29</v>
      </c>
    </row>
    <row r="20" spans="1:15" ht="14.25" customHeight="1" x14ac:dyDescent="0.25">
      <c r="A20" s="26" t="s">
        <v>38</v>
      </c>
      <c r="B20" s="7">
        <v>909691.75</v>
      </c>
      <c r="C20" s="7">
        <f>ROUND($B20*0.35,2)+0.01</f>
        <v>318392.12</v>
      </c>
      <c r="D20" s="7">
        <f>ROUND($B20*0.03,2)+0.01</f>
        <v>27290.76</v>
      </c>
      <c r="E20" s="7">
        <f t="shared" si="5"/>
        <v>4093.61</v>
      </c>
      <c r="F20" s="7">
        <f t="shared" si="0"/>
        <v>20468.060000000001</v>
      </c>
      <c r="G20" s="7">
        <f>ROUND(($B20*0.02)*0.9,2)+0.01</f>
        <v>16374.460000000001</v>
      </c>
      <c r="H20" s="7">
        <f t="shared" si="6"/>
        <v>18193.84</v>
      </c>
      <c r="I20" s="7">
        <f>ROUND($B20*0.03,2)+0.01</f>
        <v>27290.76</v>
      </c>
      <c r="J20" s="7">
        <f>ROUND($B20*0.005,2)</f>
        <v>4548.46</v>
      </c>
      <c r="K20" s="7">
        <v>5564.66</v>
      </c>
      <c r="L20" s="7">
        <f>ROUND((($B20*0.22)+$K20)*0.76,2)</f>
        <v>156329.60000000001</v>
      </c>
      <c r="M20" s="7">
        <f>ROUND((($B20*0.22)+$K20)*0.04,2)</f>
        <v>8227.8700000000008</v>
      </c>
      <c r="N20" s="7">
        <f>ROUND((($B20*0.22)+$K20)*0.1,2)+0.04</f>
        <v>20569.72</v>
      </c>
      <c r="O20" s="7">
        <f>ROUND((($B20*0.22)+$K20)*0.1,2)+0.04</f>
        <v>20569.72</v>
      </c>
    </row>
    <row r="22" spans="1:15" ht="15" customHeight="1" thickBot="1" x14ac:dyDescent="0.3">
      <c r="B22" s="8">
        <f t="shared" ref="B22:O22" si="7">SUM(B9:B21)</f>
        <v>11718198.620000001</v>
      </c>
      <c r="C22" s="8">
        <f t="shared" si="7"/>
        <v>4101369.6300000004</v>
      </c>
      <c r="D22" s="8">
        <f t="shared" si="7"/>
        <v>351545.95999999996</v>
      </c>
      <c r="E22" s="8">
        <f t="shared" si="7"/>
        <v>52731.910000000011</v>
      </c>
      <c r="F22" s="8">
        <f t="shared" si="7"/>
        <v>263659.45</v>
      </c>
      <c r="G22" s="8">
        <f t="shared" si="7"/>
        <v>210927.59</v>
      </c>
      <c r="H22" s="8">
        <f t="shared" si="7"/>
        <v>234364.01</v>
      </c>
      <c r="I22" s="8">
        <f t="shared" si="7"/>
        <v>351545.95999999996</v>
      </c>
      <c r="J22" s="8">
        <f t="shared" si="7"/>
        <v>58590.969999999994</v>
      </c>
      <c r="K22" s="8">
        <f t="shared" si="7"/>
        <v>50702.130000000005</v>
      </c>
      <c r="L22" s="8">
        <f t="shared" si="7"/>
        <v>1997816.4800000002</v>
      </c>
      <c r="M22" s="8">
        <f t="shared" si="7"/>
        <v>105148.23</v>
      </c>
      <c r="N22" s="8">
        <f t="shared" si="7"/>
        <v>262870.59000000003</v>
      </c>
      <c r="O22" s="8">
        <f t="shared" si="7"/>
        <v>262870.40000000002</v>
      </c>
    </row>
    <row r="23" spans="1:15" ht="15" customHeight="1" thickTop="1" x14ac:dyDescent="0.25"/>
    <row r="24" spans="1:15" ht="15" customHeight="1" x14ac:dyDescent="0.25">
      <c r="A24" s="9" t="s">
        <v>14</v>
      </c>
    </row>
    <row r="25" spans="1:15" ht="15" customHeight="1" x14ac:dyDescent="0.25">
      <c r="A25" s="9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workbookViewId="0">
      <selection sqref="A1:O1"/>
    </sheetView>
  </sheetViews>
  <sheetFormatPr defaultColWidth="9.140625" defaultRowHeight="15" customHeight="1" x14ac:dyDescent="0.25"/>
  <cols>
    <col min="1" max="1" width="15.7109375" style="1" customWidth="1"/>
    <col min="2" max="3" width="14.7109375" style="1" customWidth="1"/>
    <col min="4" max="10" width="13.7109375" style="1" customWidth="1"/>
    <col min="11" max="11" width="12.28515625" style="1" customWidth="1"/>
    <col min="12" max="12" width="14.7109375" style="1" customWidth="1"/>
    <col min="13" max="13" width="11.7109375" style="1" customWidth="1"/>
    <col min="14" max="14" width="13.7109375" style="1" customWidth="1"/>
    <col min="15" max="15" width="14.85546875" style="1" customWidth="1"/>
    <col min="16" max="16384" width="9.140625" style="1"/>
  </cols>
  <sheetData>
    <row r="1" spans="1:15" ht="15" customHeight="1" x14ac:dyDescent="0.25">
      <c r="A1" s="30" t="s">
        <v>17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5" customHeight="1" x14ac:dyDescent="0.25">
      <c r="A2" s="13"/>
    </row>
    <row r="3" spans="1:15" ht="15" customHeight="1" x14ac:dyDescent="0.25">
      <c r="A3" s="1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4" t="s">
        <v>24</v>
      </c>
      <c r="B5" s="10">
        <v>5958775.2799999993</v>
      </c>
      <c r="C5" s="10">
        <v>2085571.42</v>
      </c>
      <c r="D5" s="10">
        <v>178763.27999999997</v>
      </c>
      <c r="E5" s="10">
        <v>26814.489999999998</v>
      </c>
      <c r="F5" s="10">
        <v>134072.44</v>
      </c>
      <c r="G5" s="10">
        <v>107257.98</v>
      </c>
      <c r="H5" s="10">
        <v>119175.51000000001</v>
      </c>
      <c r="I5" s="10">
        <v>178763.27999999997</v>
      </c>
      <c r="J5" s="10">
        <v>29793.860000000004</v>
      </c>
      <c r="K5" s="10">
        <v>2687.51</v>
      </c>
      <c r="L5" s="10">
        <v>998349.76</v>
      </c>
      <c r="M5" s="10">
        <v>52544.709999999992</v>
      </c>
      <c r="N5" s="10">
        <v>131361.82</v>
      </c>
      <c r="O5" s="10">
        <v>131362.10999999999</v>
      </c>
    </row>
    <row r="7" spans="1:15" ht="15" customHeight="1" x14ac:dyDescent="0.25">
      <c r="A7" s="31" t="s">
        <v>25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9" spans="1:15" ht="14.25" customHeight="1" x14ac:dyDescent="0.25">
      <c r="A9" s="15" t="s">
        <v>26</v>
      </c>
      <c r="B9" s="7">
        <v>519922.82</v>
      </c>
      <c r="C9" s="7">
        <f>ROUND($B9*0.35,2)</f>
        <v>181972.99</v>
      </c>
      <c r="D9" s="7">
        <f>ROUND($B9*0.03,2)</f>
        <v>15597.68</v>
      </c>
      <c r="E9" s="7">
        <f>ROUND($B9*0.0045,2)+0.01</f>
        <v>2339.6600000000003</v>
      </c>
      <c r="F9" s="7">
        <f t="shared" ref="F9" si="0">ROUND(($B9*0.025)*0.9,2)</f>
        <v>11698.26</v>
      </c>
      <c r="G9" s="7">
        <f t="shared" ref="G9:G16" si="1">ROUND(($B9*0.02)*0.9,2)</f>
        <v>9358.61</v>
      </c>
      <c r="H9" s="7">
        <f t="shared" ref="H9:H11" si="2">ROUND($B9*0.02,2)</f>
        <v>10398.459999999999</v>
      </c>
      <c r="I9" s="7">
        <f>ROUND($B9*0.03,2)</f>
        <v>15597.68</v>
      </c>
      <c r="J9" s="7">
        <f t="shared" ref="J9:J13" si="3">ROUND($B9*0.005,2)</f>
        <v>2599.61</v>
      </c>
      <c r="K9" s="7">
        <v>2314.13</v>
      </c>
      <c r="L9" s="7">
        <f>ROUND((($B9*0.22)+$K9)*0.76,2)</f>
        <v>88689.83</v>
      </c>
      <c r="M9" s="7">
        <f t="shared" ref="M9:M20" si="4">ROUND((($B9*0.22)+$K9)*0.04,2)</f>
        <v>4667.8900000000003</v>
      </c>
      <c r="N9" s="7">
        <f>ROUND((($B9*0.22)+$K9)*0.1,2)-0.01</f>
        <v>11669.71</v>
      </c>
      <c r="O9" s="7">
        <f>ROUND((($B9*0.22)+$K9)*0.1,2)+0.13</f>
        <v>11669.849999999999</v>
      </c>
    </row>
    <row r="10" spans="1:15" ht="14.25" customHeight="1" x14ac:dyDescent="0.25">
      <c r="A10" s="16" t="s">
        <v>27</v>
      </c>
      <c r="B10" s="7">
        <v>525254.6</v>
      </c>
      <c r="C10" s="7">
        <f>ROUND($B10*0.35,2)+0.01</f>
        <v>183839.12</v>
      </c>
      <c r="D10" s="7">
        <f>ROUND($B10*0.03,2)</f>
        <v>15757.64</v>
      </c>
      <c r="E10" s="7">
        <f>ROUND($B10*0.0045,2)</f>
        <v>2363.65</v>
      </c>
      <c r="F10" s="7">
        <f>ROUND(($B10*0.025)*0.9,2)+0.01</f>
        <v>11818.24</v>
      </c>
      <c r="G10" s="7">
        <f t="shared" si="1"/>
        <v>9454.58</v>
      </c>
      <c r="H10" s="7">
        <f t="shared" si="2"/>
        <v>10505.09</v>
      </c>
      <c r="I10" s="7">
        <f>ROUND($B10*0.03,2)</f>
        <v>15757.64</v>
      </c>
      <c r="J10" s="7">
        <f t="shared" si="3"/>
        <v>2626.27</v>
      </c>
      <c r="K10" s="7">
        <v>2798.06</v>
      </c>
      <c r="L10" s="7">
        <f>ROUND((($B10*0.22)+$K10)*0.76,2)</f>
        <v>89949.09</v>
      </c>
      <c r="M10" s="7">
        <f t="shared" si="4"/>
        <v>4734.16</v>
      </c>
      <c r="N10" s="7">
        <f>ROUND((($B10*0.22)+$K10)*0.1,2)-0.05</f>
        <v>11835.36</v>
      </c>
      <c r="O10" s="7">
        <f>ROUND((($B10*0.22)+$K10)*0.1,2)-0.34</f>
        <v>11835.07</v>
      </c>
    </row>
    <row r="11" spans="1:15" ht="14.25" customHeight="1" x14ac:dyDescent="0.25">
      <c r="A11" s="17" t="s">
        <v>28</v>
      </c>
      <c r="B11" s="7">
        <v>545177.12</v>
      </c>
      <c r="C11" s="7">
        <f>ROUND($B11*0.35,2)-0.01</f>
        <v>190811.97999999998</v>
      </c>
      <c r="D11" s="7">
        <f>ROUND($B11*0.03,2)-0.01</f>
        <v>16355.3</v>
      </c>
      <c r="E11" s="7">
        <f>ROUND($B11*0.0045,2)-0.01</f>
        <v>2453.29</v>
      </c>
      <c r="F11" s="7">
        <f>ROUND(($B11*0.025)*0.9,2)-0.01</f>
        <v>12266.48</v>
      </c>
      <c r="G11" s="7">
        <f t="shared" si="1"/>
        <v>9813.19</v>
      </c>
      <c r="H11" s="7">
        <f t="shared" si="2"/>
        <v>10903.54</v>
      </c>
      <c r="I11" s="7">
        <f>ROUND($B11*0.03,2)-0.01</f>
        <v>16355.3</v>
      </c>
      <c r="J11" s="7">
        <f t="shared" si="3"/>
        <v>2725.89</v>
      </c>
      <c r="K11" s="7">
        <v>2554.3200000000002</v>
      </c>
      <c r="L11" s="7">
        <f>ROUND((($B11*0.22)+$K11)*0.76,2)+0.02</f>
        <v>93094.92</v>
      </c>
      <c r="M11" s="7">
        <f t="shared" si="4"/>
        <v>4899.7299999999996</v>
      </c>
      <c r="N11" s="7">
        <f>ROUND((($B11*0.22)+$K11)*0.1,2)</f>
        <v>12249.33</v>
      </c>
      <c r="O11" s="7">
        <f>ROUND((($B11*0.22)+$K11)*0.1,2)+0.01</f>
        <v>12249.34</v>
      </c>
    </row>
    <row r="12" spans="1:15" ht="14.25" customHeight="1" x14ac:dyDescent="0.25">
      <c r="A12" s="18" t="s">
        <v>29</v>
      </c>
      <c r="B12" s="7">
        <v>686020.79</v>
      </c>
      <c r="C12" s="7">
        <f>ROUND($B12*0.35,2)-0.01</f>
        <v>240107.27</v>
      </c>
      <c r="D12" s="7">
        <f t="shared" ref="D12:D16" si="5">ROUND($B12*0.03,2)</f>
        <v>20580.62</v>
      </c>
      <c r="E12" s="7">
        <f>ROUND($B12*0.0045,2)</f>
        <v>3087.09</v>
      </c>
      <c r="F12" s="7">
        <f>ROUND(($B12*0.025)*0.9,2)-0.01</f>
        <v>15435.46</v>
      </c>
      <c r="G12" s="7">
        <f t="shared" si="1"/>
        <v>12348.37</v>
      </c>
      <c r="H12" s="7">
        <f>ROUND($B12*0.02,2)-0.01</f>
        <v>13720.41</v>
      </c>
      <c r="I12" s="7">
        <f t="shared" ref="I12:I16" si="6">ROUND($B12*0.03,2)</f>
        <v>20580.62</v>
      </c>
      <c r="J12" s="7">
        <f t="shared" si="3"/>
        <v>3430.1</v>
      </c>
      <c r="K12" s="7">
        <v>3388.48</v>
      </c>
      <c r="L12" s="7">
        <f>ROUND((($B12*0.22)+$K12)*0.76,2)+0.02</f>
        <v>117277.94</v>
      </c>
      <c r="M12" s="7">
        <f t="shared" si="4"/>
        <v>6172.52</v>
      </c>
      <c r="N12" s="7">
        <f>ROUND((($B12*0.22)+$K12)*0.1,2)-0.04</f>
        <v>15431.269999999999</v>
      </c>
      <c r="O12" s="7">
        <f>ROUND((($B12*0.22)+$K12)*0.1,2)+0.25</f>
        <v>15431.56</v>
      </c>
    </row>
    <row r="13" spans="1:15" ht="14.25" customHeight="1" x14ac:dyDescent="0.25">
      <c r="A13" s="19" t="s">
        <v>30</v>
      </c>
      <c r="B13" s="7">
        <v>615682.80000000005</v>
      </c>
      <c r="C13" s="7">
        <f>ROUND($B13*0.35,2)-0.01</f>
        <v>215488.97</v>
      </c>
      <c r="D13" s="7">
        <f t="shared" si="5"/>
        <v>18470.48</v>
      </c>
      <c r="E13" s="7">
        <f>ROUND($B13*0.0045,2)+0.01</f>
        <v>2770.5800000000004</v>
      </c>
      <c r="F13" s="7">
        <f>ROUND(($B13*0.025)*0.9,2)</f>
        <v>13852.86</v>
      </c>
      <c r="G13" s="7">
        <f t="shared" si="1"/>
        <v>11082.29</v>
      </c>
      <c r="H13" s="7">
        <f>ROUND($B13*0.02,2)</f>
        <v>12313.66</v>
      </c>
      <c r="I13" s="7">
        <f t="shared" si="6"/>
        <v>18470.48</v>
      </c>
      <c r="J13" s="7">
        <f t="shared" si="3"/>
        <v>3078.41</v>
      </c>
      <c r="K13" s="7">
        <v>3886.69</v>
      </c>
      <c r="L13" s="7">
        <f>ROUND((($B13*0.22)+$K13)*0.76,2)-0.01</f>
        <v>105896.04000000001</v>
      </c>
      <c r="M13" s="7">
        <f t="shared" si="4"/>
        <v>5573.48</v>
      </c>
      <c r="N13" s="7">
        <f>ROUND((($B13*0.22)+$K13)*0.1,2)+0.06</f>
        <v>13933.75</v>
      </c>
      <c r="O13" s="7">
        <f>ROUND((($B13*0.22)+$K13)*0.1,2)-0.11</f>
        <v>13933.58</v>
      </c>
    </row>
    <row r="14" spans="1:15" ht="14.25" customHeight="1" x14ac:dyDescent="0.25">
      <c r="A14" s="20" t="s">
        <v>31</v>
      </c>
      <c r="B14" s="7">
        <v>733189.36</v>
      </c>
      <c r="C14" s="7">
        <f>ROUND($B14*0.35,2)-0.01</f>
        <v>256616.27</v>
      </c>
      <c r="D14" s="7">
        <f t="shared" si="5"/>
        <v>21995.68</v>
      </c>
      <c r="E14" s="7">
        <f>ROUND($B14*0.0045,2)</f>
        <v>3299.35</v>
      </c>
      <c r="F14" s="7">
        <f>ROUND(($B14*0.025)*0.9,2)</f>
        <v>16496.759999999998</v>
      </c>
      <c r="G14" s="7">
        <f t="shared" si="1"/>
        <v>13197.41</v>
      </c>
      <c r="H14" s="7">
        <f>ROUND($B14*0.02,2)</f>
        <v>14663.79</v>
      </c>
      <c r="I14" s="7">
        <f t="shared" si="6"/>
        <v>21995.68</v>
      </c>
      <c r="J14" s="7">
        <f>ROUND($B14*0.005,2)-0.01</f>
        <v>3665.9399999999996</v>
      </c>
      <c r="K14" s="7">
        <v>5087.63</v>
      </c>
      <c r="L14" s="7">
        <f>ROUND((($B14*0.22)+$K14)*0.76,2)</f>
        <v>126455.86</v>
      </c>
      <c r="M14" s="7">
        <f t="shared" si="4"/>
        <v>6655.57</v>
      </c>
      <c r="N14" s="7">
        <f>ROUND((($B14*0.22)+$K14)*0.1,2)</f>
        <v>16638.93</v>
      </c>
      <c r="O14" s="7">
        <f>ROUND((($B14*0.22)+$K14)*0.1,2)+0.09</f>
        <v>16639.02</v>
      </c>
    </row>
    <row r="15" spans="1:15" ht="14.25" customHeight="1" x14ac:dyDescent="0.25">
      <c r="A15" s="21" t="s">
        <v>32</v>
      </c>
      <c r="B15" s="7">
        <v>639882.74</v>
      </c>
      <c r="C15" s="7">
        <f>ROUND($B15*0.35,2)</f>
        <v>223958.96</v>
      </c>
      <c r="D15" s="7">
        <f t="shared" si="5"/>
        <v>19196.48</v>
      </c>
      <c r="E15" s="7">
        <f>ROUND($B15*0.0045,2)</f>
        <v>2879.47</v>
      </c>
      <c r="F15" s="7">
        <f>ROUND(($B15*0.025)*0.9,2)+0.01</f>
        <v>14397.37</v>
      </c>
      <c r="G15" s="7">
        <f t="shared" si="1"/>
        <v>11517.89</v>
      </c>
      <c r="H15" s="7">
        <f>ROUND($B15*0.02,2)</f>
        <v>12797.65</v>
      </c>
      <c r="I15" s="7">
        <f t="shared" si="6"/>
        <v>19196.48</v>
      </c>
      <c r="J15" s="7">
        <f t="shared" ref="J15:J20" si="7">ROUND($B15*0.005,2)</f>
        <v>3199.41</v>
      </c>
      <c r="K15" s="7">
        <v>4910.95</v>
      </c>
      <c r="L15" s="7">
        <f>ROUND((($B15*0.22)+$K15)*0.76,2)-0.01</f>
        <v>110720.71</v>
      </c>
      <c r="M15" s="7">
        <f t="shared" si="4"/>
        <v>5827.41</v>
      </c>
      <c r="N15" s="7">
        <f>ROUND((($B15*0.22)+$K15)*0.1,2)-0.07</f>
        <v>14568.45</v>
      </c>
      <c r="O15" s="7">
        <f>ROUND((($B15*0.22)+$K15)*0.1,2)+0.06</f>
        <v>14568.58</v>
      </c>
    </row>
    <row r="16" spans="1:15" ht="14.25" customHeight="1" x14ac:dyDescent="0.25">
      <c r="A16" s="22" t="s">
        <v>33</v>
      </c>
      <c r="B16" s="7">
        <v>691142.65</v>
      </c>
      <c r="C16" s="7">
        <f>ROUND($B16*0.35,2)</f>
        <v>241899.93</v>
      </c>
      <c r="D16" s="7">
        <f t="shared" si="5"/>
        <v>20734.28</v>
      </c>
      <c r="E16" s="7">
        <f>ROUND($B16*0.0045,2)+0.01</f>
        <v>3110.15</v>
      </c>
      <c r="F16" s="7">
        <f>ROUND(($B16*0.025)*0.9,2)</f>
        <v>15550.71</v>
      </c>
      <c r="G16" s="7">
        <f t="shared" si="1"/>
        <v>12440.57</v>
      </c>
      <c r="H16" s="7">
        <f>ROUND($B16*0.02,2)+0.01</f>
        <v>13822.86</v>
      </c>
      <c r="I16" s="7">
        <f t="shared" si="6"/>
        <v>20734.28</v>
      </c>
      <c r="J16" s="7">
        <f t="shared" si="7"/>
        <v>3455.71</v>
      </c>
      <c r="K16" s="7">
        <v>5282.55</v>
      </c>
      <c r="L16" s="7">
        <f>ROUND((($B16*0.22)+$K16)*0.76,2)-0.01</f>
        <v>119573.78</v>
      </c>
      <c r="M16" s="7">
        <f t="shared" si="4"/>
        <v>6293.36</v>
      </c>
      <c r="N16" s="7">
        <f>ROUND((($B16*0.22)+$K16)*0.1,2)+0.05</f>
        <v>15733.439999999999</v>
      </c>
      <c r="O16" s="7">
        <f>ROUND((($B16*0.22)+$K16)*0.1,2)-0.35</f>
        <v>15733.039999999999</v>
      </c>
    </row>
    <row r="17" spans="1:15" ht="14.25" customHeight="1" x14ac:dyDescent="0.25">
      <c r="A17" s="23" t="s">
        <v>34</v>
      </c>
      <c r="B17" s="7">
        <v>547763.1</v>
      </c>
      <c r="C17" s="7">
        <f>ROUND($B17*0.35,2)-0.01</f>
        <v>191717.08</v>
      </c>
      <c r="D17" s="7">
        <f>ROUND($B17*0.03,2)-0.01</f>
        <v>16432.88</v>
      </c>
      <c r="E17" s="7">
        <f>ROUND($B17*0.0045,2)+0.01</f>
        <v>2464.94</v>
      </c>
      <c r="F17" s="7">
        <f>ROUND(($B17*0.025)*0.9,2)</f>
        <v>12324.67</v>
      </c>
      <c r="G17" s="7">
        <f>ROUND(($B17*0.02)*0.9,2)-0.01</f>
        <v>9859.73</v>
      </c>
      <c r="H17" s="7">
        <f>ROUND($B17*0.02,2)</f>
        <v>10955.26</v>
      </c>
      <c r="I17" s="7">
        <f>ROUND($B17*0.03,2)-0.01</f>
        <v>16432.88</v>
      </c>
      <c r="J17" s="7">
        <f t="shared" si="7"/>
        <v>2738.82</v>
      </c>
      <c r="K17" s="7">
        <v>5514.94</v>
      </c>
      <c r="L17" s="7">
        <f>ROUND((($B17*0.22)+$K17)*0.76,2)+0.03</f>
        <v>95777.37</v>
      </c>
      <c r="M17" s="7">
        <f t="shared" si="4"/>
        <v>5040.91</v>
      </c>
      <c r="N17" s="7">
        <f>ROUND((($B17*0.22)+$K17)*0.1,2)-0.02</f>
        <v>12602.26</v>
      </c>
      <c r="O17" s="7">
        <f>ROUND((($B17*0.22)+$K17)*0.1,2)+0.2</f>
        <v>12602.480000000001</v>
      </c>
    </row>
    <row r="18" spans="1:15" ht="14.25" customHeight="1" x14ac:dyDescent="0.25">
      <c r="A18" s="24" t="s">
        <v>35</v>
      </c>
      <c r="B18" s="7">
        <v>606722.37</v>
      </c>
      <c r="C18" s="7">
        <f>ROUND($B18*0.35,2)+0.01</f>
        <v>212352.84</v>
      </c>
      <c r="D18" s="7">
        <f>ROUND($B18*0.03,2)-0.01</f>
        <v>18201.66</v>
      </c>
      <c r="E18" s="7">
        <f>ROUND($B18*0.0045,2)+0.01</f>
        <v>2730.26</v>
      </c>
      <c r="F18" s="7">
        <f>ROUND(($B18*0.025)*0.9,2)</f>
        <v>13651.25</v>
      </c>
      <c r="G18" s="7">
        <f>ROUND(($B18*0.02)*0.9,2)</f>
        <v>10921</v>
      </c>
      <c r="H18" s="7">
        <f>ROUND($B18*0.02,2)</f>
        <v>12134.45</v>
      </c>
      <c r="I18" s="7">
        <f>ROUND($B18*0.03,2)-0.01</f>
        <v>18201.66</v>
      </c>
      <c r="J18" s="7">
        <f t="shared" si="7"/>
        <v>3033.61</v>
      </c>
      <c r="K18" s="7">
        <v>4766.8999999999996</v>
      </c>
      <c r="L18" s="7">
        <f>ROUND((($B18*0.22)+$K18)*0.76,2)+0.02</f>
        <v>105066.84000000001</v>
      </c>
      <c r="M18" s="7">
        <f t="shared" si="4"/>
        <v>5529.83</v>
      </c>
      <c r="N18" s="7">
        <f>ROUND((($B18*0.22)+$K18)*0.1,2)+0.1</f>
        <v>13824.68</v>
      </c>
      <c r="O18" s="7">
        <f>ROUND((($B18*0.22)+$K18)*0.1,2)-0.16</f>
        <v>13824.42</v>
      </c>
    </row>
    <row r="19" spans="1:15" ht="14.25" customHeight="1" x14ac:dyDescent="0.25">
      <c r="A19" s="25" t="s">
        <v>36</v>
      </c>
      <c r="B19" s="7">
        <v>628051.25</v>
      </c>
      <c r="C19" s="7">
        <f>ROUND($B19*0.35,2)+0.02</f>
        <v>219817.96</v>
      </c>
      <c r="D19" s="7">
        <f>ROUND($B19*0.03,2)</f>
        <v>18841.54</v>
      </c>
      <c r="E19" s="7">
        <f>ROUND($B19*0.0045,2)</f>
        <v>2826.23</v>
      </c>
      <c r="F19" s="7">
        <f>ROUND(($B19*0.025)*0.9,2)</f>
        <v>14131.15</v>
      </c>
      <c r="G19" s="7">
        <f>ROUND(($B19*0.02)*0.9,2)</f>
        <v>11304.92</v>
      </c>
      <c r="H19" s="7">
        <f>ROUND($B19*0.02,2)-0.01</f>
        <v>12561.02</v>
      </c>
      <c r="I19" s="7">
        <f>ROUND($B19*0.03,2)</f>
        <v>18841.54</v>
      </c>
      <c r="J19" s="7">
        <f t="shared" si="7"/>
        <v>3140.26</v>
      </c>
      <c r="K19" s="7">
        <v>4632.82</v>
      </c>
      <c r="L19" s="7">
        <f>ROUND((($B19*0.22)+$K19)*0.76,2)+0.03</f>
        <v>108531.14</v>
      </c>
      <c r="M19" s="7">
        <f t="shared" si="4"/>
        <v>5712.16</v>
      </c>
      <c r="N19" s="7">
        <f>ROUND((($B19*0.22)+$K19)*0.1,2)-0.06</f>
        <v>14280.35</v>
      </c>
      <c r="O19" s="7">
        <f>ROUND((($B19*0.22)+$K19)*0.1,2)-0.01</f>
        <v>14280.4</v>
      </c>
    </row>
    <row r="20" spans="1:15" ht="14.25" customHeight="1" x14ac:dyDescent="0.25">
      <c r="A20" s="26" t="s">
        <v>38</v>
      </c>
      <c r="B20" s="7">
        <v>438287.22</v>
      </c>
      <c r="C20" s="7">
        <f>ROUND($B20*0.35,2)-0.02</f>
        <v>153400.51</v>
      </c>
      <c r="D20" s="7">
        <f>ROUND($B20*0.03,2)</f>
        <v>13148.62</v>
      </c>
      <c r="E20" s="7">
        <f>ROUND($B20*0.0045,2)</f>
        <v>1972.29</v>
      </c>
      <c r="F20" s="7">
        <f>ROUND(($B20*0.025)*0.9,2)</f>
        <v>9861.4599999999991</v>
      </c>
      <c r="G20" s="7">
        <f>ROUND(($B20*0.02)*0.9,2)</f>
        <v>7889.17</v>
      </c>
      <c r="H20" s="7">
        <f>ROUND($B20*0.02,2)</f>
        <v>8765.74</v>
      </c>
      <c r="I20" s="7">
        <f>ROUND($B20*0.03,2)</f>
        <v>13148.62</v>
      </c>
      <c r="J20" s="7">
        <f t="shared" si="7"/>
        <v>2191.44</v>
      </c>
      <c r="K20" s="7">
        <v>5564.66</v>
      </c>
      <c r="L20" s="7">
        <f>ROUND((($B20*0.22)+$K20)*0.76,2)</f>
        <v>77510.759999999995</v>
      </c>
      <c r="M20" s="7">
        <f t="shared" si="4"/>
        <v>4079.51</v>
      </c>
      <c r="N20" s="7">
        <f>ROUND((($B20*0.22)+$K20)*0.1,2)+0.04</f>
        <v>10198.820000000002</v>
      </c>
      <c r="O20" s="7">
        <f>ROUND((($B20*0.22)+$K20)*0.1,2)+0.04</f>
        <v>10198.820000000002</v>
      </c>
    </row>
    <row r="22" spans="1:15" ht="15" customHeight="1" thickBot="1" x14ac:dyDescent="0.3">
      <c r="B22" s="8">
        <f t="shared" ref="B22:O22" si="8">SUM(B9:B21)</f>
        <v>7177096.8199999994</v>
      </c>
      <c r="C22" s="8">
        <f t="shared" si="8"/>
        <v>2511983.88</v>
      </c>
      <c r="D22" s="8">
        <f t="shared" si="8"/>
        <v>215312.86</v>
      </c>
      <c r="E22" s="8">
        <f t="shared" si="8"/>
        <v>32296.960000000003</v>
      </c>
      <c r="F22" s="8">
        <f t="shared" si="8"/>
        <v>161484.66999999998</v>
      </c>
      <c r="G22" s="8">
        <f t="shared" si="8"/>
        <v>129187.73</v>
      </c>
      <c r="H22" s="8">
        <f t="shared" si="8"/>
        <v>143541.93</v>
      </c>
      <c r="I22" s="8">
        <f t="shared" si="8"/>
        <v>215312.86</v>
      </c>
      <c r="J22" s="8">
        <f t="shared" si="8"/>
        <v>35885.47</v>
      </c>
      <c r="K22" s="8">
        <f t="shared" si="8"/>
        <v>50702.130000000005</v>
      </c>
      <c r="L22" s="8">
        <f t="shared" si="8"/>
        <v>1238544.2799999998</v>
      </c>
      <c r="M22" s="8">
        <f t="shared" si="8"/>
        <v>65186.530000000006</v>
      </c>
      <c r="N22" s="8">
        <f t="shared" si="8"/>
        <v>162966.35</v>
      </c>
      <c r="O22" s="8">
        <f t="shared" si="8"/>
        <v>162966.16</v>
      </c>
    </row>
    <row r="23" spans="1:15" ht="15" customHeight="1" thickTop="1" x14ac:dyDescent="0.25"/>
    <row r="24" spans="1:15" ht="15" customHeight="1" x14ac:dyDescent="0.25">
      <c r="A24" s="9" t="s">
        <v>14</v>
      </c>
    </row>
    <row r="25" spans="1:15" ht="15" customHeight="1" x14ac:dyDescent="0.25">
      <c r="A25" s="9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workbookViewId="0">
      <selection sqref="A1:O1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4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7109375" style="1" customWidth="1"/>
    <col min="16" max="16384" width="9.140625" style="1"/>
  </cols>
  <sheetData>
    <row r="1" spans="1:15" ht="15" customHeight="1" x14ac:dyDescent="0.25">
      <c r="A1" s="30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5" customHeight="1" x14ac:dyDescent="0.25">
      <c r="A2" s="14"/>
    </row>
    <row r="3" spans="1:15" ht="15" customHeight="1" x14ac:dyDescent="0.25">
      <c r="A3" s="1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4" t="s">
        <v>24</v>
      </c>
      <c r="B5" s="10">
        <v>18013249.5</v>
      </c>
      <c r="C5" s="10">
        <v>6304637.46</v>
      </c>
      <c r="D5" s="10">
        <v>540397.54</v>
      </c>
      <c r="E5" s="10">
        <v>81059.61</v>
      </c>
      <c r="F5" s="10">
        <v>405298.12</v>
      </c>
      <c r="G5" s="10">
        <v>324238.49000000005</v>
      </c>
      <c r="H5" s="10">
        <v>360264.99999999994</v>
      </c>
      <c r="I5" s="10">
        <v>540397.54</v>
      </c>
      <c r="J5" s="10">
        <v>90066.27</v>
      </c>
      <c r="K5" s="10">
        <v>2687.5199999999995</v>
      </c>
      <c r="L5" s="10">
        <v>3013857.85</v>
      </c>
      <c r="M5" s="10">
        <v>158624.08000000002</v>
      </c>
      <c r="N5" s="10">
        <v>396560.24</v>
      </c>
      <c r="O5" s="10">
        <v>396560.54999999993</v>
      </c>
    </row>
    <row r="7" spans="1:15" ht="15" customHeight="1" x14ac:dyDescent="0.25">
      <c r="A7" s="31" t="s">
        <v>25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9" spans="1:15" ht="14.25" customHeight="1" x14ac:dyDescent="0.25">
      <c r="A9" s="15" t="s">
        <v>26</v>
      </c>
      <c r="B9" s="7">
        <v>1134745.5</v>
      </c>
      <c r="C9" s="7">
        <f>ROUND($B9*0.35,2)</f>
        <v>397160.93</v>
      </c>
      <c r="D9" s="7">
        <f>ROUND($B9*0.03,2)+0.01</f>
        <v>34042.380000000005</v>
      </c>
      <c r="E9" s="7">
        <f>ROUND($B9*0.0045,2)</f>
        <v>5106.3500000000004</v>
      </c>
      <c r="F9" s="7">
        <f>ROUND(($B9*0.025)*0.9,2)+0.01</f>
        <v>25531.78</v>
      </c>
      <c r="G9" s="7">
        <f t="shared" ref="G9:G17" si="0">ROUND(($B9*0.02)*0.9,2)</f>
        <v>20425.419999999998</v>
      </c>
      <c r="H9" s="7">
        <f t="shared" ref="H9:H13" si="1">ROUND($B9*0.02,2)</f>
        <v>22694.91</v>
      </c>
      <c r="I9" s="7">
        <f>ROUND($B9*0.03,2)+0.01</f>
        <v>34042.380000000005</v>
      </c>
      <c r="J9" s="7">
        <f t="shared" ref="J9" si="2">ROUND($B9*0.005,2)</f>
        <v>5673.73</v>
      </c>
      <c r="K9" s="7">
        <v>2314.14</v>
      </c>
      <c r="L9" s="7">
        <f>ROUND((($B9*0.22)+$K9)*0.76,2)-0.01</f>
        <v>191488.18</v>
      </c>
      <c r="M9" s="7">
        <f>ROUND((($B9*0.22)+$K9)*0.04,2)-0.01</f>
        <v>10078.32</v>
      </c>
      <c r="N9" s="7">
        <f>ROUND((($B9*0.22)+$K9)*0.1,2)-0.03</f>
        <v>25195.79</v>
      </c>
      <c r="O9" s="7">
        <f>ROUND((($B9*0.22)+$K9)*0.1,2)+0.12</f>
        <v>25195.94</v>
      </c>
    </row>
    <row r="10" spans="1:15" ht="14.25" customHeight="1" x14ac:dyDescent="0.25">
      <c r="A10" s="16" t="s">
        <v>27</v>
      </c>
      <c r="B10" s="7">
        <v>1435823</v>
      </c>
      <c r="C10" s="7">
        <f>ROUND($B10*0.35,2)</f>
        <v>502538.05</v>
      </c>
      <c r="D10" s="7">
        <f>ROUND($B10*0.03,2)-0.01</f>
        <v>43074.68</v>
      </c>
      <c r="E10" s="7">
        <f>ROUND($B10*0.0045,2)+0.01</f>
        <v>6461.21</v>
      </c>
      <c r="F10" s="7">
        <f>ROUND(($B10*0.025)*0.9,2)</f>
        <v>32306.02</v>
      </c>
      <c r="G10" s="7">
        <f t="shared" si="0"/>
        <v>25844.81</v>
      </c>
      <c r="H10" s="7">
        <f t="shared" si="1"/>
        <v>28716.46</v>
      </c>
      <c r="I10" s="7">
        <f>ROUND($B10*0.03,2)-0.01</f>
        <v>43074.68</v>
      </c>
      <c r="J10" s="7">
        <f>ROUND($B10*0.005,2)+0.01</f>
        <v>7179.13</v>
      </c>
      <c r="K10" s="7">
        <v>2798.06</v>
      </c>
      <c r="L10" s="7">
        <f>ROUND((($B10*0.22)+$K10)*0.76,2)+0.01</f>
        <v>242196.14</v>
      </c>
      <c r="M10" s="7">
        <f>ROUND((($B10*0.22)+$K10)*0.04,2)</f>
        <v>12747.16</v>
      </c>
      <c r="N10" s="7">
        <f>ROUND((($B10*0.22)+$K10)*0.1,2)-0.04</f>
        <v>31867.87</v>
      </c>
      <c r="O10" s="7">
        <f>ROUND((($B10*0.22)+$K10)*0.1,2)-0.34</f>
        <v>31867.57</v>
      </c>
    </row>
    <row r="11" spans="1:15" ht="14.25" customHeight="1" x14ac:dyDescent="0.25">
      <c r="A11" s="17" t="s">
        <v>28</v>
      </c>
      <c r="B11" s="7">
        <v>1267240</v>
      </c>
      <c r="C11" s="7">
        <f>ROUND($B11*0.35,2)+0.03</f>
        <v>443534.03</v>
      </c>
      <c r="D11" s="7">
        <f>ROUND($B11*0.03,2)</f>
        <v>38017.199999999997</v>
      </c>
      <c r="E11" s="7">
        <f t="shared" ref="E11:E20" si="3">ROUND($B11*0.0045,2)</f>
        <v>5702.58</v>
      </c>
      <c r="F11" s="7">
        <f>ROUND(($B11*0.025)*0.9,2)</f>
        <v>28512.9</v>
      </c>
      <c r="G11" s="7">
        <f t="shared" si="0"/>
        <v>22810.32</v>
      </c>
      <c r="H11" s="7">
        <f t="shared" si="1"/>
        <v>25344.799999999999</v>
      </c>
      <c r="I11" s="7">
        <f>ROUND($B11*0.03,2)</f>
        <v>38017.199999999997</v>
      </c>
      <c r="J11" s="7">
        <f>ROUND($B11*0.005,2)</f>
        <v>6336.2</v>
      </c>
      <c r="K11" s="7">
        <v>2554.3200000000002</v>
      </c>
      <c r="L11" s="7">
        <f>ROUND((($B11*0.22)+$K11)*0.76,2)+0.01</f>
        <v>213823.82</v>
      </c>
      <c r="M11" s="7">
        <f>ROUND((($B11*0.22)+$K11)*0.04,2)+0.01</f>
        <v>11253.89</v>
      </c>
      <c r="N11" s="7">
        <f>ROUND((($B11*0.22)+$K11)*0.1,2)+0.01</f>
        <v>28134.719999999998</v>
      </c>
      <c r="O11" s="7">
        <f>ROUND((($B11*0.22)+$K11)*0.1,2)+0.01</f>
        <v>28134.719999999998</v>
      </c>
    </row>
    <row r="12" spans="1:15" ht="14.25" customHeight="1" x14ac:dyDescent="0.25">
      <c r="A12" s="18" t="s">
        <v>29</v>
      </c>
      <c r="B12" s="7">
        <v>1284495.05</v>
      </c>
      <c r="C12" s="7">
        <f>ROUND($B12*0.35,2)</f>
        <v>449573.27</v>
      </c>
      <c r="D12" s="7">
        <f>ROUND($B12*0.03,2)-0.01</f>
        <v>38534.839999999997</v>
      </c>
      <c r="E12" s="7">
        <f t="shared" si="3"/>
        <v>5780.23</v>
      </c>
      <c r="F12" s="7">
        <f>ROUND(($B12*0.025)*0.9,2)</f>
        <v>28901.14</v>
      </c>
      <c r="G12" s="7">
        <f t="shared" si="0"/>
        <v>23120.91</v>
      </c>
      <c r="H12" s="7">
        <f t="shared" si="1"/>
        <v>25689.9</v>
      </c>
      <c r="I12" s="7">
        <f>ROUND($B12*0.03,2)-0.01</f>
        <v>38534.839999999997</v>
      </c>
      <c r="J12" s="7">
        <f>ROUND($B12*0.005,2)-0.01</f>
        <v>6422.4699999999993</v>
      </c>
      <c r="K12" s="7">
        <v>3388.48</v>
      </c>
      <c r="L12" s="7">
        <f>ROUND((($B12*0.22)+$K12)*0.76,2)+0.02</f>
        <v>217342.84</v>
      </c>
      <c r="M12" s="7">
        <f t="shared" ref="M12:M19" si="4">ROUND((($B12*0.22)+$K12)*0.04,2)</f>
        <v>11439.1</v>
      </c>
      <c r="N12" s="7">
        <f>ROUND((($B12*0.22)+$K12)*0.1,2)-0.03</f>
        <v>28597.710000000003</v>
      </c>
      <c r="O12" s="7">
        <f>ROUND((($B12*0.22)+$K12)*0.1,2)+0.26</f>
        <v>28598</v>
      </c>
    </row>
    <row r="13" spans="1:15" ht="14.25" customHeight="1" x14ac:dyDescent="0.25">
      <c r="A13" s="19" t="s">
        <v>30</v>
      </c>
      <c r="B13" s="7">
        <v>1294625.95</v>
      </c>
      <c r="C13" s="7">
        <f>ROUND($B13*0.35,2)+0.02</f>
        <v>453119.10000000003</v>
      </c>
      <c r="D13" s="7">
        <f>ROUND($B13*0.03,2)</f>
        <v>38838.78</v>
      </c>
      <c r="E13" s="7">
        <f t="shared" si="3"/>
        <v>5825.82</v>
      </c>
      <c r="F13" s="7">
        <f>ROUND(($B13*0.025)*0.9,2)</f>
        <v>29129.08</v>
      </c>
      <c r="G13" s="7">
        <f t="shared" si="0"/>
        <v>23303.27</v>
      </c>
      <c r="H13" s="7">
        <f t="shared" si="1"/>
        <v>25892.52</v>
      </c>
      <c r="I13" s="7">
        <f>ROUND($B13*0.03,2)</f>
        <v>38838.78</v>
      </c>
      <c r="J13" s="7">
        <f>ROUND($B13*0.005,2)</f>
        <v>6473.13</v>
      </c>
      <c r="K13" s="7">
        <v>3886.69</v>
      </c>
      <c r="L13" s="7">
        <f>ROUND((($B13*0.22)+$K13)*0.76,2)+0.01</f>
        <v>219415.35</v>
      </c>
      <c r="M13" s="7">
        <f t="shared" si="4"/>
        <v>11548.18</v>
      </c>
      <c r="N13" s="7">
        <f>ROUND((($B13*0.22)+$K13)*0.1,2)+0.05</f>
        <v>28870.489999999998</v>
      </c>
      <c r="O13" s="7">
        <f>ROUND((($B13*0.22)+$K13)*0.1,2)-0.11</f>
        <v>28870.329999999998</v>
      </c>
    </row>
    <row r="14" spans="1:15" ht="14.25" customHeight="1" x14ac:dyDescent="0.25">
      <c r="A14" s="20" t="s">
        <v>31</v>
      </c>
      <c r="B14" s="7">
        <v>1274817.5</v>
      </c>
      <c r="C14" s="7">
        <f>ROUND($B14*0.35,2)</f>
        <v>446186.13</v>
      </c>
      <c r="D14" s="7">
        <f>ROUND($B14*0.03,2)-0.01</f>
        <v>38244.519999999997</v>
      </c>
      <c r="E14" s="7">
        <f t="shared" si="3"/>
        <v>5736.68</v>
      </c>
      <c r="F14" s="7">
        <f>ROUND(($B14*0.025)*0.9,2)+0.01</f>
        <v>28683.399999999998</v>
      </c>
      <c r="G14" s="7">
        <f t="shared" si="0"/>
        <v>22946.720000000001</v>
      </c>
      <c r="H14" s="7">
        <f>ROUND($B14*0.02,2)+0.01</f>
        <v>25496.359999999997</v>
      </c>
      <c r="I14" s="7">
        <f>ROUND($B14*0.03,2)-0.01</f>
        <v>38244.519999999997</v>
      </c>
      <c r="J14" s="7">
        <f>ROUND($B14*0.005,2)</f>
        <v>6374.09</v>
      </c>
      <c r="K14" s="7">
        <v>5087.62</v>
      </c>
      <c r="L14" s="7">
        <f>ROUND((($B14*0.22)+$K14)*0.76,2)-0.02</f>
        <v>217016.06</v>
      </c>
      <c r="M14" s="7">
        <f t="shared" si="4"/>
        <v>11421.9</v>
      </c>
      <c r="N14" s="7">
        <f>ROUND((($B14*0.22)+$K14)*0.1,2)</f>
        <v>28554.75</v>
      </c>
      <c r="O14" s="7">
        <f>ROUND((($B14*0.22)+$K14)*0.1,2)+0.09</f>
        <v>28554.84</v>
      </c>
    </row>
    <row r="15" spans="1:15" ht="14.25" customHeight="1" x14ac:dyDescent="0.25">
      <c r="A15" s="21" t="s">
        <v>32</v>
      </c>
      <c r="B15" s="7">
        <v>1250484</v>
      </c>
      <c r="C15" s="7">
        <f>ROUND($B15*0.35,2)+0.01</f>
        <v>437669.41000000003</v>
      </c>
      <c r="D15" s="7">
        <f>ROUND($B15*0.03,2)</f>
        <v>37514.519999999997</v>
      </c>
      <c r="E15" s="7">
        <f t="shared" si="3"/>
        <v>5627.18</v>
      </c>
      <c r="F15" s="7">
        <f>ROUND(($B15*0.025)*0.9,2)</f>
        <v>28135.89</v>
      </c>
      <c r="G15" s="7">
        <f t="shared" si="0"/>
        <v>22508.71</v>
      </c>
      <c r="H15" s="7">
        <f t="shared" ref="H15:H20" si="5">ROUND($B15*0.02,2)</f>
        <v>25009.68</v>
      </c>
      <c r="I15" s="7">
        <f>ROUND($B15*0.03,2)</f>
        <v>37514.519999999997</v>
      </c>
      <c r="J15" s="7">
        <f>ROUND($B15*0.005,2)</f>
        <v>6252.42</v>
      </c>
      <c r="K15" s="7">
        <v>4910.95</v>
      </c>
      <c r="L15" s="7">
        <f>ROUND((($B15*0.22)+$K15)*0.76,2)+0.01</f>
        <v>212813.26</v>
      </c>
      <c r="M15" s="7">
        <f t="shared" si="4"/>
        <v>11200.7</v>
      </c>
      <c r="N15" s="7">
        <f>ROUND((($B15*0.22)+$K15)*0.1,2)-0.07</f>
        <v>28001.670000000002</v>
      </c>
      <c r="O15" s="7">
        <f>ROUND((($B15*0.22)+$K15)*0.1,2)+0.06</f>
        <v>28001.800000000003</v>
      </c>
    </row>
    <row r="16" spans="1:15" ht="14.25" customHeight="1" x14ac:dyDescent="0.25">
      <c r="A16" s="22" t="s">
        <v>33</v>
      </c>
      <c r="B16" s="7">
        <v>897953.5</v>
      </c>
      <c r="C16" s="7">
        <f>ROUND($B16*0.35,2)</f>
        <v>314283.73</v>
      </c>
      <c r="D16" s="7">
        <f>ROUND($B16*0.03,2)-0.01</f>
        <v>26938.600000000002</v>
      </c>
      <c r="E16" s="7">
        <f t="shared" si="3"/>
        <v>4040.79</v>
      </c>
      <c r="F16" s="7">
        <f>ROUND(($B16*0.025)*0.9,2)</f>
        <v>20203.95</v>
      </c>
      <c r="G16" s="7">
        <f t="shared" si="0"/>
        <v>16163.16</v>
      </c>
      <c r="H16" s="7">
        <f t="shared" si="5"/>
        <v>17959.07</v>
      </c>
      <c r="I16" s="7">
        <f>ROUND($B16*0.03,2)-0.01</f>
        <v>26938.600000000002</v>
      </c>
      <c r="J16" s="7">
        <f>ROUND($B16*0.005,2)-0.01</f>
        <v>4489.76</v>
      </c>
      <c r="K16" s="7">
        <v>5282.55</v>
      </c>
      <c r="L16" s="7">
        <f>ROUND((($B16*0.22)+$K16)*0.76,2)+0.02</f>
        <v>154152.57999999999</v>
      </c>
      <c r="M16" s="7">
        <f t="shared" si="4"/>
        <v>8113.29</v>
      </c>
      <c r="N16" s="7">
        <f>ROUND((($B16*0.22)+$K16)*0.1,2)+0.06</f>
        <v>20283.29</v>
      </c>
      <c r="O16" s="7">
        <f>ROUND((($B16*0.22)+$K16)*0.1,2)-0.34</f>
        <v>20282.89</v>
      </c>
    </row>
    <row r="17" spans="1:15" ht="14.25" customHeight="1" x14ac:dyDescent="0.25">
      <c r="A17" s="23" t="s">
        <v>34</v>
      </c>
      <c r="B17" s="7">
        <v>1501939</v>
      </c>
      <c r="C17" s="7">
        <f>ROUND($B17*0.35,2)+0.03</f>
        <v>525678.68000000005</v>
      </c>
      <c r="D17" s="7">
        <f>ROUND($B17*0.03,2)+0.01</f>
        <v>45058.18</v>
      </c>
      <c r="E17" s="7">
        <f t="shared" si="3"/>
        <v>6758.73</v>
      </c>
      <c r="F17" s="7">
        <f>ROUND(($B17*0.025)*0.9,2)</f>
        <v>33793.629999999997</v>
      </c>
      <c r="G17" s="7">
        <f t="shared" si="0"/>
        <v>27034.9</v>
      </c>
      <c r="H17" s="7">
        <f t="shared" si="5"/>
        <v>30038.78</v>
      </c>
      <c r="I17" s="7">
        <f>ROUND($B17*0.03,2)+0.01</f>
        <v>45058.18</v>
      </c>
      <c r="J17" s="7">
        <f>ROUND($B17*0.005,2)</f>
        <v>7509.7</v>
      </c>
      <c r="K17" s="7">
        <v>5514.94</v>
      </c>
      <c r="L17" s="7">
        <f>ROUND((($B17*0.22)+$K17)*0.76,2)</f>
        <v>255315.56</v>
      </c>
      <c r="M17" s="7">
        <f t="shared" si="4"/>
        <v>13437.66</v>
      </c>
      <c r="N17" s="7">
        <f>ROUND((($B17*0.22)+$K17)*0.1,2)-0.02</f>
        <v>33594.130000000005</v>
      </c>
      <c r="O17" s="7">
        <f>ROUND((($B17*0.22)+$K17)*0.1,2)+0.2</f>
        <v>33594.35</v>
      </c>
    </row>
    <row r="18" spans="1:15" ht="14.25" customHeight="1" x14ac:dyDescent="0.25">
      <c r="A18" s="24" t="s">
        <v>35</v>
      </c>
      <c r="B18" s="7">
        <v>1252806.25</v>
      </c>
      <c r="C18" s="7">
        <f>ROUND($B18*0.35,2)+0.01</f>
        <v>438482.2</v>
      </c>
      <c r="D18" s="7">
        <f>ROUND($B18*0.03,2)-0.01</f>
        <v>37584.18</v>
      </c>
      <c r="E18" s="7">
        <f t="shared" si="3"/>
        <v>5637.63</v>
      </c>
      <c r="F18" s="7">
        <f>ROUND(($B18*0.025)*0.9,2)+0.01</f>
        <v>28188.149999999998</v>
      </c>
      <c r="G18" s="7">
        <f>ROUND(($B18*0.02)*0.9,2)+0.01</f>
        <v>22550.519999999997</v>
      </c>
      <c r="H18" s="7">
        <f t="shared" si="5"/>
        <v>25056.13</v>
      </c>
      <c r="I18" s="7">
        <f>ROUND($B18*0.03,2)-0.01</f>
        <v>37584.18</v>
      </c>
      <c r="J18" s="7">
        <f>ROUND($B18*0.005,2)</f>
        <v>6264.03</v>
      </c>
      <c r="K18" s="7">
        <v>4766.8999999999996</v>
      </c>
      <c r="L18" s="7">
        <f>ROUND((($B18*0.22)+$K18)*0.76,2)</f>
        <v>213092.05</v>
      </c>
      <c r="M18" s="7">
        <f t="shared" si="4"/>
        <v>11215.37</v>
      </c>
      <c r="N18" s="7">
        <f>ROUND((($B18*0.22)+$K18)*0.1,2)+0.09</f>
        <v>28038.52</v>
      </c>
      <c r="O18" s="7">
        <f>ROUND((($B18*0.22)+$K18)*0.1,2)-0.17</f>
        <v>28038.260000000002</v>
      </c>
    </row>
    <row r="19" spans="1:15" ht="14.25" customHeight="1" x14ac:dyDescent="0.25">
      <c r="A19" s="25" t="s">
        <v>36</v>
      </c>
      <c r="B19" s="7">
        <v>1235916.75</v>
      </c>
      <c r="C19" s="7">
        <f>ROUND($B19*0.35,2)</f>
        <v>432570.86</v>
      </c>
      <c r="D19" s="7">
        <f>ROUND($B19*0.03,2)</f>
        <v>37077.5</v>
      </c>
      <c r="E19" s="7">
        <f t="shared" si="3"/>
        <v>5561.63</v>
      </c>
      <c r="F19" s="7">
        <f>ROUND(($B19*0.025)*0.9,2)</f>
        <v>27808.13</v>
      </c>
      <c r="G19" s="7">
        <f>ROUND(($B19*0.02)*0.9,2)</f>
        <v>22246.5</v>
      </c>
      <c r="H19" s="7">
        <f t="shared" si="5"/>
        <v>24718.34</v>
      </c>
      <c r="I19" s="7">
        <f>ROUND($B19*0.03,2)</f>
        <v>37077.5</v>
      </c>
      <c r="J19" s="7">
        <f>ROUND($B19*0.005,2)-0.01</f>
        <v>6179.57</v>
      </c>
      <c r="K19" s="7">
        <v>4632.82</v>
      </c>
      <c r="L19" s="7">
        <f>ROUND((($B19*0.22)+$K19)*0.76,2)+0.01</f>
        <v>210166.23</v>
      </c>
      <c r="M19" s="7">
        <f t="shared" si="4"/>
        <v>11061.38</v>
      </c>
      <c r="N19" s="7">
        <f>ROUND((($B19*0.22)+$K19)*0.1,2)-0.06</f>
        <v>27653.39</v>
      </c>
      <c r="O19" s="7">
        <f>ROUND((($B19*0.22)+$K19)*0.1,2)-0.01</f>
        <v>27653.440000000002</v>
      </c>
    </row>
    <row r="20" spans="1:15" ht="14.25" customHeight="1" x14ac:dyDescent="0.25">
      <c r="A20" s="26" t="s">
        <v>38</v>
      </c>
      <c r="B20" s="7">
        <v>1311119</v>
      </c>
      <c r="C20" s="7">
        <f>ROUND($B20*0.35,2)+0.01</f>
        <v>458891.66000000003</v>
      </c>
      <c r="D20" s="7">
        <f>ROUND($B20*0.03,2)-0.01</f>
        <v>39333.56</v>
      </c>
      <c r="E20" s="7">
        <f t="shared" si="3"/>
        <v>5900.04</v>
      </c>
      <c r="F20" s="7">
        <f>ROUND(($B20*0.025)*0.9,2)</f>
        <v>29500.18</v>
      </c>
      <c r="G20" s="7">
        <f>ROUND(($B20*0.02)*0.9,2)</f>
        <v>23600.14</v>
      </c>
      <c r="H20" s="7">
        <f t="shared" si="5"/>
        <v>26222.38</v>
      </c>
      <c r="I20" s="7">
        <f>ROUND($B20*0.03,2)-0.01</f>
        <v>39333.56</v>
      </c>
      <c r="J20" s="7">
        <f>ROUND($B20*0.005,2)-0.01</f>
        <v>6555.59</v>
      </c>
      <c r="K20" s="7">
        <v>5564.67</v>
      </c>
      <c r="L20" s="7">
        <f>ROUND((($B20*0.22)+$K20)*0.76,2)+0.01</f>
        <v>223448.26</v>
      </c>
      <c r="M20" s="7">
        <f>ROUND((($B20*0.22)+$K20)*0.04,2)+0.01</f>
        <v>11760.44</v>
      </c>
      <c r="N20" s="7">
        <f>ROUND((($B20*0.22)+$K20)*0.1,2)+0.04</f>
        <v>29401.13</v>
      </c>
      <c r="O20" s="7">
        <f>ROUND((($B20*0.22)+$K20)*0.1,2)+0.04</f>
        <v>29401.13</v>
      </c>
    </row>
    <row r="22" spans="1:15" ht="15" customHeight="1" thickBot="1" x14ac:dyDescent="0.3">
      <c r="B22" s="8">
        <f t="shared" ref="B22:O22" si="6">SUM(B9:B21)</f>
        <v>15141965.5</v>
      </c>
      <c r="C22" s="8">
        <f t="shared" si="6"/>
        <v>5299688.0500000007</v>
      </c>
      <c r="D22" s="8">
        <f t="shared" si="6"/>
        <v>454258.93999999994</v>
      </c>
      <c r="E22" s="8">
        <f t="shared" si="6"/>
        <v>68138.869999999981</v>
      </c>
      <c r="F22" s="8">
        <f t="shared" si="6"/>
        <v>340694.25000000006</v>
      </c>
      <c r="G22" s="8">
        <f t="shared" si="6"/>
        <v>272555.38</v>
      </c>
      <c r="H22" s="8">
        <f t="shared" si="6"/>
        <v>302839.33</v>
      </c>
      <c r="I22" s="8">
        <f t="shared" si="6"/>
        <v>454258.93999999994</v>
      </c>
      <c r="J22" s="8">
        <f t="shared" si="6"/>
        <v>75709.819999999992</v>
      </c>
      <c r="K22" s="8">
        <f t="shared" si="6"/>
        <v>50702.14</v>
      </c>
      <c r="L22" s="8">
        <f t="shared" si="6"/>
        <v>2570270.33</v>
      </c>
      <c r="M22" s="8">
        <f t="shared" si="6"/>
        <v>135277.38999999998</v>
      </c>
      <c r="N22" s="8">
        <f t="shared" si="6"/>
        <v>338193.46000000008</v>
      </c>
      <c r="O22" s="8">
        <f t="shared" si="6"/>
        <v>338193.27</v>
      </c>
    </row>
    <row r="23" spans="1:15" ht="15" customHeight="1" thickTop="1" x14ac:dyDescent="0.25"/>
    <row r="24" spans="1:15" ht="15" customHeight="1" x14ac:dyDescent="0.25">
      <c r="A24" s="9" t="s">
        <v>14</v>
      </c>
    </row>
    <row r="25" spans="1:15" ht="15" customHeight="1" x14ac:dyDescent="0.25">
      <c r="A25" s="9" t="s">
        <v>15</v>
      </c>
    </row>
  </sheetData>
  <mergeCells count="2">
    <mergeCell ref="A1:O1"/>
    <mergeCell ref="A7:O7"/>
  </mergeCells>
  <pageMargins left="0.25" right="0.25" top="0.5" bottom="0.5" header="0" footer="0"/>
  <pageSetup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workbookViewId="0">
      <selection sqref="A1:O1"/>
    </sheetView>
  </sheetViews>
  <sheetFormatPr defaultColWidth="9.140625" defaultRowHeight="15" customHeight="1" x14ac:dyDescent="0.25"/>
  <cols>
    <col min="1" max="1" width="15.7109375" style="1" customWidth="1"/>
    <col min="2" max="3" width="16.140625" style="1" bestFit="1" customWidth="1"/>
    <col min="4" max="4" width="15" style="1" bestFit="1" customWidth="1"/>
    <col min="5" max="5" width="13.7109375" style="1" customWidth="1"/>
    <col min="6" max="9" width="15" style="1" bestFit="1" customWidth="1"/>
    <col min="10" max="10" width="13.28515625" style="1" bestFit="1" customWidth="1"/>
    <col min="11" max="11" width="11.85546875" style="1" customWidth="1"/>
    <col min="12" max="12" width="16.140625" style="1" bestFit="1" customWidth="1"/>
    <col min="13" max="13" width="13.28515625" style="1" bestFit="1" customWidth="1"/>
    <col min="14" max="15" width="15" style="1" bestFit="1" customWidth="1"/>
    <col min="16" max="16384" width="9.140625" style="1"/>
  </cols>
  <sheetData>
    <row r="1" spans="1:15" ht="15" customHeight="1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5" customHeight="1" x14ac:dyDescent="0.25">
      <c r="A2" s="14"/>
    </row>
    <row r="3" spans="1:15" ht="15" customHeight="1" x14ac:dyDescent="0.25">
      <c r="A3" s="11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4" t="s">
        <v>24</v>
      </c>
      <c r="B5" s="10">
        <v>65109127.519999996</v>
      </c>
      <c r="C5" s="10">
        <v>22788194.689999998</v>
      </c>
      <c r="D5" s="10">
        <v>1953273.8099999998</v>
      </c>
      <c r="E5" s="10">
        <v>292991.06</v>
      </c>
      <c r="F5" s="10">
        <v>1464955.3800000001</v>
      </c>
      <c r="G5" s="10">
        <v>1171964.29</v>
      </c>
      <c r="H5" s="10">
        <v>1302182.54</v>
      </c>
      <c r="I5" s="10">
        <v>1953273.8099999998</v>
      </c>
      <c r="J5" s="10">
        <v>325545.63</v>
      </c>
      <c r="K5" s="10">
        <v>2687.5199999999995</v>
      </c>
      <c r="L5" s="10">
        <v>10888288.74</v>
      </c>
      <c r="M5" s="10">
        <v>573067.80999999994</v>
      </c>
      <c r="N5" s="10">
        <v>1432669.5599999998</v>
      </c>
      <c r="O5" s="10">
        <v>1432669.88</v>
      </c>
    </row>
    <row r="7" spans="1:15" ht="15" customHeight="1" x14ac:dyDescent="0.25">
      <c r="A7" s="31" t="s">
        <v>25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9" spans="1:15" ht="14.25" customHeight="1" x14ac:dyDescent="0.25">
      <c r="A9" s="15" t="s">
        <v>26</v>
      </c>
      <c r="B9" s="7">
        <v>5723321.6100000003</v>
      </c>
      <c r="C9" s="7">
        <f>ROUND($B9*0.35,2)+0.01</f>
        <v>2003162.57</v>
      </c>
      <c r="D9" s="7">
        <f>ROUND($B9*0.03,2)+0.01</f>
        <v>171699.66</v>
      </c>
      <c r="E9" s="7">
        <f>ROUND($B9*0.0045,2)-0.01</f>
        <v>25754.940000000002</v>
      </c>
      <c r="F9" s="7">
        <f t="shared" ref="F9:F20" si="0">ROUND(($B9*0.025)*0.9,2)</f>
        <v>128774.74</v>
      </c>
      <c r="G9" s="7">
        <f>ROUND(($B9*0.02)*0.9,2)+0.01</f>
        <v>103019.79999999999</v>
      </c>
      <c r="H9" s="7">
        <f>ROUND($B9*0.02,2)+0.01</f>
        <v>114466.43999999999</v>
      </c>
      <c r="I9" s="7">
        <f>ROUND($B9*0.03,2)+0.01</f>
        <v>171699.66</v>
      </c>
      <c r="J9" s="7">
        <f t="shared" ref="J9:J10" si="1">ROUND($B9*0.005,2)</f>
        <v>28616.61</v>
      </c>
      <c r="K9" s="7">
        <v>2314.14</v>
      </c>
      <c r="L9" s="7">
        <f>ROUND((($B9*0.22)+$K9)*0.76,2)-0.03</f>
        <v>958698.09</v>
      </c>
      <c r="M9" s="7">
        <f>ROUND((($B9*0.22)+$K9)*0.04,2)-0.01</f>
        <v>50457.79</v>
      </c>
      <c r="N9" s="7">
        <f>ROUND((($B9*0.22)+$K9)*0.1,2)-0.01</f>
        <v>126144.48000000001</v>
      </c>
      <c r="O9" s="7">
        <f>ROUND((($B9*0.22)+$K9)*0.1,2)+0.13</f>
        <v>126144.62000000001</v>
      </c>
    </row>
    <row r="10" spans="1:15" ht="14.25" customHeight="1" x14ac:dyDescent="0.25">
      <c r="A10" s="16" t="s">
        <v>27</v>
      </c>
      <c r="B10" s="7">
        <v>5583602.6500000004</v>
      </c>
      <c r="C10" s="7">
        <f>ROUND($B10*0.35,2)</f>
        <v>1954260.93</v>
      </c>
      <c r="D10" s="7">
        <f>ROUND($B10*0.03,2)-0.02</f>
        <v>167508.06</v>
      </c>
      <c r="E10" s="7">
        <f>ROUND($B10*0.0045,2)-0.01</f>
        <v>25126.2</v>
      </c>
      <c r="F10" s="7">
        <f t="shared" si="0"/>
        <v>125631.06</v>
      </c>
      <c r="G10" s="7">
        <f t="shared" ref="G10:G14" si="2">ROUND(($B10*0.02)*0.9,2)</f>
        <v>100504.85</v>
      </c>
      <c r="H10" s="7">
        <f>ROUND($B10*0.02,2)-0.01</f>
        <v>111672.04000000001</v>
      </c>
      <c r="I10" s="7">
        <f>ROUND($B10*0.03,2)-0.02</f>
        <v>167508.06</v>
      </c>
      <c r="J10" s="7">
        <f t="shared" si="1"/>
        <v>27918.01</v>
      </c>
      <c r="K10" s="7">
        <v>2798.06</v>
      </c>
      <c r="L10" s="7">
        <f>ROUND((($B10*0.22)+$K10)*0.76,2)+0.05</f>
        <v>935704.94000000006</v>
      </c>
      <c r="M10" s="7">
        <f>ROUND((($B10*0.22)+$K10)*0.04,2)</f>
        <v>49247.63</v>
      </c>
      <c r="N10" s="7">
        <f>ROUND((($B10*0.22)+$K10)*0.1,2)-0.02</f>
        <v>123119.03999999999</v>
      </c>
      <c r="O10" s="7">
        <f>ROUND((($B10*0.22)+$K10)*0.1,2)-0.33</f>
        <v>123118.73</v>
      </c>
    </row>
    <row r="11" spans="1:15" ht="14.25" customHeight="1" x14ac:dyDescent="0.25">
      <c r="A11" s="17" t="s">
        <v>28</v>
      </c>
      <c r="B11" s="7">
        <v>4764657.17</v>
      </c>
      <c r="C11" s="7">
        <f>ROUND($B11*0.35,2)-0.02</f>
        <v>1667629.99</v>
      </c>
      <c r="D11" s="7">
        <f>ROUND($B11*0.03,2)-0.04</f>
        <v>142939.68</v>
      </c>
      <c r="E11" s="7">
        <f>ROUND($B11*0.0045,2)-0.01</f>
        <v>21440.95</v>
      </c>
      <c r="F11" s="7">
        <f t="shared" si="0"/>
        <v>107204.79</v>
      </c>
      <c r="G11" s="7">
        <f t="shared" si="2"/>
        <v>85763.83</v>
      </c>
      <c r="H11" s="7">
        <f>ROUND($B11*0.02,2)-0.02</f>
        <v>95293.119999999995</v>
      </c>
      <c r="I11" s="7">
        <f>ROUND($B11*0.03,2)-0.04</f>
        <v>142939.68</v>
      </c>
      <c r="J11" s="7">
        <f>ROUND($B11*0.005,2)-0.01</f>
        <v>23823.280000000002</v>
      </c>
      <c r="K11" s="7">
        <v>2554.31</v>
      </c>
      <c r="L11" s="7">
        <f>ROUND((($B11*0.22)+$K11)*0.76,2)+0.06</f>
        <v>798592.01</v>
      </c>
      <c r="M11" s="7">
        <f>ROUND((($B11*0.22)+$K11)*0.04,2)</f>
        <v>42031.16</v>
      </c>
      <c r="N11" s="7">
        <f>ROUND((($B11*0.22)+$K11)*0.1,2)-0.01</f>
        <v>105077.88</v>
      </c>
      <c r="O11" s="7">
        <f>ROUND((($B11*0.22)+$K11)*0.1,2)+0.01</f>
        <v>105077.9</v>
      </c>
    </row>
    <row r="12" spans="1:15" ht="14.25" customHeight="1" x14ac:dyDescent="0.25">
      <c r="A12" s="18" t="s">
        <v>29</v>
      </c>
      <c r="B12" s="7">
        <v>5374892.79</v>
      </c>
      <c r="C12" s="7">
        <f>ROUND($B12*0.35,2)+0.01</f>
        <v>1881212.49</v>
      </c>
      <c r="D12" s="7">
        <f>ROUND($B12*0.03,2)+0.01</f>
        <v>161246.79</v>
      </c>
      <c r="E12" s="7">
        <f>ROUND($B12*0.0045,2)</f>
        <v>24187.02</v>
      </c>
      <c r="F12" s="7">
        <f t="shared" si="0"/>
        <v>120935.09</v>
      </c>
      <c r="G12" s="7">
        <f t="shared" si="2"/>
        <v>96748.07</v>
      </c>
      <c r="H12" s="7">
        <f>ROUND($B12*0.02,2)</f>
        <v>107497.86</v>
      </c>
      <c r="I12" s="7">
        <f>ROUND($B12*0.03,2)+0.01</f>
        <v>161246.79</v>
      </c>
      <c r="J12" s="7">
        <f t="shared" ref="J12:J16" si="3">ROUND($B12*0.005,2)</f>
        <v>26874.46</v>
      </c>
      <c r="K12" s="7">
        <v>3388.48</v>
      </c>
      <c r="L12" s="7">
        <f>ROUND((($B12*0.22)+$K12)*0.76,2)-0.01</f>
        <v>901257.30999999994</v>
      </c>
      <c r="M12" s="7">
        <f>ROUND((($B12*0.22)+$K12)*0.04,2)</f>
        <v>47434.6</v>
      </c>
      <c r="N12" s="7">
        <f>ROUND((($B12*0.22)+$K12)*0.1,2)-0.02</f>
        <v>118586.47</v>
      </c>
      <c r="O12" s="7">
        <f>ROUND((($B12*0.22)+$K12)*0.1,2)+0.27</f>
        <v>118586.76000000001</v>
      </c>
    </row>
    <row r="13" spans="1:15" ht="14.25" customHeight="1" x14ac:dyDescent="0.25">
      <c r="A13" s="19" t="s">
        <v>30</v>
      </c>
      <c r="B13" s="7">
        <v>5037244.41</v>
      </c>
      <c r="C13" s="7">
        <f>ROUND($B13*0.35,2)+0.01</f>
        <v>1763035.55</v>
      </c>
      <c r="D13" s="7">
        <f>ROUND($B13*0.03,2)+0.02</f>
        <v>151117.34999999998</v>
      </c>
      <c r="E13" s="7">
        <f>ROUND($B13*0.0045,2)+0.01</f>
        <v>22667.609999999997</v>
      </c>
      <c r="F13" s="7">
        <f t="shared" si="0"/>
        <v>113338</v>
      </c>
      <c r="G13" s="7">
        <f t="shared" si="2"/>
        <v>90670.399999999994</v>
      </c>
      <c r="H13" s="7">
        <f>ROUND($B13*0.02,2)+0.01</f>
        <v>100744.9</v>
      </c>
      <c r="I13" s="7">
        <f>ROUND($B13*0.03,2)+0.02</f>
        <v>151117.34999999998</v>
      </c>
      <c r="J13" s="7">
        <f t="shared" si="3"/>
        <v>25186.22</v>
      </c>
      <c r="K13" s="7">
        <v>3886.69</v>
      </c>
      <c r="L13" s="7">
        <f>ROUND((($B13*0.22)+$K13)*0.76,2)-0.04</f>
        <v>845181.11</v>
      </c>
      <c r="M13" s="7">
        <f>ROUND((($B13*0.22)+$K13)*0.04,2)</f>
        <v>44483.22</v>
      </c>
      <c r="N13" s="7">
        <f>ROUND((($B13*0.22)+$K13)*0.1,2)+0.04</f>
        <v>111208.09</v>
      </c>
      <c r="O13" s="7">
        <f>ROUND((($B13*0.22)+$K13)*0.1,2)-0.13</f>
        <v>111207.92</v>
      </c>
    </row>
    <row r="14" spans="1:15" ht="14.25" customHeight="1" x14ac:dyDescent="0.25">
      <c r="A14" s="20" t="s">
        <v>31</v>
      </c>
      <c r="B14" s="7">
        <v>5868937.6200000001</v>
      </c>
      <c r="C14" s="7">
        <f>ROUND($B14*0.35,2)+0.01</f>
        <v>2054128.18</v>
      </c>
      <c r="D14" s="7">
        <f>ROUND($B14*0.03,2)+0.01</f>
        <v>176068.14</v>
      </c>
      <c r="E14" s="7">
        <f>ROUND($B14*0.0045,2)</f>
        <v>26410.22</v>
      </c>
      <c r="F14" s="7">
        <f t="shared" si="0"/>
        <v>132051.1</v>
      </c>
      <c r="G14" s="7">
        <f t="shared" si="2"/>
        <v>105640.88</v>
      </c>
      <c r="H14" s="7">
        <f>ROUND($B14*0.02,2)+0.01</f>
        <v>117378.76</v>
      </c>
      <c r="I14" s="7">
        <f>ROUND($B14*0.03,2)+0.01</f>
        <v>176068.14</v>
      </c>
      <c r="J14" s="7">
        <f t="shared" si="3"/>
        <v>29344.69</v>
      </c>
      <c r="K14" s="7">
        <v>5087.62</v>
      </c>
      <c r="L14" s="7">
        <f>ROUND((($B14*0.22)+$K14)*0.76,2)-0.02</f>
        <v>985152.94</v>
      </c>
      <c r="M14" s="7">
        <f>ROUND((($B14*0.22)+$K14)*0.04,2)-0.01</f>
        <v>51850.15</v>
      </c>
      <c r="N14" s="7">
        <f>ROUND((($B14*0.22)+$K14)*0.1,2)</f>
        <v>129625.39</v>
      </c>
      <c r="O14" s="7">
        <f>ROUND((($B14*0.22)+$K14)*0.1,2)+0.1</f>
        <v>129625.49</v>
      </c>
    </row>
    <row r="15" spans="1:15" ht="14.25" customHeight="1" x14ac:dyDescent="0.25">
      <c r="A15" s="21" t="s">
        <v>32</v>
      </c>
      <c r="B15" s="7">
        <v>5643319.6200000001</v>
      </c>
      <c r="C15" s="7">
        <f>ROUND($B15*0.35,2)</f>
        <v>1975161.87</v>
      </c>
      <c r="D15" s="7">
        <f>ROUND($B15*0.03,2)+0.01</f>
        <v>169299.6</v>
      </c>
      <c r="E15" s="7">
        <f>ROUND($B15*0.0045,2)</f>
        <v>25394.94</v>
      </c>
      <c r="F15" s="7">
        <f t="shared" si="0"/>
        <v>126974.69</v>
      </c>
      <c r="G15" s="7">
        <f>ROUND(($B15*0.02)*0.9,2)+0.01</f>
        <v>101579.76</v>
      </c>
      <c r="H15" s="7">
        <f>ROUND($B15*0.02,2)+0.01</f>
        <v>112866.4</v>
      </c>
      <c r="I15" s="7">
        <f>ROUND($B15*0.03,2)+0.01</f>
        <v>169299.6</v>
      </c>
      <c r="J15" s="7">
        <f t="shared" si="3"/>
        <v>28216.6</v>
      </c>
      <c r="K15" s="7">
        <v>4910.95</v>
      </c>
      <c r="L15" s="7">
        <f>ROUND((($B15*0.22)+$K15)*0.76,2)-0.02</f>
        <v>947295.34</v>
      </c>
      <c r="M15" s="7">
        <f t="shared" ref="M15:M20" si="4">ROUND((($B15*0.22)+$K15)*0.04,2)</f>
        <v>49857.65</v>
      </c>
      <c r="N15" s="7">
        <f>ROUND((($B15*0.22)+$K15)*0.1,2)-0.08</f>
        <v>124644.05</v>
      </c>
      <c r="O15" s="7">
        <f>ROUND((($B15*0.22)+$K15)*0.1,2)+0.04</f>
        <v>124644.17</v>
      </c>
    </row>
    <row r="16" spans="1:15" ht="14.25" customHeight="1" x14ac:dyDescent="0.25">
      <c r="A16" s="22" t="s">
        <v>33</v>
      </c>
      <c r="B16" s="7">
        <v>5369086.8300000001</v>
      </c>
      <c r="C16" s="7">
        <f>ROUND($B16*0.35,2)</f>
        <v>1879180.39</v>
      </c>
      <c r="D16" s="7">
        <f>ROUND($B16*0.03,2)-0.02</f>
        <v>161072.58000000002</v>
      </c>
      <c r="E16" s="7">
        <f>ROUND($B16*0.0045,2)</f>
        <v>24160.89</v>
      </c>
      <c r="F16" s="7">
        <f t="shared" si="0"/>
        <v>120804.45</v>
      </c>
      <c r="G16" s="7">
        <f>ROUND(($B16*0.02)*0.9,2)-0.01</f>
        <v>96643.55</v>
      </c>
      <c r="H16" s="7">
        <f>ROUND($B16*0.02,2)-0.02</f>
        <v>107381.72</v>
      </c>
      <c r="I16" s="7">
        <f>ROUND($B16*0.03,2)-0.02</f>
        <v>161072.58000000002</v>
      </c>
      <c r="J16" s="7">
        <f t="shared" si="3"/>
        <v>26845.43</v>
      </c>
      <c r="K16" s="7">
        <v>5282.55</v>
      </c>
      <c r="L16" s="7">
        <f>ROUND((($B16*0.22)+$K16)*0.76,2)+0.07</f>
        <v>901726.13</v>
      </c>
      <c r="M16" s="7">
        <f t="shared" si="4"/>
        <v>47459.27</v>
      </c>
      <c r="N16" s="7">
        <f>ROUND((($B16*0.22)+$K16)*0.1,2)+0.05</f>
        <v>118648.22</v>
      </c>
      <c r="O16" s="7">
        <f>ROUND((($B16*0.22)+$K16)*0.1,2)-0.35</f>
        <v>118647.81999999999</v>
      </c>
    </row>
    <row r="17" spans="1:15" ht="14.25" customHeight="1" x14ac:dyDescent="0.25">
      <c r="A17" s="23" t="s">
        <v>34</v>
      </c>
      <c r="B17" s="7">
        <v>6203962.75</v>
      </c>
      <c r="C17" s="7">
        <f>ROUND($B17*0.35,2)+0.02</f>
        <v>2171386.98</v>
      </c>
      <c r="D17" s="7">
        <f>ROUND($B17*0.03,2)+0.04</f>
        <v>186118.92</v>
      </c>
      <c r="E17" s="7">
        <f>ROUND($B17*0.0045,2)+0.02</f>
        <v>27917.850000000002</v>
      </c>
      <c r="F17" s="7">
        <f t="shared" si="0"/>
        <v>139589.16</v>
      </c>
      <c r="G17" s="7">
        <f>ROUND(($B17*0.02)*0.9,2)+0.01</f>
        <v>111671.34</v>
      </c>
      <c r="H17" s="7">
        <f>ROUND($B17*0.02,2)+0.02</f>
        <v>124079.28</v>
      </c>
      <c r="I17" s="7">
        <f>ROUND($B17*0.03,2)+0.04</f>
        <v>186118.92</v>
      </c>
      <c r="J17" s="7">
        <f>ROUND($B17*0.005,2)+0.01</f>
        <v>31019.82</v>
      </c>
      <c r="K17" s="7">
        <v>5514.94</v>
      </c>
      <c r="L17" s="7">
        <f>ROUND((($B17*0.22)+$K17)*0.76,2)-0.09</f>
        <v>1041493.8400000001</v>
      </c>
      <c r="M17" s="7">
        <f t="shared" si="4"/>
        <v>54815.47</v>
      </c>
      <c r="N17" s="7">
        <f>ROUND((($B17*0.22)+$K17)*0.1,2)-0.03</f>
        <v>137038.64000000001</v>
      </c>
      <c r="O17" s="7">
        <f>ROUND((($B17*0.22)+$K17)*0.1,2)+0.18</f>
        <v>137038.85</v>
      </c>
    </row>
    <row r="18" spans="1:15" ht="14.25" customHeight="1" x14ac:dyDescent="0.25">
      <c r="A18" s="24" t="s">
        <v>35</v>
      </c>
      <c r="B18" s="7">
        <v>5383898.1699999999</v>
      </c>
      <c r="C18" s="7">
        <f>ROUND($B18*0.35,2)-0.01</f>
        <v>1884364.35</v>
      </c>
      <c r="D18" s="7">
        <f>ROUND($B18*0.03,2)-0.01</f>
        <v>161516.94</v>
      </c>
      <c r="E18" s="7">
        <f>ROUND($B18*0.0045,2)</f>
        <v>24227.54</v>
      </c>
      <c r="F18" s="7">
        <f t="shared" si="0"/>
        <v>121137.71</v>
      </c>
      <c r="G18" s="7">
        <f>ROUND(($B18*0.02)*0.9,2)-0.01</f>
        <v>96910.16</v>
      </c>
      <c r="H18" s="7">
        <f>ROUND($B18*0.02,2)</f>
        <v>107677.96</v>
      </c>
      <c r="I18" s="7">
        <f>ROUND($B18*0.03,2)-0.01</f>
        <v>161516.94</v>
      </c>
      <c r="J18" s="7">
        <f>ROUND($B18*0.005,2)</f>
        <v>26919.49</v>
      </c>
      <c r="K18" s="7">
        <v>4766.8999999999996</v>
      </c>
      <c r="L18" s="7">
        <f>ROUND((($B18*0.22)+$K18)*0.76,2)+0.01</f>
        <v>903810.63</v>
      </c>
      <c r="M18" s="7">
        <f t="shared" si="4"/>
        <v>47568.98</v>
      </c>
      <c r="N18" s="7">
        <f>ROUND((($B18*0.22)+$K18)*0.1,2)+0.09</f>
        <v>118922.54</v>
      </c>
      <c r="O18" s="7">
        <f>ROUND((($B18*0.22)+$K18)*0.1,2)-0.16</f>
        <v>118922.29</v>
      </c>
    </row>
    <row r="19" spans="1:15" ht="14.25" customHeight="1" x14ac:dyDescent="0.25">
      <c r="A19" s="25" t="s">
        <v>36</v>
      </c>
      <c r="B19" s="7">
        <v>5398888.5</v>
      </c>
      <c r="C19" s="7">
        <f>ROUND($B19*0.35,2)</f>
        <v>1889610.98</v>
      </c>
      <c r="D19" s="7">
        <f>ROUND($B19*0.03,2)-0.02</f>
        <v>161966.64000000001</v>
      </c>
      <c r="E19" s="7">
        <f>ROUND($B19*0.0045,2)-0.01</f>
        <v>24294.99</v>
      </c>
      <c r="F19" s="7">
        <f t="shared" si="0"/>
        <v>121474.99</v>
      </c>
      <c r="G19" s="7">
        <f>ROUND(($B19*0.02)*0.9,2)</f>
        <v>97179.99</v>
      </c>
      <c r="H19" s="7">
        <f>ROUND($B19*0.02,2)-0.01</f>
        <v>107977.76000000001</v>
      </c>
      <c r="I19" s="7">
        <f>ROUND($B19*0.03,2)-0.02</f>
        <v>161966.64000000001</v>
      </c>
      <c r="J19" s="7">
        <f>ROUND($B19*0.005,2)</f>
        <v>26994.44</v>
      </c>
      <c r="K19" s="7">
        <v>4632.83</v>
      </c>
      <c r="L19" s="7">
        <f>ROUND((($B19*0.22)+$K19)*0.76,2)+0.04</f>
        <v>906215.15</v>
      </c>
      <c r="M19" s="7">
        <f t="shared" si="4"/>
        <v>47695.53</v>
      </c>
      <c r="N19" s="7">
        <f>ROUND((($B19*0.22)+$K19)*0.1,2)-0.05</f>
        <v>119238.78</v>
      </c>
      <c r="O19" s="7">
        <f>ROUND((($B19*0.22)+$K19)*0.1,2)</f>
        <v>119238.83</v>
      </c>
    </row>
    <row r="20" spans="1:15" ht="14.25" customHeight="1" x14ac:dyDescent="0.25">
      <c r="A20" s="26" t="s">
        <v>38</v>
      </c>
      <c r="B20" s="7">
        <v>5387665</v>
      </c>
      <c r="C20" s="7">
        <f>ROUND($B20*0.35,2)+0.02</f>
        <v>1885682.77</v>
      </c>
      <c r="D20" s="7">
        <f>ROUND($B20*0.03,2)+0.03</f>
        <v>161629.98000000001</v>
      </c>
      <c r="E20" s="7">
        <f>ROUND($B20*0.0045,2)+0.01</f>
        <v>24244.5</v>
      </c>
      <c r="F20" s="7">
        <f t="shared" si="0"/>
        <v>121222.46</v>
      </c>
      <c r="G20" s="7">
        <f>ROUND(($B20*0.02)*0.9,2)+0.01</f>
        <v>96977.98</v>
      </c>
      <c r="H20" s="7">
        <f>ROUND($B20*0.02,2)+0.02</f>
        <v>107753.32</v>
      </c>
      <c r="I20" s="7">
        <f>ROUND($B20*0.03,2)+0.03</f>
        <v>161629.98000000001</v>
      </c>
      <c r="J20" s="7">
        <f>ROUND($B20*0.005,2)</f>
        <v>26938.33</v>
      </c>
      <c r="K20" s="7">
        <v>5564.67</v>
      </c>
      <c r="L20" s="7">
        <f>ROUND((($B20*0.22)+$K20)*0.76,2)-0.07</f>
        <v>905046.67</v>
      </c>
      <c r="M20" s="7">
        <f t="shared" si="4"/>
        <v>47634.04</v>
      </c>
      <c r="N20" s="7">
        <f>ROUND((($B20*0.22)+$K20)*0.1,2)+0.03</f>
        <v>119085.13</v>
      </c>
      <c r="O20" s="7">
        <f>ROUND((($B20*0.22)+$K20)*0.1,2)+0.03</f>
        <v>119085.13</v>
      </c>
    </row>
    <row r="22" spans="1:15" ht="15" customHeight="1" thickBot="1" x14ac:dyDescent="0.3">
      <c r="B22" s="8">
        <f>SUM(B9:B21)</f>
        <v>65739477.120000005</v>
      </c>
      <c r="C22" s="8">
        <f t="shared" ref="C22:O22" si="5">SUM(C9:C21)</f>
        <v>23008817.050000004</v>
      </c>
      <c r="D22" s="8">
        <f t="shared" si="5"/>
        <v>1972184.3399999999</v>
      </c>
      <c r="E22" s="8">
        <f t="shared" si="5"/>
        <v>295827.65000000002</v>
      </c>
      <c r="F22" s="8">
        <f t="shared" si="5"/>
        <v>1479138.2399999998</v>
      </c>
      <c r="G22" s="8">
        <f t="shared" si="5"/>
        <v>1183310.6100000001</v>
      </c>
      <c r="H22" s="8">
        <f t="shared" si="5"/>
        <v>1314789.56</v>
      </c>
      <c r="I22" s="8">
        <f t="shared" si="5"/>
        <v>1972184.3399999999</v>
      </c>
      <c r="J22" s="8">
        <f t="shared" si="5"/>
        <v>328697.38</v>
      </c>
      <c r="K22" s="8">
        <f t="shared" si="5"/>
        <v>50702.14</v>
      </c>
      <c r="L22" s="8">
        <f t="shared" si="5"/>
        <v>11030174.16</v>
      </c>
      <c r="M22" s="8">
        <f t="shared" si="5"/>
        <v>580535.49000000011</v>
      </c>
      <c r="N22" s="8">
        <f t="shared" si="5"/>
        <v>1451338.71</v>
      </c>
      <c r="O22" s="8">
        <f t="shared" si="5"/>
        <v>1451338.5100000002</v>
      </c>
    </row>
    <row r="23" spans="1:15" ht="15" customHeight="1" thickTop="1" x14ac:dyDescent="0.25"/>
    <row r="24" spans="1:15" ht="15" customHeight="1" x14ac:dyDescent="0.25">
      <c r="A24" s="9" t="s">
        <v>14</v>
      </c>
    </row>
    <row r="25" spans="1:15" ht="15" customHeight="1" x14ac:dyDescent="0.25">
      <c r="A25" s="9" t="s">
        <v>15</v>
      </c>
    </row>
  </sheetData>
  <mergeCells count="2">
    <mergeCell ref="A1:O1"/>
    <mergeCell ref="A7:O7"/>
  </mergeCells>
  <pageMargins left="0.25" right="0.25" top="0.5" bottom="0.5" header="0" footer="0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SWright</cp:lastModifiedBy>
  <cp:lastPrinted>2022-05-24T13:43:06Z</cp:lastPrinted>
  <dcterms:created xsi:type="dcterms:W3CDTF">2017-06-26T17:33:37Z</dcterms:created>
  <dcterms:modified xsi:type="dcterms:W3CDTF">2023-07-19T18:09:00Z</dcterms:modified>
</cp:coreProperties>
</file>