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21FY\"/>
    </mc:Choice>
  </mc:AlternateContent>
  <bookViews>
    <workbookView xWindow="-30" yWindow="75" windowWidth="13755" windowHeight="13155"/>
  </bookViews>
  <sheets>
    <sheet name="Weekly Summary" sheetId="3" r:id="rId1"/>
    <sheet name="Table Games" sheetId="2" r:id="rId2"/>
    <sheet name="Video" sheetId="1" r:id="rId3"/>
  </sheets>
  <definedNames>
    <definedName name="_xlnm.Print_Area" localSheetId="1">'Table Games'!$A$1:$N$64</definedName>
    <definedName name="_xlnm.Print_Area" localSheetId="2">Video!$A$1:$K$63</definedName>
    <definedName name="_xlnm.Print_Area" localSheetId="0">'Weekly Summary'!$A$1:$P$66</definedName>
  </definedNames>
  <calcPr calcId="162913"/>
</workbook>
</file>

<file path=xl/calcChain.xml><?xml version="1.0" encoding="utf-8"?>
<calcChain xmlns="http://schemas.openxmlformats.org/spreadsheetml/2006/main">
  <c r="J61" i="3" l="1"/>
  <c r="I61" i="3"/>
  <c r="H61" i="3"/>
  <c r="G61" i="3"/>
  <c r="F61" i="3"/>
  <c r="E61" i="3"/>
  <c r="D61" i="3"/>
  <c r="C61" i="3"/>
  <c r="B61" i="3"/>
  <c r="H58" i="1"/>
  <c r="O61" i="3" s="1"/>
  <c r="E58" i="1"/>
  <c r="I58" i="1" s="1"/>
  <c r="K60" i="2"/>
  <c r="L60" i="2" s="1"/>
  <c r="K61" i="3" l="1"/>
  <c r="F58" i="1"/>
  <c r="M61" i="3" s="1"/>
  <c r="G58" i="1"/>
  <c r="L61" i="3"/>
  <c r="J58" i="1"/>
  <c r="M60" i="2"/>
  <c r="N60" i="2"/>
  <c r="P61" i="3" s="1"/>
  <c r="J60" i="3"/>
  <c r="I60" i="3"/>
  <c r="H60" i="3"/>
  <c r="G60" i="3"/>
  <c r="F60" i="3"/>
  <c r="E60" i="3"/>
  <c r="D60" i="3"/>
  <c r="C60" i="3"/>
  <c r="B60" i="3"/>
  <c r="E57" i="1"/>
  <c r="I57" i="1" s="1"/>
  <c r="K59" i="2"/>
  <c r="N59" i="2" s="1"/>
  <c r="N61" i="3" l="1"/>
  <c r="G57" i="1"/>
  <c r="H57" i="1"/>
  <c r="O60" i="3" s="1"/>
  <c r="F57" i="1"/>
  <c r="K60" i="3"/>
  <c r="P60" i="3"/>
  <c r="L60" i="3"/>
  <c r="J57" i="1"/>
  <c r="L59" i="2"/>
  <c r="M59" i="2"/>
  <c r="J59" i="3"/>
  <c r="I59" i="3"/>
  <c r="H59" i="3"/>
  <c r="G59" i="3"/>
  <c r="F59" i="3"/>
  <c r="E59" i="3"/>
  <c r="D59" i="3"/>
  <c r="C59" i="3"/>
  <c r="B59" i="3"/>
  <c r="E56" i="1"/>
  <c r="J56" i="1" s="1"/>
  <c r="K58" i="2"/>
  <c r="L58" i="2" s="1"/>
  <c r="F56" i="1" l="1"/>
  <c r="H56" i="1"/>
  <c r="N60" i="3"/>
  <c r="I56" i="1"/>
  <c r="M60" i="3"/>
  <c r="N58" i="2"/>
  <c r="P59" i="3" s="1"/>
  <c r="K59" i="3"/>
  <c r="O59" i="3"/>
  <c r="L59" i="3"/>
  <c r="M59" i="3"/>
  <c r="G56" i="1"/>
  <c r="M58" i="2"/>
  <c r="N57" i="2"/>
  <c r="N59" i="3" l="1"/>
  <c r="J58" i="3"/>
  <c r="I58" i="3"/>
  <c r="H58" i="3"/>
  <c r="G58" i="3"/>
  <c r="F58" i="3"/>
  <c r="E58" i="3"/>
  <c r="D58" i="3"/>
  <c r="C58" i="3"/>
  <c r="B58" i="3"/>
  <c r="A55" i="1"/>
  <c r="A56" i="1" s="1"/>
  <c r="A57" i="1" s="1"/>
  <c r="E55" i="1"/>
  <c r="J55" i="1" s="1"/>
  <c r="K57" i="2"/>
  <c r="H55" i="1" l="1"/>
  <c r="I55" i="1"/>
  <c r="P58" i="3" s="1"/>
  <c r="K58" i="3"/>
  <c r="O58" i="3"/>
  <c r="F55" i="1"/>
  <c r="L58" i="3"/>
  <c r="G55" i="1"/>
  <c r="M57" i="2"/>
  <c r="L57" i="2"/>
  <c r="M58" i="3" l="1"/>
  <c r="N58" i="3"/>
  <c r="J57" i="3"/>
  <c r="I57" i="3"/>
  <c r="H57" i="3"/>
  <c r="G57" i="3"/>
  <c r="F57" i="3"/>
  <c r="E57" i="3"/>
  <c r="D57" i="3"/>
  <c r="C57" i="3"/>
  <c r="B57" i="3"/>
  <c r="E54" i="1"/>
  <c r="K56" i="2"/>
  <c r="L56" i="2" s="1"/>
  <c r="H54" i="1" l="1"/>
  <c r="F54" i="1"/>
  <c r="M57" i="3" s="1"/>
  <c r="K57" i="3"/>
  <c r="L57" i="3"/>
  <c r="I54" i="1"/>
  <c r="G54" i="1"/>
  <c r="O57" i="3"/>
  <c r="J54" i="1"/>
  <c r="N56" i="2"/>
  <c r="M56" i="2"/>
  <c r="P57" i="3" l="1"/>
  <c r="N57" i="3"/>
  <c r="J56" i="3"/>
  <c r="I56" i="3"/>
  <c r="H56" i="3"/>
  <c r="G56" i="3"/>
  <c r="F56" i="3"/>
  <c r="E56" i="3"/>
  <c r="D56" i="3"/>
  <c r="C56" i="3"/>
  <c r="B56" i="3"/>
  <c r="E53" i="1"/>
  <c r="K55" i="2"/>
  <c r="N55" i="2" s="1"/>
  <c r="J53" i="1" l="1"/>
  <c r="G53" i="1"/>
  <c r="I53" i="1"/>
  <c r="K56" i="3"/>
  <c r="L56" i="3"/>
  <c r="F53" i="1"/>
  <c r="H53" i="1"/>
  <c r="O56" i="3" s="1"/>
  <c r="P56" i="3"/>
  <c r="M55" i="2"/>
  <c r="N56" i="3" s="1"/>
  <c r="L55" i="2"/>
  <c r="J55" i="3"/>
  <c r="I55" i="3"/>
  <c r="H55" i="3"/>
  <c r="G55" i="3"/>
  <c r="F55" i="3"/>
  <c r="E55" i="3"/>
  <c r="D55" i="3"/>
  <c r="C55" i="3"/>
  <c r="B55" i="3"/>
  <c r="E52" i="1"/>
  <c r="L55" i="3" s="1"/>
  <c r="K54" i="2"/>
  <c r="N54" i="2" s="1"/>
  <c r="M56" i="3" l="1"/>
  <c r="K55" i="3"/>
  <c r="H52" i="1"/>
  <c r="O55" i="3" s="1"/>
  <c r="I52" i="1"/>
  <c r="P55" i="3" s="1"/>
  <c r="J52" i="1"/>
  <c r="F52" i="1"/>
  <c r="G52" i="1"/>
  <c r="M54" i="2"/>
  <c r="L54" i="2"/>
  <c r="J54" i="3"/>
  <c r="I54" i="3"/>
  <c r="H54" i="3"/>
  <c r="G54" i="3"/>
  <c r="F54" i="3"/>
  <c r="E54" i="3"/>
  <c r="D54" i="3"/>
  <c r="C54" i="3"/>
  <c r="B54" i="3"/>
  <c r="E51" i="1"/>
  <c r="J51" i="1" s="1"/>
  <c r="K53" i="2"/>
  <c r="K54" i="3" s="1"/>
  <c r="I51" i="1" l="1"/>
  <c r="H51" i="1"/>
  <c r="M55" i="3"/>
  <c r="N55" i="3"/>
  <c r="N53" i="2"/>
  <c r="O54" i="3"/>
  <c r="L54" i="3"/>
  <c r="F51" i="1"/>
  <c r="G51" i="1"/>
  <c r="M53" i="2"/>
  <c r="L53" i="2"/>
  <c r="N52" i="2"/>
  <c r="P54" i="3" l="1"/>
  <c r="N54" i="3"/>
  <c r="M54" i="3"/>
  <c r="J53" i="3"/>
  <c r="I53" i="3"/>
  <c r="H53" i="3"/>
  <c r="G53" i="3"/>
  <c r="F53" i="3"/>
  <c r="E53" i="3"/>
  <c r="D53" i="3"/>
  <c r="C53" i="3"/>
  <c r="B53" i="3"/>
  <c r="E50" i="1"/>
  <c r="K52" i="2"/>
  <c r="M52" i="2" s="1"/>
  <c r="J50" i="1" l="1"/>
  <c r="H50" i="1"/>
  <c r="G50" i="1"/>
  <c r="F50" i="1"/>
  <c r="K53" i="3"/>
  <c r="N53" i="3"/>
  <c r="O53" i="3"/>
  <c r="L53" i="3"/>
  <c r="I50" i="1"/>
  <c r="L52" i="2"/>
  <c r="M53" i="3" s="1"/>
  <c r="N51" i="2"/>
  <c r="P53" i="3" l="1"/>
  <c r="J52" i="3" l="1"/>
  <c r="I52" i="3"/>
  <c r="H52" i="3"/>
  <c r="G52" i="3"/>
  <c r="F52" i="3"/>
  <c r="E52" i="3"/>
  <c r="D52" i="3"/>
  <c r="C52" i="3"/>
  <c r="B52" i="3"/>
  <c r="E49" i="1"/>
  <c r="K51" i="2"/>
  <c r="L51" i="2" s="1"/>
  <c r="G49" i="1" l="1"/>
  <c r="H49" i="1"/>
  <c r="O52" i="3" s="1"/>
  <c r="F49" i="1"/>
  <c r="M52" i="3" s="1"/>
  <c r="K52" i="3"/>
  <c r="L52" i="3"/>
  <c r="I49" i="1"/>
  <c r="J49" i="1"/>
  <c r="M51" i="2"/>
  <c r="J51" i="3"/>
  <c r="I51" i="3"/>
  <c r="H51" i="3"/>
  <c r="G51" i="3"/>
  <c r="F51" i="3"/>
  <c r="E51" i="3"/>
  <c r="D51" i="3"/>
  <c r="C51" i="3"/>
  <c r="B51" i="3"/>
  <c r="E48" i="1"/>
  <c r="H48" i="1" s="1"/>
  <c r="O51" i="3" s="1"/>
  <c r="K50" i="2"/>
  <c r="M50" i="2" s="1"/>
  <c r="N52" i="3" l="1"/>
  <c r="P52" i="3"/>
  <c r="N50" i="2"/>
  <c r="K51" i="3"/>
  <c r="L51" i="3"/>
  <c r="I48" i="1"/>
  <c r="J48" i="1"/>
  <c r="F48" i="1"/>
  <c r="G48" i="1"/>
  <c r="N51" i="3" s="1"/>
  <c r="L50" i="2"/>
  <c r="N49" i="2"/>
  <c r="M51" i="3" l="1"/>
  <c r="P51" i="3"/>
  <c r="J50" i="3"/>
  <c r="I50" i="3"/>
  <c r="H50" i="3"/>
  <c r="G50" i="3"/>
  <c r="F50" i="3"/>
  <c r="E50" i="3"/>
  <c r="D50" i="3"/>
  <c r="C50" i="3"/>
  <c r="B50" i="3"/>
  <c r="E47" i="1"/>
  <c r="J47" i="1" s="1"/>
  <c r="K49" i="2"/>
  <c r="L49" i="2" s="1"/>
  <c r="K50" i="3" l="1"/>
  <c r="L50" i="3"/>
  <c r="I47" i="1"/>
  <c r="F47" i="1"/>
  <c r="M50" i="3" s="1"/>
  <c r="G47" i="1"/>
  <c r="H47" i="1"/>
  <c r="O50" i="3" s="1"/>
  <c r="M49" i="2"/>
  <c r="J49" i="3"/>
  <c r="I49" i="3"/>
  <c r="H49" i="3"/>
  <c r="G49" i="3"/>
  <c r="F49" i="3"/>
  <c r="E49" i="3"/>
  <c r="D49" i="3"/>
  <c r="C49" i="3"/>
  <c r="B49" i="3"/>
  <c r="E46" i="1"/>
  <c r="H46" i="1" s="1"/>
  <c r="K48" i="2"/>
  <c r="N48" i="2" s="1"/>
  <c r="I46" i="1" l="1"/>
  <c r="F46" i="1"/>
  <c r="G46" i="1"/>
  <c r="N50" i="3"/>
  <c r="P50" i="3"/>
  <c r="K49" i="3"/>
  <c r="O49" i="3"/>
  <c r="L49" i="3"/>
  <c r="P49" i="3"/>
  <c r="J46" i="1"/>
  <c r="L48" i="2"/>
  <c r="M49" i="3" s="1"/>
  <c r="M48" i="2"/>
  <c r="N49" i="3" s="1"/>
  <c r="N47" i="2"/>
  <c r="J48" i="3" l="1"/>
  <c r="I48" i="3"/>
  <c r="H48" i="3"/>
  <c r="G48" i="3"/>
  <c r="F48" i="3"/>
  <c r="E48" i="3"/>
  <c r="D48" i="3"/>
  <c r="C48" i="3"/>
  <c r="B48" i="3"/>
  <c r="E45" i="1"/>
  <c r="J45" i="1" s="1"/>
  <c r="K47" i="2"/>
  <c r="K48" i="3" s="1"/>
  <c r="H45" i="1" l="1"/>
  <c r="O48" i="3" s="1"/>
  <c r="F45" i="1"/>
  <c r="G45" i="1"/>
  <c r="L48" i="3"/>
  <c r="I45" i="1"/>
  <c r="L47" i="2"/>
  <c r="M48" i="3" s="1"/>
  <c r="M47" i="2"/>
  <c r="N48" i="3" s="1"/>
  <c r="N46" i="2"/>
  <c r="P48" i="3" l="1"/>
  <c r="J47" i="3"/>
  <c r="I47" i="3"/>
  <c r="H47" i="3"/>
  <c r="G47" i="3"/>
  <c r="F47" i="3"/>
  <c r="E47" i="3"/>
  <c r="D47" i="3"/>
  <c r="C47" i="3"/>
  <c r="B47" i="3"/>
  <c r="E44" i="1"/>
  <c r="J44" i="1" s="1"/>
  <c r="K46" i="2"/>
  <c r="M46" i="2" s="1"/>
  <c r="G44" i="1" l="1"/>
  <c r="H44" i="1"/>
  <c r="F44" i="1"/>
  <c r="N47" i="3"/>
  <c r="K47" i="3"/>
  <c r="I44" i="1"/>
  <c r="L47" i="3"/>
  <c r="O47" i="3"/>
  <c r="L46" i="2"/>
  <c r="M47" i="3" l="1"/>
  <c r="P47" i="3"/>
  <c r="J46" i="3"/>
  <c r="I46" i="3"/>
  <c r="H46" i="3"/>
  <c r="G46" i="3"/>
  <c r="F46" i="3"/>
  <c r="E46" i="3"/>
  <c r="D46" i="3"/>
  <c r="C46" i="3"/>
  <c r="B46" i="3"/>
  <c r="E43" i="1"/>
  <c r="K45" i="2"/>
  <c r="K46" i="3" s="1"/>
  <c r="J43" i="1" l="1"/>
  <c r="I43" i="1"/>
  <c r="G43" i="1"/>
  <c r="N45" i="2"/>
  <c r="P46" i="3" s="1"/>
  <c r="L46" i="3"/>
  <c r="F43" i="1"/>
  <c r="H43" i="1"/>
  <c r="O46" i="3" s="1"/>
  <c r="L45" i="2"/>
  <c r="M45" i="2"/>
  <c r="N46" i="3" s="1"/>
  <c r="N44" i="2"/>
  <c r="M46" i="3" l="1"/>
  <c r="J45" i="3"/>
  <c r="I45" i="3"/>
  <c r="H45" i="3"/>
  <c r="G45" i="3"/>
  <c r="F45" i="3"/>
  <c r="E45" i="3"/>
  <c r="D45" i="3"/>
  <c r="C45" i="3"/>
  <c r="B45" i="3"/>
  <c r="E42" i="1"/>
  <c r="H42" i="1" s="1"/>
  <c r="O45" i="3" s="1"/>
  <c r="K44" i="2"/>
  <c r="G42" i="1" l="1"/>
  <c r="L45" i="3"/>
  <c r="F42" i="1"/>
  <c r="K45" i="3"/>
  <c r="I42" i="1"/>
  <c r="P45" i="3" s="1"/>
  <c r="J42" i="1"/>
  <c r="M44" i="2"/>
  <c r="L44" i="2"/>
  <c r="M45" i="3" s="1"/>
  <c r="J44" i="3"/>
  <c r="I44" i="3"/>
  <c r="H44" i="3"/>
  <c r="G44" i="3"/>
  <c r="F44" i="3"/>
  <c r="E44" i="3"/>
  <c r="D44" i="3"/>
  <c r="C44" i="3"/>
  <c r="B44" i="3"/>
  <c r="E41" i="1"/>
  <c r="J41" i="1" s="1"/>
  <c r="K43" i="2"/>
  <c r="M43" i="2" s="1"/>
  <c r="N45" i="3" l="1"/>
  <c r="F41" i="1"/>
  <c r="G41" i="1"/>
  <c r="N44" i="3" s="1"/>
  <c r="K44" i="3"/>
  <c r="I41" i="1"/>
  <c r="L44" i="3"/>
  <c r="H41" i="1"/>
  <c r="O44" i="3" s="1"/>
  <c r="N43" i="2"/>
  <c r="L43" i="2"/>
  <c r="K43" i="3"/>
  <c r="J43" i="3"/>
  <c r="I43" i="3"/>
  <c r="H43" i="3"/>
  <c r="G43" i="3"/>
  <c r="F43" i="3"/>
  <c r="E43" i="3"/>
  <c r="D43" i="3"/>
  <c r="C43" i="3"/>
  <c r="B43" i="3"/>
  <c r="M44" i="3" l="1"/>
  <c r="P44" i="3"/>
  <c r="E40" i="1"/>
  <c r="F40" i="1" s="1"/>
  <c r="K42" i="2"/>
  <c r="N42" i="2" s="1"/>
  <c r="H40" i="1" l="1"/>
  <c r="O43" i="3" s="1"/>
  <c r="L43" i="3"/>
  <c r="I40" i="1"/>
  <c r="P43" i="3" s="1"/>
  <c r="G40" i="1"/>
  <c r="J40" i="1"/>
  <c r="M42" i="2"/>
  <c r="L42" i="2"/>
  <c r="M43" i="3" s="1"/>
  <c r="N43" i="3" l="1"/>
  <c r="J42" i="3"/>
  <c r="I42" i="3"/>
  <c r="H42" i="3"/>
  <c r="G42" i="3"/>
  <c r="F42" i="3"/>
  <c r="E42" i="3"/>
  <c r="D42" i="3"/>
  <c r="C42" i="3"/>
  <c r="B42" i="3"/>
  <c r="E39" i="1"/>
  <c r="K41" i="2"/>
  <c r="L41" i="2" s="1"/>
  <c r="H39" i="1" l="1"/>
  <c r="O42" i="3" s="1"/>
  <c r="I39" i="1"/>
  <c r="F39" i="1"/>
  <c r="M42" i="3" s="1"/>
  <c r="N41" i="2"/>
  <c r="K42" i="3"/>
  <c r="L42" i="3"/>
  <c r="J39" i="1"/>
  <c r="G39" i="1"/>
  <c r="M41" i="2"/>
  <c r="N40" i="2"/>
  <c r="P42" i="3" l="1"/>
  <c r="N42" i="3"/>
  <c r="J41" i="3" l="1"/>
  <c r="I41" i="3"/>
  <c r="H41" i="3"/>
  <c r="G41" i="3"/>
  <c r="F41" i="3"/>
  <c r="E41" i="3"/>
  <c r="D41" i="3"/>
  <c r="C41" i="3"/>
  <c r="B41" i="3"/>
  <c r="E38" i="1"/>
  <c r="K40" i="2"/>
  <c r="L40" i="2" s="1"/>
  <c r="J38" i="1" l="1"/>
  <c r="I38" i="1"/>
  <c r="H38" i="1"/>
  <c r="O41" i="3" s="1"/>
  <c r="F38" i="1"/>
  <c r="K41" i="3"/>
  <c r="M41" i="3"/>
  <c r="L41" i="3"/>
  <c r="G38" i="1"/>
  <c r="M40" i="2"/>
  <c r="P41" i="3"/>
  <c r="N41" i="3" l="1"/>
  <c r="J40" i="3"/>
  <c r="I40" i="3"/>
  <c r="H40" i="3"/>
  <c r="G40" i="3"/>
  <c r="F40" i="3"/>
  <c r="E40" i="3"/>
  <c r="D40" i="3"/>
  <c r="C40" i="3"/>
  <c r="B40" i="3"/>
  <c r="E37" i="1"/>
  <c r="K39" i="2"/>
  <c r="M39" i="2" s="1"/>
  <c r="J37" i="1" l="1"/>
  <c r="H37" i="1"/>
  <c r="I37" i="1"/>
  <c r="F37" i="1"/>
  <c r="K40" i="3"/>
  <c r="O40" i="3"/>
  <c r="L40" i="3"/>
  <c r="G37" i="1"/>
  <c r="N40" i="3" s="1"/>
  <c r="N39" i="2"/>
  <c r="L39" i="2"/>
  <c r="M40" i="3" l="1"/>
  <c r="P40" i="3"/>
  <c r="J39" i="3"/>
  <c r="I39" i="3"/>
  <c r="H39" i="3"/>
  <c r="G39" i="3"/>
  <c r="F39" i="3"/>
  <c r="E39" i="3"/>
  <c r="D39" i="3"/>
  <c r="C39" i="3"/>
  <c r="B39" i="3"/>
  <c r="E36" i="1"/>
  <c r="L39" i="3" s="1"/>
  <c r="K38" i="2"/>
  <c r="L38" i="2" s="1"/>
  <c r="J36" i="1" l="1"/>
  <c r="H36" i="1"/>
  <c r="F36" i="1"/>
  <c r="K39" i="3"/>
  <c r="G36" i="1"/>
  <c r="I36" i="1"/>
  <c r="M39" i="3"/>
  <c r="O39" i="3"/>
  <c r="M38" i="2"/>
  <c r="N38" i="2"/>
  <c r="N39" i="3" l="1"/>
  <c r="P39" i="3"/>
  <c r="J38" i="3" l="1"/>
  <c r="I38" i="3"/>
  <c r="H38" i="3"/>
  <c r="G38" i="3"/>
  <c r="F38" i="3"/>
  <c r="E38" i="3"/>
  <c r="D38" i="3"/>
  <c r="C38" i="3"/>
  <c r="B38" i="3"/>
  <c r="E35" i="1"/>
  <c r="H35" i="1" s="1"/>
  <c r="O38" i="3" s="1"/>
  <c r="K37" i="2"/>
  <c r="L37" i="2" s="1"/>
  <c r="F35" i="1" l="1"/>
  <c r="M38" i="3" s="1"/>
  <c r="L38" i="3"/>
  <c r="I35" i="1"/>
  <c r="G35" i="1"/>
  <c r="K38" i="3"/>
  <c r="J35" i="1"/>
  <c r="M37" i="2"/>
  <c r="N37" i="2"/>
  <c r="N38" i="3" l="1"/>
  <c r="P38" i="3"/>
  <c r="J37" i="3"/>
  <c r="I37" i="3"/>
  <c r="H37" i="3"/>
  <c r="G37" i="3"/>
  <c r="F37" i="3"/>
  <c r="E37" i="3"/>
  <c r="D37" i="3"/>
  <c r="C37" i="3"/>
  <c r="B37" i="3"/>
  <c r="E34" i="1"/>
  <c r="K36" i="2"/>
  <c r="L36" i="2" s="1"/>
  <c r="J34" i="1" l="1"/>
  <c r="H34" i="1"/>
  <c r="F34" i="1"/>
  <c r="M37" i="3" s="1"/>
  <c r="K37" i="3"/>
  <c r="G34" i="1"/>
  <c r="O37" i="3"/>
  <c r="L37" i="3"/>
  <c r="I34" i="1"/>
  <c r="M36" i="2"/>
  <c r="N36" i="2"/>
  <c r="J36" i="3"/>
  <c r="I36" i="3"/>
  <c r="H36" i="3"/>
  <c r="G36" i="3"/>
  <c r="F36" i="3"/>
  <c r="E36" i="3"/>
  <c r="D36" i="3"/>
  <c r="C36" i="3"/>
  <c r="B36" i="3"/>
  <c r="E33" i="1"/>
  <c r="I33" i="1" s="1"/>
  <c r="K35" i="2"/>
  <c r="M35" i="2" s="1"/>
  <c r="G33" i="1" l="1"/>
  <c r="F33" i="1"/>
  <c r="L36" i="3"/>
  <c r="H33" i="1"/>
  <c r="P37" i="3"/>
  <c r="N37" i="3"/>
  <c r="K36" i="3"/>
  <c r="O36" i="3"/>
  <c r="J33" i="1"/>
  <c r="N36" i="3"/>
  <c r="L35" i="2"/>
  <c r="M36" i="3" s="1"/>
  <c r="N35" i="2"/>
  <c r="P36" i="3" s="1"/>
  <c r="J35" i="3"/>
  <c r="I35" i="3"/>
  <c r="H35" i="3"/>
  <c r="G35" i="3"/>
  <c r="F35" i="3"/>
  <c r="E35" i="3"/>
  <c r="D35" i="3"/>
  <c r="C35" i="3"/>
  <c r="B35" i="3"/>
  <c r="E32" i="1"/>
  <c r="I32" i="1" s="1"/>
  <c r="K34" i="2"/>
  <c r="L34" i="2" s="1"/>
  <c r="F32" i="1" l="1"/>
  <c r="H32" i="1"/>
  <c r="O35" i="3" s="1"/>
  <c r="K35" i="3"/>
  <c r="L35" i="3"/>
  <c r="M35" i="3"/>
  <c r="G32" i="1"/>
  <c r="J32" i="1"/>
  <c r="M34" i="2"/>
  <c r="N34" i="2"/>
  <c r="P35" i="3" s="1"/>
  <c r="N35" i="3" l="1"/>
  <c r="J34" i="3"/>
  <c r="I34" i="3"/>
  <c r="H34" i="3"/>
  <c r="G34" i="3"/>
  <c r="F34" i="3"/>
  <c r="E34" i="3"/>
  <c r="D34" i="3"/>
  <c r="C34" i="3"/>
  <c r="B34" i="3"/>
  <c r="E31" i="1"/>
  <c r="K33" i="2"/>
  <c r="N33" i="2" s="1"/>
  <c r="H31" i="1" l="1"/>
  <c r="O34" i="3" s="1"/>
  <c r="F31" i="1"/>
  <c r="K34" i="3"/>
  <c r="I31" i="1"/>
  <c r="P34" i="3" s="1"/>
  <c r="G31" i="1"/>
  <c r="L34" i="3"/>
  <c r="J31" i="1"/>
  <c r="M33" i="2"/>
  <c r="L33" i="2"/>
  <c r="N32" i="2"/>
  <c r="M34" i="3" l="1"/>
  <c r="N34" i="3"/>
  <c r="J33" i="3" l="1"/>
  <c r="I33" i="3"/>
  <c r="H33" i="3"/>
  <c r="G33" i="3"/>
  <c r="F33" i="3"/>
  <c r="E33" i="3"/>
  <c r="D33" i="3"/>
  <c r="C33" i="3"/>
  <c r="B33" i="3"/>
  <c r="E30" i="1"/>
  <c r="K32" i="2"/>
  <c r="J30" i="1" l="1"/>
  <c r="G30" i="1"/>
  <c r="I30" i="1"/>
  <c r="P33" i="3" s="1"/>
  <c r="H30" i="1"/>
  <c r="O33" i="3" s="1"/>
  <c r="F30" i="1"/>
  <c r="K33" i="3"/>
  <c r="L33" i="3"/>
  <c r="L32" i="2"/>
  <c r="M32" i="2"/>
  <c r="N33" i="3" s="1"/>
  <c r="J32" i="3"/>
  <c r="I32" i="3"/>
  <c r="H32" i="3"/>
  <c r="G32" i="3"/>
  <c r="F32" i="3"/>
  <c r="E32" i="3"/>
  <c r="D32" i="3"/>
  <c r="C32" i="3"/>
  <c r="B32" i="3"/>
  <c r="E29" i="1"/>
  <c r="H29" i="1" s="1"/>
  <c r="K31" i="2"/>
  <c r="M31" i="2" s="1"/>
  <c r="F29" i="1" l="1"/>
  <c r="M33" i="3"/>
  <c r="N31" i="2"/>
  <c r="K32" i="3"/>
  <c r="O32" i="3"/>
  <c r="L32" i="3"/>
  <c r="J29" i="1"/>
  <c r="I29" i="1"/>
  <c r="G29" i="1"/>
  <c r="N32" i="3" s="1"/>
  <c r="L31" i="2"/>
  <c r="N30" i="2"/>
  <c r="M32" i="3" l="1"/>
  <c r="P32" i="3"/>
  <c r="J31" i="3"/>
  <c r="I31" i="3"/>
  <c r="H31" i="3"/>
  <c r="G31" i="3"/>
  <c r="F31" i="3"/>
  <c r="E31" i="3"/>
  <c r="D31" i="3"/>
  <c r="C31" i="3"/>
  <c r="B31" i="3"/>
  <c r="E28" i="1"/>
  <c r="H28" i="1" s="1"/>
  <c r="O31" i="3" s="1"/>
  <c r="K30" i="2"/>
  <c r="M30" i="2" s="1"/>
  <c r="K31" i="3" l="1"/>
  <c r="L31" i="3"/>
  <c r="G28" i="1"/>
  <c r="N31" i="3" s="1"/>
  <c r="I28" i="1"/>
  <c r="J28" i="1"/>
  <c r="F28" i="1"/>
  <c r="L30" i="2"/>
  <c r="N29" i="2"/>
  <c r="P31" i="3" l="1"/>
  <c r="M31" i="3"/>
  <c r="J30" i="3"/>
  <c r="I30" i="3"/>
  <c r="H30" i="3"/>
  <c r="G30" i="3"/>
  <c r="F30" i="3"/>
  <c r="E30" i="3"/>
  <c r="D30" i="3"/>
  <c r="C30" i="3"/>
  <c r="B30" i="3"/>
  <c r="E27" i="1"/>
  <c r="J27" i="1" s="1"/>
  <c r="K29" i="2"/>
  <c r="K30" i="3" l="1"/>
  <c r="F27" i="1"/>
  <c r="H27" i="1"/>
  <c r="O30" i="3" s="1"/>
  <c r="L30" i="3"/>
  <c r="G27" i="1"/>
  <c r="I27" i="1"/>
  <c r="P30" i="3" s="1"/>
  <c r="L29" i="2"/>
  <c r="M29" i="2"/>
  <c r="J29" i="3"/>
  <c r="I29" i="3"/>
  <c r="H29" i="3"/>
  <c r="G29" i="3"/>
  <c r="F29" i="3"/>
  <c r="E29" i="3"/>
  <c r="D29" i="3"/>
  <c r="C29" i="3"/>
  <c r="B29" i="3"/>
  <c r="E26" i="1"/>
  <c r="J26" i="1" s="1"/>
  <c r="K28" i="2"/>
  <c r="N28" i="2" s="1"/>
  <c r="F26" i="1" l="1"/>
  <c r="L29" i="3"/>
  <c r="H26" i="1"/>
  <c r="O29" i="3" s="1"/>
  <c r="N30" i="3"/>
  <c r="M30" i="3"/>
  <c r="K29" i="3"/>
  <c r="I26" i="1"/>
  <c r="P29" i="3" s="1"/>
  <c r="G26" i="1"/>
  <c r="L28" i="2"/>
  <c r="M29" i="3" s="1"/>
  <c r="M28" i="2"/>
  <c r="J28" i="3"/>
  <c r="I28" i="3"/>
  <c r="H28" i="3"/>
  <c r="G28" i="3"/>
  <c r="F28" i="3"/>
  <c r="E28" i="3"/>
  <c r="D28" i="3"/>
  <c r="C28" i="3"/>
  <c r="B28" i="3"/>
  <c r="E25" i="1"/>
  <c r="F25" i="1" s="1"/>
  <c r="K27" i="2"/>
  <c r="M27" i="2" s="1"/>
  <c r="I25" i="1" l="1"/>
  <c r="L28" i="3"/>
  <c r="H25" i="1"/>
  <c r="O28" i="3" s="1"/>
  <c r="N29" i="3"/>
  <c r="K28" i="3"/>
  <c r="J25" i="1"/>
  <c r="G25" i="1"/>
  <c r="N28" i="3" s="1"/>
  <c r="L27" i="2"/>
  <c r="M28" i="3" s="1"/>
  <c r="N27" i="2"/>
  <c r="P28" i="3" s="1"/>
  <c r="J27" i="3"/>
  <c r="I27" i="3"/>
  <c r="H27" i="3"/>
  <c r="G27" i="3"/>
  <c r="F27" i="3"/>
  <c r="E27" i="3"/>
  <c r="D27" i="3"/>
  <c r="C27" i="3"/>
  <c r="B27" i="3"/>
  <c r="E24" i="1"/>
  <c r="J24" i="1" s="1"/>
  <c r="K26" i="2"/>
  <c r="N26" i="2" s="1"/>
  <c r="G24" i="1" l="1"/>
  <c r="K27" i="3"/>
  <c r="L27" i="3"/>
  <c r="H24" i="1"/>
  <c r="O27" i="3" s="1"/>
  <c r="F24" i="1"/>
  <c r="I24" i="1"/>
  <c r="P27" i="3" s="1"/>
  <c r="L26" i="2"/>
  <c r="M26" i="2"/>
  <c r="N27" i="3" l="1"/>
  <c r="M27" i="3"/>
  <c r="J26" i="3"/>
  <c r="I26" i="3"/>
  <c r="H26" i="3"/>
  <c r="G26" i="3"/>
  <c r="F26" i="3"/>
  <c r="E26" i="3"/>
  <c r="D26" i="3"/>
  <c r="C26" i="3"/>
  <c r="B26" i="3"/>
  <c r="E23" i="1"/>
  <c r="K25" i="2"/>
  <c r="L25" i="2" s="1"/>
  <c r="H23" i="1" l="1"/>
  <c r="O26" i="3" s="1"/>
  <c r="F23" i="1"/>
  <c r="M26" i="3" s="1"/>
  <c r="G23" i="1"/>
  <c r="K26" i="3"/>
  <c r="L26" i="3"/>
  <c r="J23" i="1"/>
  <c r="I23" i="1"/>
  <c r="M25" i="2"/>
  <c r="N25" i="2"/>
  <c r="J25" i="3"/>
  <c r="I25" i="3"/>
  <c r="H25" i="3"/>
  <c r="G25" i="3"/>
  <c r="F25" i="3"/>
  <c r="E25" i="3"/>
  <c r="D25" i="3"/>
  <c r="C25" i="3"/>
  <c r="B25" i="3"/>
  <c r="E22" i="1"/>
  <c r="J22" i="1" s="1"/>
  <c r="K24" i="2"/>
  <c r="N24" i="2" s="1"/>
  <c r="N26" i="3" l="1"/>
  <c r="P26" i="3"/>
  <c r="K25" i="3"/>
  <c r="I22" i="1"/>
  <c r="P25" i="3" s="1"/>
  <c r="L25" i="3"/>
  <c r="F22" i="1"/>
  <c r="H22" i="1"/>
  <c r="O25" i="3" s="1"/>
  <c r="G22" i="1"/>
  <c r="M24" i="2"/>
  <c r="L24" i="2"/>
  <c r="N25" i="3" l="1"/>
  <c r="M25" i="3"/>
  <c r="J24" i="3"/>
  <c r="I24" i="3"/>
  <c r="H24" i="3"/>
  <c r="G24" i="3"/>
  <c r="F24" i="3"/>
  <c r="E24" i="3"/>
  <c r="D24" i="3"/>
  <c r="C24" i="3"/>
  <c r="B24" i="3"/>
  <c r="K23" i="2"/>
  <c r="L23" i="2" s="1"/>
  <c r="E21" i="1"/>
  <c r="J21" i="1" l="1"/>
  <c r="I21" i="1"/>
  <c r="H21" i="1"/>
  <c r="O24" i="3" s="1"/>
  <c r="F21" i="1"/>
  <c r="M24" i="3" s="1"/>
  <c r="L24" i="3"/>
  <c r="N23" i="2"/>
  <c r="P24" i="3" s="1"/>
  <c r="K24" i="3"/>
  <c r="G21" i="1"/>
  <c r="M23" i="2"/>
  <c r="N22" i="2"/>
  <c r="N24" i="3" l="1"/>
  <c r="J23" i="3" l="1"/>
  <c r="I23" i="3"/>
  <c r="H23" i="3"/>
  <c r="G23" i="3"/>
  <c r="F23" i="3"/>
  <c r="E23" i="3"/>
  <c r="D23" i="3"/>
  <c r="C23" i="3"/>
  <c r="B23" i="3"/>
  <c r="K22" i="2"/>
  <c r="M22" i="2" s="1"/>
  <c r="E20" i="1"/>
  <c r="J20" i="1" l="1"/>
  <c r="I20" i="1"/>
  <c r="P23" i="3" s="1"/>
  <c r="G20" i="1"/>
  <c r="F20" i="1"/>
  <c r="K23" i="3"/>
  <c r="L23" i="3"/>
  <c r="N23" i="3"/>
  <c r="L22" i="2"/>
  <c r="H20" i="1"/>
  <c r="O23" i="3" s="1"/>
  <c r="M23" i="3" l="1"/>
  <c r="J22" i="3"/>
  <c r="I22" i="3"/>
  <c r="H22" i="3"/>
  <c r="G22" i="3"/>
  <c r="F22" i="3"/>
  <c r="E22" i="3"/>
  <c r="D22" i="3"/>
  <c r="C22" i="3"/>
  <c r="B22" i="3"/>
  <c r="E19" i="1"/>
  <c r="K21" i="2"/>
  <c r="K22" i="3" s="1"/>
  <c r="H19" i="1" l="1"/>
  <c r="O22" i="3" s="1"/>
  <c r="G19" i="1"/>
  <c r="I19" i="1"/>
  <c r="F19" i="1"/>
  <c r="L22" i="3"/>
  <c r="N21" i="2"/>
  <c r="J19" i="1"/>
  <c r="L21" i="2"/>
  <c r="M21" i="2"/>
  <c r="N20" i="2"/>
  <c r="M22" i="3" l="1"/>
  <c r="P22" i="3"/>
  <c r="N22" i="3"/>
  <c r="J21" i="3" l="1"/>
  <c r="I21" i="3"/>
  <c r="H21" i="3"/>
  <c r="G21" i="3"/>
  <c r="F21" i="3"/>
  <c r="E21" i="3"/>
  <c r="D21" i="3"/>
  <c r="C21" i="3"/>
  <c r="B21" i="3"/>
  <c r="E18" i="1"/>
  <c r="K20" i="2"/>
  <c r="M20" i="2" s="1"/>
  <c r="J18" i="1" l="1"/>
  <c r="I18" i="1"/>
  <c r="P21" i="3" s="1"/>
  <c r="F18" i="1"/>
  <c r="K21" i="3"/>
  <c r="L21" i="3"/>
  <c r="G18" i="1"/>
  <c r="N21" i="3" s="1"/>
  <c r="H18" i="1"/>
  <c r="O21" i="3" s="1"/>
  <c r="L20" i="2"/>
  <c r="M21" i="3" s="1"/>
  <c r="N19" i="2"/>
  <c r="J20" i="3" l="1"/>
  <c r="I20" i="3"/>
  <c r="H20" i="3"/>
  <c r="G20" i="3"/>
  <c r="F20" i="3"/>
  <c r="E20" i="3"/>
  <c r="D20" i="3"/>
  <c r="C20" i="3"/>
  <c r="B20" i="3"/>
  <c r="E17" i="1"/>
  <c r="K19" i="2"/>
  <c r="L19" i="2" s="1"/>
  <c r="I17" i="1" l="1"/>
  <c r="G17" i="1"/>
  <c r="K20" i="3"/>
  <c r="H17" i="1"/>
  <c r="O20" i="3" s="1"/>
  <c r="L20" i="3"/>
  <c r="F17" i="1"/>
  <c r="M20" i="3" s="1"/>
  <c r="J17" i="1"/>
  <c r="P20" i="3"/>
  <c r="M19" i="2"/>
  <c r="N20" i="3" s="1"/>
  <c r="J19" i="3" l="1"/>
  <c r="I19" i="3"/>
  <c r="H19" i="3"/>
  <c r="G19" i="3"/>
  <c r="F19" i="3"/>
  <c r="E19" i="3"/>
  <c r="D19" i="3"/>
  <c r="C19" i="3"/>
  <c r="B19" i="3"/>
  <c r="E16" i="1"/>
  <c r="K18" i="2"/>
  <c r="N18" i="2" s="1"/>
  <c r="H16" i="1" l="1"/>
  <c r="O19" i="3" s="1"/>
  <c r="G16" i="1"/>
  <c r="F16" i="1"/>
  <c r="K19" i="3"/>
  <c r="I16" i="1"/>
  <c r="P19" i="3" s="1"/>
  <c r="L19" i="3"/>
  <c r="J16" i="1"/>
  <c r="L18" i="2"/>
  <c r="M18" i="2"/>
  <c r="N19" i="3" s="1"/>
  <c r="N17" i="2"/>
  <c r="M19" i="3" l="1"/>
  <c r="J18" i="3" l="1"/>
  <c r="I18" i="3"/>
  <c r="H18" i="3"/>
  <c r="G18" i="3"/>
  <c r="F18" i="3"/>
  <c r="E18" i="3"/>
  <c r="D18" i="3"/>
  <c r="C18" i="3"/>
  <c r="B18" i="3"/>
  <c r="E15" i="1"/>
  <c r="K17" i="2"/>
  <c r="K18" i="3" s="1"/>
  <c r="G15" i="1" l="1"/>
  <c r="I15" i="1"/>
  <c r="H15" i="1"/>
  <c r="F15" i="1"/>
  <c r="P18" i="3"/>
  <c r="L18" i="3"/>
  <c r="J15" i="1"/>
  <c r="O18" i="3"/>
  <c r="M17" i="2"/>
  <c r="N18" i="3" s="1"/>
  <c r="L17" i="2"/>
  <c r="N16" i="2"/>
  <c r="M18" i="3" l="1"/>
  <c r="J17" i="3" l="1"/>
  <c r="I17" i="3"/>
  <c r="H17" i="3"/>
  <c r="G17" i="3"/>
  <c r="F17" i="3"/>
  <c r="E17" i="3"/>
  <c r="D17" i="3"/>
  <c r="C17" i="3"/>
  <c r="B17" i="3"/>
  <c r="E14" i="1"/>
  <c r="K16" i="2"/>
  <c r="H14" i="1" l="1"/>
  <c r="O17" i="3" s="1"/>
  <c r="I14" i="1"/>
  <c r="G14" i="1"/>
  <c r="F14" i="1"/>
  <c r="K17" i="3"/>
  <c r="L17" i="3"/>
  <c r="P17" i="3"/>
  <c r="J14" i="1"/>
  <c r="L16" i="2"/>
  <c r="M16" i="2"/>
  <c r="N17" i="3" s="1"/>
  <c r="J16" i="3"/>
  <c r="I16" i="3"/>
  <c r="H16" i="3"/>
  <c r="G16" i="3"/>
  <c r="F16" i="3"/>
  <c r="E16" i="3"/>
  <c r="D16" i="3"/>
  <c r="C16" i="3"/>
  <c r="B16" i="3"/>
  <c r="E13" i="1"/>
  <c r="F13" i="1" s="1"/>
  <c r="K15" i="2"/>
  <c r="N15" i="2" s="1"/>
  <c r="G13" i="1" l="1"/>
  <c r="H13" i="1"/>
  <c r="I13" i="1"/>
  <c r="M17" i="3"/>
  <c r="K16" i="3"/>
  <c r="P16" i="3"/>
  <c r="L16" i="3"/>
  <c r="O16" i="3"/>
  <c r="J13" i="1"/>
  <c r="L15" i="2"/>
  <c r="M16" i="3" s="1"/>
  <c r="M15" i="2"/>
  <c r="N16" i="3" s="1"/>
  <c r="J15" i="3" l="1"/>
  <c r="I15" i="3"/>
  <c r="H15" i="3"/>
  <c r="G15" i="3"/>
  <c r="F15" i="3"/>
  <c r="E15" i="3"/>
  <c r="D15" i="3"/>
  <c r="C15" i="3"/>
  <c r="B15" i="3"/>
  <c r="E12" i="1"/>
  <c r="K14" i="2"/>
  <c r="K15" i="3" s="1"/>
  <c r="J12" i="1" l="1"/>
  <c r="F12" i="1"/>
  <c r="L15" i="3"/>
  <c r="N14" i="2"/>
  <c r="I12" i="1"/>
  <c r="G12" i="1"/>
  <c r="H12" i="1"/>
  <c r="O15" i="3" s="1"/>
  <c r="M14" i="2"/>
  <c r="L14" i="2"/>
  <c r="M15" i="3" l="1"/>
  <c r="N15" i="3"/>
  <c r="P15" i="3"/>
  <c r="J14" i="3" l="1"/>
  <c r="I14" i="3"/>
  <c r="H14" i="3"/>
  <c r="G14" i="3"/>
  <c r="F14" i="3"/>
  <c r="E14" i="3"/>
  <c r="D14" i="3"/>
  <c r="C14" i="3"/>
  <c r="B14" i="3"/>
  <c r="E11" i="1"/>
  <c r="K13" i="2"/>
  <c r="N13" i="2" s="1"/>
  <c r="I11" i="1" l="1"/>
  <c r="H11" i="1"/>
  <c r="F11" i="1"/>
  <c r="K14" i="3"/>
  <c r="J11" i="1"/>
  <c r="O14" i="3"/>
  <c r="L14" i="3"/>
  <c r="G11" i="1"/>
  <c r="P14" i="3"/>
  <c r="L13" i="2"/>
  <c r="M14" i="3" s="1"/>
  <c r="M13" i="2"/>
  <c r="J13" i="3"/>
  <c r="I13" i="3"/>
  <c r="H13" i="3"/>
  <c r="G13" i="3"/>
  <c r="F13" i="3"/>
  <c r="E13" i="3"/>
  <c r="D13" i="3"/>
  <c r="C13" i="3"/>
  <c r="B13" i="3"/>
  <c r="K12" i="2"/>
  <c r="L12" i="2" s="1"/>
  <c r="E10" i="1"/>
  <c r="J10" i="1" s="1"/>
  <c r="G10" i="1" l="1"/>
  <c r="H10" i="1"/>
  <c r="N14" i="3"/>
  <c r="K13" i="3"/>
  <c r="L13" i="3"/>
  <c r="N12" i="2"/>
  <c r="M12" i="2"/>
  <c r="N13" i="3" s="1"/>
  <c r="O13" i="3"/>
  <c r="I10" i="1"/>
  <c r="F10" i="1"/>
  <c r="M13" i="3" s="1"/>
  <c r="P13" i="3" l="1"/>
  <c r="J12" i="3"/>
  <c r="I12" i="3"/>
  <c r="H12" i="3"/>
  <c r="G12" i="3"/>
  <c r="F12" i="3"/>
  <c r="E12" i="3"/>
  <c r="D12" i="3"/>
  <c r="C12" i="3"/>
  <c r="B12" i="3"/>
  <c r="E9" i="1"/>
  <c r="K11" i="2"/>
  <c r="K12" i="3" s="1"/>
  <c r="H9" i="1" l="1"/>
  <c r="G9" i="1"/>
  <c r="N11" i="2"/>
  <c r="L12" i="3"/>
  <c r="I9" i="1"/>
  <c r="F9" i="1"/>
  <c r="J9" i="1"/>
  <c r="O12" i="3"/>
  <c r="L11" i="2"/>
  <c r="M11" i="2"/>
  <c r="N12" i="3" s="1"/>
  <c r="A11" i="3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J11" i="3"/>
  <c r="I11" i="3"/>
  <c r="H11" i="3"/>
  <c r="G11" i="3"/>
  <c r="F11" i="3"/>
  <c r="E11" i="3"/>
  <c r="D11" i="3"/>
  <c r="C11" i="3"/>
  <c r="B11" i="3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E8" i="1"/>
  <c r="I8" i="1" s="1"/>
  <c r="A10" i="2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K10" i="2"/>
  <c r="N10" i="2" s="1"/>
  <c r="F8" i="1" l="1"/>
  <c r="G8" i="1"/>
  <c r="A49" i="1"/>
  <c r="A50" i="1" s="1"/>
  <c r="A51" i="1" s="1"/>
  <c r="A52" i="1" s="1"/>
  <c r="A53" i="1" s="1"/>
  <c r="A49" i="3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M12" i="3"/>
  <c r="P12" i="3"/>
  <c r="K11" i="3"/>
  <c r="P11" i="3"/>
  <c r="L11" i="3"/>
  <c r="J8" i="1"/>
  <c r="H8" i="1"/>
  <c r="O11" i="3" s="1"/>
  <c r="L10" i="2"/>
  <c r="M11" i="3" s="1"/>
  <c r="M10" i="2"/>
  <c r="J10" i="3"/>
  <c r="I10" i="3"/>
  <c r="H10" i="3"/>
  <c r="G10" i="3"/>
  <c r="F10" i="3"/>
  <c r="E10" i="3"/>
  <c r="D10" i="3"/>
  <c r="C10" i="3"/>
  <c r="B10" i="3"/>
  <c r="E7" i="1"/>
  <c r="J7" i="1" s="1"/>
  <c r="N11" i="3" l="1"/>
  <c r="F7" i="1"/>
  <c r="G7" i="1"/>
  <c r="I7" i="1"/>
  <c r="L10" i="3"/>
  <c r="H7" i="1"/>
  <c r="O10" i="3" s="1"/>
  <c r="K9" i="2"/>
  <c r="N9" i="2" l="1"/>
  <c r="P10" i="3" s="1"/>
  <c r="M9" i="2"/>
  <c r="N10" i="3" s="1"/>
  <c r="K10" i="3"/>
  <c r="L9" i="2"/>
  <c r="M10" i="3" s="1"/>
  <c r="D9" i="3" l="1"/>
  <c r="D62" i="2"/>
  <c r="D63" i="3" l="1"/>
  <c r="B9" i="3" l="1"/>
  <c r="C9" i="3" l="1"/>
  <c r="C63" i="3" s="1"/>
  <c r="E9" i="3"/>
  <c r="E63" i="3" s="1"/>
  <c r="F9" i="3"/>
  <c r="F63" i="3" s="1"/>
  <c r="G9" i="3"/>
  <c r="G63" i="3" s="1"/>
  <c r="H9" i="3"/>
  <c r="H63" i="3" s="1"/>
  <c r="I9" i="3"/>
  <c r="I63" i="3" s="1"/>
  <c r="J9" i="3"/>
  <c r="J63" i="3" s="1"/>
  <c r="B63" i="3"/>
  <c r="C62" i="2"/>
  <c r="E62" i="2"/>
  <c r="F62" i="2"/>
  <c r="G62" i="2"/>
  <c r="H62" i="2"/>
  <c r="I62" i="2"/>
  <c r="J62" i="2"/>
  <c r="B62" i="2"/>
  <c r="K60" i="1"/>
  <c r="C60" i="1"/>
  <c r="D60" i="1"/>
  <c r="B60" i="1"/>
  <c r="K8" i="2"/>
  <c r="K2" i="2"/>
  <c r="E6" i="1"/>
  <c r="I6" i="1" l="1"/>
  <c r="G6" i="1"/>
  <c r="F6" i="1"/>
  <c r="N8" i="2"/>
  <c r="N62" i="2" s="1"/>
  <c r="M8" i="2"/>
  <c r="I60" i="1"/>
  <c r="H6" i="1"/>
  <c r="F60" i="1"/>
  <c r="L8" i="2"/>
  <c r="J6" i="1"/>
  <c r="J60" i="1" s="1"/>
  <c r="G60" i="1"/>
  <c r="K62" i="2"/>
  <c r="L9" i="3"/>
  <c r="L63" i="3" s="1"/>
  <c r="E60" i="1"/>
  <c r="K9" i="3"/>
  <c r="K63" i="3" s="1"/>
  <c r="P9" i="3" l="1"/>
  <c r="P63" i="3" s="1"/>
  <c r="O9" i="3"/>
  <c r="O63" i="3" s="1"/>
  <c r="H60" i="1"/>
  <c r="L62" i="2"/>
  <c r="M9" i="3"/>
  <c r="M63" i="3" s="1"/>
  <c r="N9" i="3"/>
  <c r="N63" i="3" s="1"/>
  <c r="M62" i="2"/>
</calcChain>
</file>

<file path=xl/sharedStrings.xml><?xml version="1.0" encoding="utf-8"?>
<sst xmlns="http://schemas.openxmlformats.org/spreadsheetml/2006/main" count="62" uniqueCount="43">
  <si>
    <t>Amount
Played</t>
  </si>
  <si>
    <t>Adjusted
Amount
Won</t>
  </si>
  <si>
    <t>Promo</t>
  </si>
  <si>
    <t>Gross
Terminal Revenue</t>
  </si>
  <si>
    <t>State
Share
36%</t>
  </si>
  <si>
    <t>Human
Resource
Benefit Fund
17%</t>
  </si>
  <si>
    <t>Capital
Reinvestment
4.7%</t>
  </si>
  <si>
    <t>Greenbrier
Share
42.3%</t>
  </si>
  <si>
    <t>Average
GTI / # Term</t>
  </si>
  <si>
    <t>**  Represents an average of the number of machines in use for the week, averaged for the fiscal year.</t>
  </si>
  <si>
    <t>Number
Terminals **</t>
  </si>
  <si>
    <t>Craps</t>
  </si>
  <si>
    <t>Mini Bac</t>
  </si>
  <si>
    <t>Poker</t>
  </si>
  <si>
    <t>Poker
Tournament</t>
  </si>
  <si>
    <t>Roulette</t>
  </si>
  <si>
    <t>Single
Roulette</t>
  </si>
  <si>
    <t>Three Card
Poker</t>
  </si>
  <si>
    <t>Gross
Receipts</t>
  </si>
  <si>
    <t>State
Share
30%</t>
  </si>
  <si>
    <t>Human
Resource
Benefit Fund
5%</t>
  </si>
  <si>
    <t>Greenbrier
Share
65%</t>
  </si>
  <si>
    <t>State
Share</t>
  </si>
  <si>
    <t>Human
Resource
Benefit Fund</t>
  </si>
  <si>
    <t>Greenbrier
Share</t>
  </si>
  <si>
    <t>Capital
Reinvestment</t>
  </si>
  <si>
    <t>WEST VIRGINIA LOTTERY</t>
  </si>
  <si>
    <t>WEEKLY GREENBRIER HISTORIC RESORT REVENUE SUMMARY</t>
  </si>
  <si>
    <t>Blackjack</t>
  </si>
  <si>
    <t>Table Games Gross
Receipts</t>
  </si>
  <si>
    <t>Video Gross
Terminal
Revenue</t>
  </si>
  <si>
    <t>Lucky 21 Bac</t>
  </si>
  <si>
    <t>FY2020</t>
  </si>
  <si>
    <t>FISCAL YEAR 2021</t>
  </si>
  <si>
    <t>7/4/2020 *</t>
  </si>
  <si>
    <t xml:space="preserve">  *  Represents 4 days to start the fiscal year.</t>
  </si>
  <si>
    <t>7/11/2020</t>
  </si>
  <si>
    <t xml:space="preserve">7/11/2020 </t>
  </si>
  <si>
    <t>FOR THE WEEK ENDING JUNE 30, 2021</t>
  </si>
  <si>
    <t>*** 4 days to end the fiscal year</t>
  </si>
  <si>
    <t>** 4 days to end the fiscal year</t>
  </si>
  <si>
    <t>6/30/2021  ***</t>
  </si>
  <si>
    <t>6/30/2021  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</si>
</sst>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0_);\(0\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Arial"/>
      <family val="2"/>
    </font>
    <font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center"/>
    </xf>
    <xf numFmtId="164" fontId="0" fillId="0" borderId="0" xfId="0" applyNumberFormat="1" applyFont="1" applyBorder="1" applyAlignment="1">
      <alignment horizontal="center" wrapText="1"/>
    </xf>
    <xf numFmtId="0" fontId="0" fillId="0" borderId="0" xfId="0" applyFont="1" applyBorder="1" applyAlignment="1">
      <alignment horizontal="center" wrapText="1"/>
    </xf>
    <xf numFmtId="0" fontId="0" fillId="0" borderId="0" xfId="0" applyFont="1" applyBorder="1" applyAlignment="1">
      <alignment horizontal="center"/>
    </xf>
    <xf numFmtId="44" fontId="0" fillId="0" borderId="0" xfId="1" applyFont="1"/>
    <xf numFmtId="14" fontId="0" fillId="0" borderId="0" xfId="1" quotePrefix="1" applyNumberFormat="1" applyFont="1"/>
    <xf numFmtId="44" fontId="0" fillId="0" borderId="2" xfId="0" applyNumberFormat="1" applyFont="1" applyBorder="1"/>
    <xf numFmtId="0" fontId="3" fillId="0" borderId="0" xfId="0" applyFont="1"/>
    <xf numFmtId="164" fontId="0" fillId="0" borderId="0" xfId="0" applyNumberFormat="1" applyFont="1" applyBorder="1" applyAlignment="1">
      <alignment horizontal="center"/>
    </xf>
    <xf numFmtId="14" fontId="0" fillId="0" borderId="0" xfId="1" applyNumberFormat="1" applyFont="1" applyAlignment="1">
      <alignment horizontal="left"/>
    </xf>
    <xf numFmtId="44" fontId="0" fillId="0" borderId="0" xfId="1" applyFont="1" applyAlignment="1">
      <alignment horizontal="center"/>
    </xf>
    <xf numFmtId="164" fontId="0" fillId="0" borderId="0" xfId="0" applyNumberFormat="1" applyFont="1" applyAlignment="1">
      <alignment horizontal="center"/>
    </xf>
    <xf numFmtId="44" fontId="0" fillId="0" borderId="2" xfId="1" applyFont="1" applyBorder="1" applyAlignment="1">
      <alignment horizontal="center"/>
    </xf>
    <xf numFmtId="164" fontId="0" fillId="0" borderId="2" xfId="0" applyNumberFormat="1" applyFont="1" applyBorder="1" applyAlignment="1">
      <alignment horizontal="center" vertical="center"/>
    </xf>
    <xf numFmtId="44" fontId="0" fillId="0" borderId="0" xfId="0" applyNumberFormat="1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6" fillId="0" borderId="0" xfId="2" applyFont="1" applyAlignment="1">
      <alignment horizontal="left"/>
    </xf>
    <xf numFmtId="0" fontId="0" fillId="0" borderId="0" xfId="0" applyFont="1" applyAlignment="1">
      <alignment horizontal="center"/>
    </xf>
    <xf numFmtId="14" fontId="0" fillId="0" borderId="0" xfId="1" quotePrefix="1" applyNumberFormat="1" applyFont="1" applyAlignment="1">
      <alignment horizontal="left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ont="1" applyAlignment="1">
      <alignment horizontal="center"/>
    </xf>
  </cellXfs>
  <cellStyles count="4">
    <cellStyle name="Currency" xfId="1" builtinId="4"/>
    <cellStyle name="Currency 2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6"/>
  <sheetViews>
    <sheetView tabSelected="1" zoomScaleNormal="100" workbookViewId="0">
      <pane ySplit="7" topLeftCell="A41" activePane="bottomLeft" state="frozen"/>
      <selection pane="bottomLeft" activeCell="B61" sqref="B61"/>
    </sheetView>
  </sheetViews>
  <sheetFormatPr defaultRowHeight="15" customHeight="1" x14ac:dyDescent="0.25"/>
  <cols>
    <col min="1" max="1" width="12.7109375" style="1" customWidth="1"/>
    <col min="2" max="2" width="15.140625" style="1" bestFit="1" customWidth="1"/>
    <col min="3" max="3" width="13.42578125" style="1" bestFit="1" customWidth="1"/>
    <col min="4" max="4" width="13.42578125" style="1" customWidth="1"/>
    <col min="5" max="5" width="13.42578125" style="1" bestFit="1" customWidth="1"/>
    <col min="6" max="7" width="11.7109375" style="1" customWidth="1"/>
    <col min="8" max="10" width="13.42578125" style="1" bestFit="1" customWidth="1"/>
    <col min="11" max="13" width="15.140625" style="1" bestFit="1" customWidth="1"/>
    <col min="14" max="14" width="14.28515625" style="1" bestFit="1" customWidth="1"/>
    <col min="15" max="15" width="13.42578125" style="1" bestFit="1" customWidth="1"/>
    <col min="16" max="16" width="15.140625" style="1" bestFit="1" customWidth="1"/>
    <col min="17" max="17" width="10.7109375" style="1" customWidth="1"/>
    <col min="18" max="16384" width="9.140625" style="1"/>
  </cols>
  <sheetData>
    <row r="1" spans="1:16" ht="18.75" x14ac:dyDescent="0.3">
      <c r="A1" s="24" t="s">
        <v>26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</row>
    <row r="2" spans="1:16" ht="15" customHeight="1" x14ac:dyDescent="0.25">
      <c r="A2" s="25" t="s">
        <v>27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</row>
    <row r="3" spans="1:16" ht="15" customHeight="1" x14ac:dyDescent="0.25">
      <c r="A3" s="25" t="s">
        <v>38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</row>
    <row r="4" spans="1:16" ht="15" customHeight="1" x14ac:dyDescent="0.25">
      <c r="A4" s="25" t="s">
        <v>33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</row>
    <row r="5" spans="1:16" ht="15" customHeight="1" x14ac:dyDescent="0.25">
      <c r="A5" s="2"/>
      <c r="B5" s="2"/>
      <c r="C5" s="2"/>
      <c r="D5" s="2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7" spans="1:16" s="2" customFormat="1" ht="45" x14ac:dyDescent="0.25">
      <c r="B7" s="3" t="s">
        <v>28</v>
      </c>
      <c r="C7" s="4" t="s">
        <v>11</v>
      </c>
      <c r="D7" s="4" t="s">
        <v>31</v>
      </c>
      <c r="E7" s="3" t="s">
        <v>12</v>
      </c>
      <c r="F7" s="3" t="s">
        <v>13</v>
      </c>
      <c r="G7" s="3" t="s">
        <v>14</v>
      </c>
      <c r="H7" s="3" t="s">
        <v>15</v>
      </c>
      <c r="I7" s="3" t="s">
        <v>16</v>
      </c>
      <c r="J7" s="3" t="s">
        <v>17</v>
      </c>
      <c r="K7" s="3" t="s">
        <v>29</v>
      </c>
      <c r="L7" s="3" t="s">
        <v>30</v>
      </c>
      <c r="M7" s="3" t="s">
        <v>22</v>
      </c>
      <c r="N7" s="3" t="s">
        <v>23</v>
      </c>
      <c r="O7" s="3" t="s">
        <v>25</v>
      </c>
      <c r="P7" s="3" t="s">
        <v>24</v>
      </c>
    </row>
    <row r="8" spans="1:16" ht="15" customHeight="1" x14ac:dyDescent="0.25">
      <c r="A8" s="20"/>
      <c r="B8" s="20"/>
      <c r="C8" s="20"/>
      <c r="D8" s="22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</row>
    <row r="9" spans="1:16" ht="15" customHeight="1" x14ac:dyDescent="0.25">
      <c r="A9" s="13" t="s">
        <v>34</v>
      </c>
      <c r="B9" s="8">
        <f>'Table Games'!B8</f>
        <v>151941</v>
      </c>
      <c r="C9" s="8">
        <f>'Table Games'!C8</f>
        <v>12182</v>
      </c>
      <c r="D9" s="8">
        <f>'Table Games'!D8</f>
        <v>-167</v>
      </c>
      <c r="E9" s="8">
        <f>'Table Games'!E8</f>
        <v>0</v>
      </c>
      <c r="F9" s="8">
        <f>'Table Games'!F8</f>
        <v>0</v>
      </c>
      <c r="G9" s="8">
        <f>'Table Games'!G8</f>
        <v>0</v>
      </c>
      <c r="H9" s="8">
        <f>'Table Games'!H8</f>
        <v>15733</v>
      </c>
      <c r="I9" s="8">
        <f>'Table Games'!I8</f>
        <v>-1959</v>
      </c>
      <c r="J9" s="8">
        <f>'Table Games'!J8</f>
        <v>13703</v>
      </c>
      <c r="K9" s="8">
        <f>'Table Games'!K8</f>
        <v>191433</v>
      </c>
      <c r="L9" s="8">
        <f>Video!E6</f>
        <v>-23031.440000000061</v>
      </c>
      <c r="M9" s="8">
        <f>'Table Games'!L8+Video!F6</f>
        <v>49138.600000000006</v>
      </c>
      <c r="N9" s="8">
        <f>'Table Games'!M8+Video!G6</f>
        <v>5656.3099999999995</v>
      </c>
      <c r="O9" s="8">
        <f>Video!H6</f>
        <v>-1082.48</v>
      </c>
      <c r="P9" s="8">
        <f>'Table Games'!N8+Video!I6</f>
        <v>114689.13</v>
      </c>
    </row>
    <row r="10" spans="1:16" ht="15" customHeight="1" x14ac:dyDescent="0.25">
      <c r="A10" s="23" t="s">
        <v>37</v>
      </c>
      <c r="B10" s="8">
        <f>'Table Games'!B9</f>
        <v>224560.5</v>
      </c>
      <c r="C10" s="8">
        <f>'Table Games'!C9</f>
        <v>-929</v>
      </c>
      <c r="D10" s="8">
        <f>'Table Games'!D9</f>
        <v>195</v>
      </c>
      <c r="E10" s="8">
        <f>'Table Games'!E9</f>
        <v>0</v>
      </c>
      <c r="F10" s="8">
        <f>'Table Games'!F9</f>
        <v>0</v>
      </c>
      <c r="G10" s="8">
        <f>'Table Games'!G9</f>
        <v>0</v>
      </c>
      <c r="H10" s="8">
        <f>'Table Games'!H9</f>
        <v>20406</v>
      </c>
      <c r="I10" s="8">
        <f>'Table Games'!I9</f>
        <v>0</v>
      </c>
      <c r="J10" s="8">
        <f>'Table Games'!J9</f>
        <v>2727</v>
      </c>
      <c r="K10" s="8">
        <f>'Table Games'!K9</f>
        <v>246959.5</v>
      </c>
      <c r="L10" s="8">
        <f>Video!E7</f>
        <v>63920.259999999776</v>
      </c>
      <c r="M10" s="8">
        <f>'Table Games'!L9+Video!F7</f>
        <v>97099.170000000013</v>
      </c>
      <c r="N10" s="8">
        <f>'Table Games'!M9+Video!G7</f>
        <v>23214.41</v>
      </c>
      <c r="O10" s="8">
        <f>Video!H7</f>
        <v>3004.25</v>
      </c>
      <c r="P10" s="8">
        <f>'Table Games'!N9+Video!I7</f>
        <v>187561.93</v>
      </c>
    </row>
    <row r="11" spans="1:16" ht="15" customHeight="1" x14ac:dyDescent="0.25">
      <c r="A11" s="23">
        <f t="shared" ref="A11:A28" si="0">A10+7</f>
        <v>44030</v>
      </c>
      <c r="B11" s="8">
        <f>'Table Games'!B10</f>
        <v>221504.5</v>
      </c>
      <c r="C11" s="8">
        <f>'Table Games'!C10</f>
        <v>24131</v>
      </c>
      <c r="D11" s="8">
        <f>'Table Games'!D10</f>
        <v>837</v>
      </c>
      <c r="E11" s="8">
        <f>'Table Games'!E10</f>
        <v>0</v>
      </c>
      <c r="F11" s="8">
        <f>'Table Games'!F10</f>
        <v>0</v>
      </c>
      <c r="G11" s="8">
        <f>'Table Games'!G10</f>
        <v>0</v>
      </c>
      <c r="H11" s="8">
        <f>'Table Games'!H10</f>
        <v>34712</v>
      </c>
      <c r="I11" s="8">
        <f>'Table Games'!I10</f>
        <v>0</v>
      </c>
      <c r="J11" s="8">
        <f>'Table Games'!J10</f>
        <v>10889</v>
      </c>
      <c r="K11" s="8">
        <f>'Table Games'!K10</f>
        <v>292073.5</v>
      </c>
      <c r="L11" s="8">
        <f>Video!E8</f>
        <v>154538.8900000006</v>
      </c>
      <c r="M11" s="8">
        <f>'Table Games'!L10+Video!F8</f>
        <v>143256.03</v>
      </c>
      <c r="N11" s="8">
        <f>'Table Games'!M10+Video!G8</f>
        <v>40875.300000000003</v>
      </c>
      <c r="O11" s="8">
        <f>Video!H8</f>
        <v>7263.33</v>
      </c>
      <c r="P11" s="8">
        <f>'Table Games'!N10+Video!I8</f>
        <v>255217.72999999998</v>
      </c>
    </row>
    <row r="12" spans="1:16" ht="15" customHeight="1" x14ac:dyDescent="0.25">
      <c r="A12" s="23">
        <f t="shared" si="0"/>
        <v>44037</v>
      </c>
      <c r="B12" s="8">
        <f>'Table Games'!B11</f>
        <v>166145</v>
      </c>
      <c r="C12" s="8">
        <f>'Table Games'!C11</f>
        <v>44371</v>
      </c>
      <c r="D12" s="8">
        <f>'Table Games'!D11</f>
        <v>27</v>
      </c>
      <c r="E12" s="8">
        <f>'Table Games'!E11</f>
        <v>0</v>
      </c>
      <c r="F12" s="8">
        <f>'Table Games'!F11</f>
        <v>0</v>
      </c>
      <c r="G12" s="8">
        <f>'Table Games'!G11</f>
        <v>0</v>
      </c>
      <c r="H12" s="8">
        <f>'Table Games'!H11</f>
        <v>26158</v>
      </c>
      <c r="I12" s="8">
        <f>'Table Games'!I11</f>
        <v>0</v>
      </c>
      <c r="J12" s="8">
        <f>'Table Games'!J11</f>
        <v>-580</v>
      </c>
      <c r="K12" s="8">
        <f>'Table Games'!K11</f>
        <v>236121</v>
      </c>
      <c r="L12" s="8">
        <f>Video!E9</f>
        <v>61630.860000000335</v>
      </c>
      <c r="M12" s="8">
        <f>'Table Games'!L11+Video!F9</f>
        <v>93023.41</v>
      </c>
      <c r="N12" s="8">
        <f>'Table Games'!M11+Video!G9</f>
        <v>22283.29</v>
      </c>
      <c r="O12" s="8">
        <f>Video!H9</f>
        <v>2896.6600000000003</v>
      </c>
      <c r="P12" s="8">
        <f>'Table Games'!N11+Video!I9</f>
        <v>179548.5</v>
      </c>
    </row>
    <row r="13" spans="1:16" ht="15" customHeight="1" x14ac:dyDescent="0.25">
      <c r="A13" s="23">
        <f t="shared" si="0"/>
        <v>44044</v>
      </c>
      <c r="B13" s="8">
        <f>'Table Games'!B12</f>
        <v>160831</v>
      </c>
      <c r="C13" s="8">
        <f>'Table Games'!C12</f>
        <v>11892</v>
      </c>
      <c r="D13" s="8">
        <f>'Table Games'!D12</f>
        <v>305</v>
      </c>
      <c r="E13" s="8">
        <f>'Table Games'!E12</f>
        <v>15220</v>
      </c>
      <c r="F13" s="8">
        <f>'Table Games'!F12</f>
        <v>0</v>
      </c>
      <c r="G13" s="8">
        <f>'Table Games'!G12</f>
        <v>0</v>
      </c>
      <c r="H13" s="8">
        <f>'Table Games'!H12</f>
        <v>23338</v>
      </c>
      <c r="I13" s="8">
        <f>'Table Games'!I12</f>
        <v>4308</v>
      </c>
      <c r="J13" s="8">
        <f>'Table Games'!J12</f>
        <v>10450</v>
      </c>
      <c r="K13" s="8">
        <f>'Table Games'!K12</f>
        <v>226344</v>
      </c>
      <c r="L13" s="8">
        <f>Video!E10</f>
        <v>142549.82999999984</v>
      </c>
      <c r="M13" s="8">
        <f>'Table Games'!L12+Video!F10</f>
        <v>119221.14</v>
      </c>
      <c r="N13" s="8">
        <f>'Table Games'!M12+Video!G10</f>
        <v>35550.68</v>
      </c>
      <c r="O13" s="8">
        <f>Video!H10</f>
        <v>6699.83</v>
      </c>
      <c r="P13" s="8">
        <f>'Table Games'!N12+Video!I10</f>
        <v>207422.18</v>
      </c>
    </row>
    <row r="14" spans="1:16" ht="15" customHeight="1" x14ac:dyDescent="0.25">
      <c r="A14" s="23">
        <f t="shared" si="0"/>
        <v>44051</v>
      </c>
      <c r="B14" s="8">
        <f>'Table Games'!B13</f>
        <v>162775.5</v>
      </c>
      <c r="C14" s="8">
        <f>'Table Games'!C13</f>
        <v>35123</v>
      </c>
      <c r="D14" s="8">
        <f>'Table Games'!D13</f>
        <v>2972</v>
      </c>
      <c r="E14" s="8">
        <f>'Table Games'!E13</f>
        <v>0</v>
      </c>
      <c r="F14" s="8">
        <f>'Table Games'!F13</f>
        <v>0</v>
      </c>
      <c r="G14" s="8">
        <f>'Table Games'!G13</f>
        <v>0</v>
      </c>
      <c r="H14" s="8">
        <f>'Table Games'!H13</f>
        <v>7446</v>
      </c>
      <c r="I14" s="8">
        <f>'Table Games'!I13</f>
        <v>0</v>
      </c>
      <c r="J14" s="8">
        <f>'Table Games'!J13</f>
        <v>5606</v>
      </c>
      <c r="K14" s="8">
        <f>'Table Games'!K13</f>
        <v>213922.5</v>
      </c>
      <c r="L14" s="8">
        <f>Video!E11</f>
        <v>172193.7799999998</v>
      </c>
      <c r="M14" s="8">
        <f>'Table Games'!L13+Video!F11</f>
        <v>126166.5</v>
      </c>
      <c r="N14" s="8">
        <f>'Table Games'!M13+Video!G11</f>
        <v>39969.07</v>
      </c>
      <c r="O14" s="8">
        <f>Video!H11</f>
        <v>8093.11</v>
      </c>
      <c r="P14" s="8">
        <f>'Table Games'!N13+Video!I11</f>
        <v>211887.59999999998</v>
      </c>
    </row>
    <row r="15" spans="1:16" ht="15" customHeight="1" x14ac:dyDescent="0.25">
      <c r="A15" s="23">
        <f t="shared" si="0"/>
        <v>44058</v>
      </c>
      <c r="B15" s="8">
        <f>'Table Games'!B14</f>
        <v>200603.5</v>
      </c>
      <c r="C15" s="8">
        <f>'Table Games'!C14</f>
        <v>22425</v>
      </c>
      <c r="D15" s="8">
        <f>'Table Games'!D14</f>
        <v>845</v>
      </c>
      <c r="E15" s="8">
        <f>'Table Games'!E14</f>
        <v>-13896.25</v>
      </c>
      <c r="F15" s="8">
        <f>'Table Games'!F14</f>
        <v>0</v>
      </c>
      <c r="G15" s="8">
        <f>'Table Games'!G14</f>
        <v>0</v>
      </c>
      <c r="H15" s="8">
        <f>'Table Games'!H14</f>
        <v>9333</v>
      </c>
      <c r="I15" s="8">
        <f>'Table Games'!I14</f>
        <v>51293</v>
      </c>
      <c r="J15" s="8">
        <f>'Table Games'!J14</f>
        <v>5125</v>
      </c>
      <c r="K15" s="8">
        <f>'Table Games'!K14</f>
        <v>275728.25</v>
      </c>
      <c r="L15" s="8">
        <f>Video!E12</f>
        <v>106415.00000000023</v>
      </c>
      <c r="M15" s="8">
        <f>'Table Games'!L14+Video!F12</f>
        <v>121027.87</v>
      </c>
      <c r="N15" s="8">
        <f>'Table Games'!M14+Video!G12</f>
        <v>31876.959999999999</v>
      </c>
      <c r="O15" s="8">
        <f>Video!H12</f>
        <v>5001.51</v>
      </c>
      <c r="P15" s="8">
        <f>'Table Games'!N14+Video!I12</f>
        <v>224236.90999999997</v>
      </c>
    </row>
    <row r="16" spans="1:16" ht="15" customHeight="1" x14ac:dyDescent="0.25">
      <c r="A16" s="23">
        <f t="shared" si="0"/>
        <v>44065</v>
      </c>
      <c r="B16" s="8">
        <f>'Table Games'!B15</f>
        <v>1369.5</v>
      </c>
      <c r="C16" s="8">
        <f>'Table Games'!C15</f>
        <v>9669</v>
      </c>
      <c r="D16" s="8">
        <f>'Table Games'!D15</f>
        <v>55</v>
      </c>
      <c r="E16" s="8">
        <f>'Table Games'!E15</f>
        <v>14603.75</v>
      </c>
      <c r="F16" s="8">
        <f>'Table Games'!F15</f>
        <v>0</v>
      </c>
      <c r="G16" s="8">
        <f>'Table Games'!G15</f>
        <v>0</v>
      </c>
      <c r="H16" s="8">
        <f>'Table Games'!H15</f>
        <v>36341</v>
      </c>
      <c r="I16" s="8">
        <f>'Table Games'!I15</f>
        <v>7052</v>
      </c>
      <c r="J16" s="8">
        <f>'Table Games'!J15</f>
        <v>5217</v>
      </c>
      <c r="K16" s="8">
        <f>'Table Games'!K15</f>
        <v>74307.25</v>
      </c>
      <c r="L16" s="8">
        <f>Video!E13</f>
        <v>108329.51000000001</v>
      </c>
      <c r="M16" s="8">
        <f>'Table Games'!L15+Video!F13</f>
        <v>61290.810000000005</v>
      </c>
      <c r="N16" s="8">
        <f>'Table Games'!M15+Video!G13</f>
        <v>22131.370000000003</v>
      </c>
      <c r="O16" s="8">
        <f>Video!H13</f>
        <v>5091.4799999999996</v>
      </c>
      <c r="P16" s="8">
        <f>'Table Games'!N15+Video!I13</f>
        <v>94123.1</v>
      </c>
    </row>
    <row r="17" spans="1:16" ht="15" customHeight="1" x14ac:dyDescent="0.25">
      <c r="A17" s="23">
        <f t="shared" si="0"/>
        <v>44072</v>
      </c>
      <c r="B17" s="8">
        <f>'Table Games'!B16</f>
        <v>278634.5</v>
      </c>
      <c r="C17" s="8">
        <f>'Table Games'!C16</f>
        <v>30960</v>
      </c>
      <c r="D17" s="8">
        <f>'Table Games'!D16</f>
        <v>2604</v>
      </c>
      <c r="E17" s="8">
        <f>'Table Games'!E16</f>
        <v>0</v>
      </c>
      <c r="F17" s="8">
        <f>'Table Games'!F16</f>
        <v>0</v>
      </c>
      <c r="G17" s="8">
        <f>'Table Games'!G16</f>
        <v>0</v>
      </c>
      <c r="H17" s="8">
        <f>'Table Games'!H16</f>
        <v>21815</v>
      </c>
      <c r="I17" s="8">
        <f>'Table Games'!I16</f>
        <v>0</v>
      </c>
      <c r="J17" s="8">
        <f>'Table Games'!J16</f>
        <v>-10564</v>
      </c>
      <c r="K17" s="8">
        <f>'Table Games'!K16</f>
        <v>323449.5</v>
      </c>
      <c r="L17" s="8">
        <f>Video!E14</f>
        <v>181785.91999999969</v>
      </c>
      <c r="M17" s="8">
        <f>'Table Games'!L16+Video!F14</f>
        <v>162477.76000000001</v>
      </c>
      <c r="N17" s="8">
        <f>'Table Games'!M16+Video!G14</f>
        <v>47076.1</v>
      </c>
      <c r="O17" s="8">
        <f>Video!H14</f>
        <v>8543.94</v>
      </c>
      <c r="P17" s="8">
        <f>'Table Games'!N16+Video!I14</f>
        <v>287137.62</v>
      </c>
    </row>
    <row r="18" spans="1:16" ht="15" customHeight="1" x14ac:dyDescent="0.25">
      <c r="A18" s="23">
        <f t="shared" si="0"/>
        <v>44079</v>
      </c>
      <c r="B18" s="8">
        <f>'Table Games'!B17</f>
        <v>125286.5</v>
      </c>
      <c r="C18" s="8">
        <f>'Table Games'!C17</f>
        <v>-23560</v>
      </c>
      <c r="D18" s="8">
        <f>'Table Games'!D17</f>
        <v>1700</v>
      </c>
      <c r="E18" s="8">
        <f>'Table Games'!E17</f>
        <v>0</v>
      </c>
      <c r="F18" s="8">
        <f>'Table Games'!F17</f>
        <v>0</v>
      </c>
      <c r="G18" s="8">
        <f>'Table Games'!G17</f>
        <v>0</v>
      </c>
      <c r="H18" s="8">
        <f>'Table Games'!H17</f>
        <v>-9735</v>
      </c>
      <c r="I18" s="8">
        <f>'Table Games'!I17</f>
        <v>2970</v>
      </c>
      <c r="J18" s="8">
        <f>'Table Games'!J17</f>
        <v>10637</v>
      </c>
      <c r="K18" s="8">
        <f>'Table Games'!K17</f>
        <v>107298.5</v>
      </c>
      <c r="L18" s="8">
        <f>Video!E15</f>
        <v>83043.339999999851</v>
      </c>
      <c r="M18" s="8">
        <f>'Table Games'!L17+Video!F15</f>
        <v>62085.13</v>
      </c>
      <c r="N18" s="8">
        <f>'Table Games'!M17+Video!G15</f>
        <v>19482.300000000003</v>
      </c>
      <c r="O18" s="8">
        <f>Video!H15</f>
        <v>3903.05</v>
      </c>
      <c r="P18" s="8">
        <f>'Table Games'!N17+Video!I15</f>
        <v>104871.36000000002</v>
      </c>
    </row>
    <row r="19" spans="1:16" ht="15" customHeight="1" x14ac:dyDescent="0.25">
      <c r="A19" s="23">
        <f t="shared" si="0"/>
        <v>44086</v>
      </c>
      <c r="B19" s="8">
        <f>'Table Games'!B18</f>
        <v>-344279</v>
      </c>
      <c r="C19" s="8">
        <f>'Table Games'!C18</f>
        <v>10313</v>
      </c>
      <c r="D19" s="8">
        <f>'Table Games'!D18</f>
        <v>-4547</v>
      </c>
      <c r="E19" s="8">
        <f>'Table Games'!E18</f>
        <v>0</v>
      </c>
      <c r="F19" s="8">
        <f>'Table Games'!F18</f>
        <v>0</v>
      </c>
      <c r="G19" s="8">
        <f>'Table Games'!G18</f>
        <v>0</v>
      </c>
      <c r="H19" s="8">
        <f>'Table Games'!H18</f>
        <v>36072</v>
      </c>
      <c r="I19" s="8">
        <f>'Table Games'!I18</f>
        <v>-31930</v>
      </c>
      <c r="J19" s="8">
        <f>'Table Games'!J18</f>
        <v>3094</v>
      </c>
      <c r="K19" s="8">
        <f>'Table Games'!K18</f>
        <v>-331277</v>
      </c>
      <c r="L19" s="8">
        <f>Video!E16</f>
        <v>97231.819999999832</v>
      </c>
      <c r="M19" s="8">
        <f>'Table Games'!L18+Video!F16</f>
        <v>-64379.630000000005</v>
      </c>
      <c r="N19" s="8">
        <f>'Table Games'!M18+Video!G16</f>
        <v>-34.44999999999709</v>
      </c>
      <c r="O19" s="8">
        <f>Video!H16</f>
        <v>4569.8899999999994</v>
      </c>
      <c r="P19" s="8">
        <f>'Table Games'!N18+Video!I16</f>
        <v>-174200.99</v>
      </c>
    </row>
    <row r="20" spans="1:16" ht="15" customHeight="1" x14ac:dyDescent="0.25">
      <c r="A20" s="23">
        <f t="shared" si="0"/>
        <v>44093</v>
      </c>
      <c r="B20" s="8">
        <f>'Table Games'!B19</f>
        <v>86103.5</v>
      </c>
      <c r="C20" s="8">
        <f>'Table Games'!C19</f>
        <v>-26421</v>
      </c>
      <c r="D20" s="8">
        <f>'Table Games'!D19</f>
        <v>70</v>
      </c>
      <c r="E20" s="8">
        <f>'Table Games'!E19</f>
        <v>0</v>
      </c>
      <c r="F20" s="8">
        <f>'Table Games'!F19</f>
        <v>0</v>
      </c>
      <c r="G20" s="8">
        <f>'Table Games'!G19</f>
        <v>0</v>
      </c>
      <c r="H20" s="8">
        <f>'Table Games'!H19</f>
        <v>16707</v>
      </c>
      <c r="I20" s="8">
        <f>'Table Games'!I19</f>
        <v>0</v>
      </c>
      <c r="J20" s="8">
        <f>'Table Games'!J19</f>
        <v>18883</v>
      </c>
      <c r="K20" s="8">
        <f>'Table Games'!K19</f>
        <v>95342.5</v>
      </c>
      <c r="L20" s="8">
        <f>Video!E17</f>
        <v>48553.850000000326</v>
      </c>
      <c r="M20" s="8">
        <f>'Table Games'!L19+Video!F17</f>
        <v>46082.14</v>
      </c>
      <c r="N20" s="8">
        <f>'Table Games'!M19+Video!G17</f>
        <v>13021.29</v>
      </c>
      <c r="O20" s="8">
        <f>Video!H17</f>
        <v>2282.0300000000002</v>
      </c>
      <c r="P20" s="8">
        <f>'Table Games'!N19+Video!I17</f>
        <v>82510.89</v>
      </c>
    </row>
    <row r="21" spans="1:16" ht="15" customHeight="1" x14ac:dyDescent="0.25">
      <c r="A21" s="23">
        <f t="shared" si="0"/>
        <v>44100</v>
      </c>
      <c r="B21" s="8">
        <f>'Table Games'!B20</f>
        <v>224933.5</v>
      </c>
      <c r="C21" s="8">
        <f>'Table Games'!C20</f>
        <v>-177826</v>
      </c>
      <c r="D21" s="8">
        <f>'Table Games'!D20</f>
        <v>541</v>
      </c>
      <c r="E21" s="8">
        <f>'Table Games'!E20</f>
        <v>0</v>
      </c>
      <c r="F21" s="8">
        <f>'Table Games'!F20</f>
        <v>0</v>
      </c>
      <c r="G21" s="8">
        <f>'Table Games'!G20</f>
        <v>0</v>
      </c>
      <c r="H21" s="8">
        <f>'Table Games'!H20</f>
        <v>-36787</v>
      </c>
      <c r="I21" s="8">
        <f>'Table Games'!I20</f>
        <v>-47999</v>
      </c>
      <c r="J21" s="8">
        <f>'Table Games'!J20</f>
        <v>3820</v>
      </c>
      <c r="K21" s="8">
        <f>'Table Games'!K20</f>
        <v>-33317.5</v>
      </c>
      <c r="L21" s="8">
        <f>Video!E18</f>
        <v>258151.64000000013</v>
      </c>
      <c r="M21" s="8">
        <f>'Table Games'!L20+Video!F18</f>
        <v>82939.349999999991</v>
      </c>
      <c r="N21" s="8">
        <f>'Table Games'!M20+Video!G18</f>
        <v>42219.9</v>
      </c>
      <c r="O21" s="8">
        <f>Video!H18</f>
        <v>12133.13</v>
      </c>
      <c r="P21" s="8">
        <f>'Table Games'!N20+Video!I18</f>
        <v>87541.760000000009</v>
      </c>
    </row>
    <row r="22" spans="1:16" ht="15" customHeight="1" x14ac:dyDescent="0.25">
      <c r="A22" s="23">
        <f t="shared" si="0"/>
        <v>44107</v>
      </c>
      <c r="B22" s="8">
        <f>'Table Games'!B21</f>
        <v>120188.5</v>
      </c>
      <c r="C22" s="8">
        <f>'Table Games'!C21</f>
        <v>28894</v>
      </c>
      <c r="D22" s="8">
        <f>'Table Games'!D21</f>
        <v>355</v>
      </c>
      <c r="E22" s="8">
        <f>'Table Games'!E21</f>
        <v>5798.75</v>
      </c>
      <c r="F22" s="8">
        <f>'Table Games'!F21</f>
        <v>0</v>
      </c>
      <c r="G22" s="8">
        <f>'Table Games'!G21</f>
        <v>0</v>
      </c>
      <c r="H22" s="8">
        <f>'Table Games'!H21</f>
        <v>-46252</v>
      </c>
      <c r="I22" s="8">
        <f>'Table Games'!I21</f>
        <v>0</v>
      </c>
      <c r="J22" s="8">
        <f>'Table Games'!J21</f>
        <v>23567</v>
      </c>
      <c r="K22" s="8">
        <f>'Table Games'!K21</f>
        <v>132551.25</v>
      </c>
      <c r="L22" s="8">
        <f>Video!E19</f>
        <v>9884.0100000000093</v>
      </c>
      <c r="M22" s="8">
        <f>'Table Games'!L21+Video!F19</f>
        <v>43323.6</v>
      </c>
      <c r="N22" s="8">
        <f>'Table Games'!M21+Video!G19</f>
        <v>8307.85</v>
      </c>
      <c r="O22" s="8">
        <f>Video!H19</f>
        <v>464.55</v>
      </c>
      <c r="P22" s="8">
        <f>'Table Games'!N21+Video!I19</f>
        <v>90339.26</v>
      </c>
    </row>
    <row r="23" spans="1:16" ht="15" customHeight="1" x14ac:dyDescent="0.25">
      <c r="A23" s="23">
        <f t="shared" si="0"/>
        <v>44114</v>
      </c>
      <c r="B23" s="8">
        <f>'Table Games'!B22</f>
        <v>133238.5</v>
      </c>
      <c r="C23" s="8">
        <f>'Table Games'!C22</f>
        <v>14716</v>
      </c>
      <c r="D23" s="8">
        <f>'Table Games'!D22</f>
        <v>-420</v>
      </c>
      <c r="E23" s="8">
        <f>'Table Games'!E22</f>
        <v>0</v>
      </c>
      <c r="F23" s="8">
        <f>'Table Games'!F22</f>
        <v>0</v>
      </c>
      <c r="G23" s="8">
        <f>'Table Games'!G22</f>
        <v>0</v>
      </c>
      <c r="H23" s="8">
        <f>'Table Games'!H22</f>
        <v>5043</v>
      </c>
      <c r="I23" s="8">
        <f>'Table Games'!I22</f>
        <v>0</v>
      </c>
      <c r="J23" s="8">
        <f>'Table Games'!J22</f>
        <v>8005</v>
      </c>
      <c r="K23" s="8">
        <f>'Table Games'!K22</f>
        <v>160582.5</v>
      </c>
      <c r="L23" s="8">
        <f>Video!E20</f>
        <v>49655.970000000205</v>
      </c>
      <c r="M23" s="8">
        <f>'Table Games'!L22+Video!F20</f>
        <v>66050.880000000005</v>
      </c>
      <c r="N23" s="8">
        <f>'Table Games'!M22+Video!G20</f>
        <v>16470.650000000001</v>
      </c>
      <c r="O23" s="8">
        <f>Video!H20</f>
        <v>2333.83</v>
      </c>
      <c r="P23" s="8">
        <f>'Table Games'!N22+Video!I20</f>
        <v>125383.11000000002</v>
      </c>
    </row>
    <row r="24" spans="1:16" ht="15" customHeight="1" x14ac:dyDescent="0.25">
      <c r="A24" s="23">
        <f t="shared" si="0"/>
        <v>44121</v>
      </c>
      <c r="B24" s="8">
        <f>'Table Games'!B23</f>
        <v>62853</v>
      </c>
      <c r="C24" s="8">
        <f>'Table Games'!C23</f>
        <v>12019</v>
      </c>
      <c r="D24" s="8">
        <f>'Table Games'!D23</f>
        <v>-165</v>
      </c>
      <c r="E24" s="8">
        <f>'Table Games'!E23</f>
        <v>0</v>
      </c>
      <c r="F24" s="8">
        <f>'Table Games'!F23</f>
        <v>0</v>
      </c>
      <c r="G24" s="8">
        <f>'Table Games'!G23</f>
        <v>0</v>
      </c>
      <c r="H24" s="8">
        <f>'Table Games'!H23</f>
        <v>18214</v>
      </c>
      <c r="I24" s="8">
        <f>'Table Games'!I23</f>
        <v>0</v>
      </c>
      <c r="J24" s="8">
        <f>'Table Games'!J23</f>
        <v>3027</v>
      </c>
      <c r="K24" s="8">
        <f>'Table Games'!K23</f>
        <v>95948</v>
      </c>
      <c r="L24" s="8">
        <f>Video!E21</f>
        <v>64707.300000000279</v>
      </c>
      <c r="M24" s="8">
        <f>'Table Games'!L23+Video!F21</f>
        <v>52079.020000000004</v>
      </c>
      <c r="N24" s="8">
        <f>'Table Games'!M23+Video!G21</f>
        <v>15797.64</v>
      </c>
      <c r="O24" s="8">
        <f>Video!H21</f>
        <v>3041.2599999999998</v>
      </c>
      <c r="P24" s="8">
        <f>'Table Games'!N23+Video!I21</f>
        <v>89737.38</v>
      </c>
    </row>
    <row r="25" spans="1:16" ht="15" customHeight="1" x14ac:dyDescent="0.25">
      <c r="A25" s="23">
        <f t="shared" si="0"/>
        <v>44128</v>
      </c>
      <c r="B25" s="8">
        <f>'Table Games'!B24</f>
        <v>140702</v>
      </c>
      <c r="C25" s="8">
        <f>'Table Games'!C24</f>
        <v>18735</v>
      </c>
      <c r="D25" s="8">
        <f>'Table Games'!D24</f>
        <v>0</v>
      </c>
      <c r="E25" s="8">
        <f>'Table Games'!E24</f>
        <v>-585</v>
      </c>
      <c r="F25" s="8">
        <f>'Table Games'!F24</f>
        <v>0</v>
      </c>
      <c r="G25" s="8">
        <f>'Table Games'!G24</f>
        <v>0</v>
      </c>
      <c r="H25" s="8">
        <f>'Table Games'!H24</f>
        <v>-70</v>
      </c>
      <c r="I25" s="8">
        <f>'Table Games'!I24</f>
        <v>600</v>
      </c>
      <c r="J25" s="8">
        <f>'Table Games'!J24</f>
        <v>4754</v>
      </c>
      <c r="K25" s="8">
        <f>'Table Games'!K24</f>
        <v>164136</v>
      </c>
      <c r="L25" s="8">
        <f>Video!E22</f>
        <v>125023.42000000016</v>
      </c>
      <c r="M25" s="8">
        <f>'Table Games'!L24+Video!F22</f>
        <v>94249.23000000001</v>
      </c>
      <c r="N25" s="8">
        <f>'Table Games'!M24+Video!G22</f>
        <v>29460.78</v>
      </c>
      <c r="O25" s="8">
        <f>Video!H22</f>
        <v>5876.1</v>
      </c>
      <c r="P25" s="8">
        <f>'Table Games'!N24+Video!I22</f>
        <v>159573.31</v>
      </c>
    </row>
    <row r="26" spans="1:16" ht="15" customHeight="1" x14ac:dyDescent="0.25">
      <c r="A26" s="23">
        <f t="shared" si="0"/>
        <v>44135</v>
      </c>
      <c r="B26" s="8">
        <f>'Table Games'!B25</f>
        <v>21807</v>
      </c>
      <c r="C26" s="8">
        <f>'Table Games'!C25</f>
        <v>25214</v>
      </c>
      <c r="D26" s="8">
        <f>'Table Games'!D25</f>
        <v>-1060</v>
      </c>
      <c r="E26" s="8">
        <f>'Table Games'!E25</f>
        <v>0</v>
      </c>
      <c r="F26" s="8">
        <f>'Table Games'!F25</f>
        <v>0</v>
      </c>
      <c r="G26" s="8">
        <f>'Table Games'!G25</f>
        <v>0</v>
      </c>
      <c r="H26" s="8">
        <f>'Table Games'!H25</f>
        <v>-23600</v>
      </c>
      <c r="I26" s="8">
        <f>'Table Games'!I25</f>
        <v>0</v>
      </c>
      <c r="J26" s="8">
        <f>'Table Games'!J25</f>
        <v>8518</v>
      </c>
      <c r="K26" s="8">
        <f>'Table Games'!K25</f>
        <v>30879</v>
      </c>
      <c r="L26" s="8">
        <f>Video!E23</f>
        <v>115787.09999999986</v>
      </c>
      <c r="M26" s="8">
        <f>'Table Games'!L25+Video!F23</f>
        <v>50947.040000000008</v>
      </c>
      <c r="N26" s="8">
        <f>'Table Games'!M25+Video!G23</f>
        <v>21227.77</v>
      </c>
      <c r="O26" s="8">
        <f>Video!H23</f>
        <v>5442</v>
      </c>
      <c r="P26" s="8">
        <f>'Table Games'!N25+Video!I23</f>
        <v>69049.290000000008</v>
      </c>
    </row>
    <row r="27" spans="1:16" ht="15" customHeight="1" x14ac:dyDescent="0.25">
      <c r="A27" s="23">
        <f t="shared" si="0"/>
        <v>44142</v>
      </c>
      <c r="B27" s="8">
        <f>'Table Games'!B26</f>
        <v>-24985</v>
      </c>
      <c r="C27" s="8">
        <f>'Table Games'!C26</f>
        <v>8472</v>
      </c>
      <c r="D27" s="8">
        <f>'Table Games'!D26</f>
        <v>275</v>
      </c>
      <c r="E27" s="8">
        <f>'Table Games'!E26</f>
        <v>0</v>
      </c>
      <c r="F27" s="8">
        <f>'Table Games'!F26</f>
        <v>0</v>
      </c>
      <c r="G27" s="8">
        <f>'Table Games'!G26</f>
        <v>0</v>
      </c>
      <c r="H27" s="8">
        <f>'Table Games'!H26</f>
        <v>-15320</v>
      </c>
      <c r="I27" s="8">
        <f>'Table Games'!I26</f>
        <v>200</v>
      </c>
      <c r="J27" s="8">
        <f>'Table Games'!J26</f>
        <v>7497</v>
      </c>
      <c r="K27" s="8">
        <f>'Table Games'!K26</f>
        <v>-23861</v>
      </c>
      <c r="L27" s="8">
        <f>Video!E24</f>
        <v>68147.100000000093</v>
      </c>
      <c r="M27" s="8">
        <f>'Table Games'!L26+Video!F24</f>
        <v>17374.66</v>
      </c>
      <c r="N27" s="8">
        <f>'Table Games'!M26+Video!G24</f>
        <v>10391.960000000001</v>
      </c>
      <c r="O27" s="8">
        <f>Video!H24</f>
        <v>3202.91</v>
      </c>
      <c r="P27" s="8">
        <f>'Table Games'!N26+Video!I24</f>
        <v>13316.570000000002</v>
      </c>
    </row>
    <row r="28" spans="1:16" ht="15" customHeight="1" x14ac:dyDescent="0.25">
      <c r="A28" s="23">
        <f t="shared" si="0"/>
        <v>44149</v>
      </c>
      <c r="B28" s="8">
        <f>'Table Games'!B27</f>
        <v>185654</v>
      </c>
      <c r="C28" s="8">
        <f>'Table Games'!C27</f>
        <v>53970</v>
      </c>
      <c r="D28" s="8">
        <f>'Table Games'!D27</f>
        <v>300</v>
      </c>
      <c r="E28" s="8">
        <f>'Table Games'!E27</f>
        <v>0</v>
      </c>
      <c r="F28" s="8">
        <f>'Table Games'!F27</f>
        <v>0</v>
      </c>
      <c r="G28" s="8">
        <f>'Table Games'!G27</f>
        <v>0</v>
      </c>
      <c r="H28" s="8">
        <f>'Table Games'!H27</f>
        <v>10001</v>
      </c>
      <c r="I28" s="8">
        <f>'Table Games'!I27</f>
        <v>2280</v>
      </c>
      <c r="J28" s="8">
        <f>'Table Games'!J27</f>
        <v>2721</v>
      </c>
      <c r="K28" s="8">
        <f>'Table Games'!K27</f>
        <v>254926</v>
      </c>
      <c r="L28" s="8">
        <f>Video!E25</f>
        <v>109280.52000000002</v>
      </c>
      <c r="M28" s="8">
        <f>'Table Games'!L27+Video!F25</f>
        <v>115818.81</v>
      </c>
      <c r="N28" s="8">
        <f>'Table Games'!M27+Video!G25</f>
        <v>31323.989999999998</v>
      </c>
      <c r="O28" s="8">
        <f>Video!H25</f>
        <v>5136.17</v>
      </c>
      <c r="P28" s="8">
        <f>'Table Games'!N27+Video!I25</f>
        <v>211927.55</v>
      </c>
    </row>
    <row r="29" spans="1:16" ht="15" customHeight="1" x14ac:dyDescent="0.25">
      <c r="A29" s="23">
        <f t="shared" ref="A29:A49" si="1">A28+7</f>
        <v>44156</v>
      </c>
      <c r="B29" s="8">
        <f>'Table Games'!B28</f>
        <v>-25117</v>
      </c>
      <c r="C29" s="8">
        <f>'Table Games'!C28</f>
        <v>85738</v>
      </c>
      <c r="D29" s="8">
        <f>'Table Games'!D28</f>
        <v>390</v>
      </c>
      <c r="E29" s="8">
        <f>'Table Games'!E28</f>
        <v>0</v>
      </c>
      <c r="F29" s="8">
        <f>'Table Games'!F28</f>
        <v>0</v>
      </c>
      <c r="G29" s="8">
        <f>'Table Games'!G28</f>
        <v>0</v>
      </c>
      <c r="H29" s="8">
        <f>'Table Games'!H28</f>
        <v>29879</v>
      </c>
      <c r="I29" s="8">
        <f>'Table Games'!I28</f>
        <v>-465</v>
      </c>
      <c r="J29" s="8">
        <f>'Table Games'!J28</f>
        <v>4315</v>
      </c>
      <c r="K29" s="8">
        <f>'Table Games'!K28</f>
        <v>94740</v>
      </c>
      <c r="L29" s="8">
        <f>Video!E26</f>
        <v>67489.550000000163</v>
      </c>
      <c r="M29" s="8">
        <f>'Table Games'!L28+Video!F26</f>
        <v>52718.25</v>
      </c>
      <c r="N29" s="8">
        <f>'Table Games'!M28+Video!G26</f>
        <v>16210.22</v>
      </c>
      <c r="O29" s="8">
        <f>Video!H26</f>
        <v>3172</v>
      </c>
      <c r="P29" s="8">
        <f>'Table Games'!N28+Video!I26</f>
        <v>90129.08</v>
      </c>
    </row>
    <row r="30" spans="1:16" ht="15" customHeight="1" x14ac:dyDescent="0.25">
      <c r="A30" s="23">
        <f t="shared" si="1"/>
        <v>44163</v>
      </c>
      <c r="B30" s="8">
        <f>'Table Games'!B29</f>
        <v>155765.5</v>
      </c>
      <c r="C30" s="8">
        <f>'Table Games'!C29</f>
        <v>16832</v>
      </c>
      <c r="D30" s="8">
        <f>'Table Games'!D29</f>
        <v>50</v>
      </c>
      <c r="E30" s="8">
        <f>'Table Games'!E29</f>
        <v>0</v>
      </c>
      <c r="F30" s="8">
        <f>'Table Games'!F29</f>
        <v>0</v>
      </c>
      <c r="G30" s="8">
        <f>'Table Games'!G29</f>
        <v>0</v>
      </c>
      <c r="H30" s="8">
        <f>'Table Games'!H29</f>
        <v>-9439</v>
      </c>
      <c r="I30" s="8">
        <f>'Table Games'!I29</f>
        <v>-3995</v>
      </c>
      <c r="J30" s="8">
        <f>'Table Games'!J29</f>
        <v>6390</v>
      </c>
      <c r="K30" s="8">
        <f>'Table Games'!K29</f>
        <v>165603.5</v>
      </c>
      <c r="L30" s="8">
        <f>Video!E27</f>
        <v>159747.53000000003</v>
      </c>
      <c r="M30" s="8">
        <f>'Table Games'!L29+Video!F27</f>
        <v>107190.16</v>
      </c>
      <c r="N30" s="8">
        <f>'Table Games'!M29+Video!G27</f>
        <v>35437.26</v>
      </c>
      <c r="O30" s="8">
        <f>Video!H27</f>
        <v>7508.13</v>
      </c>
      <c r="P30" s="8">
        <f>'Table Games'!N29+Video!I27</f>
        <v>175215.48</v>
      </c>
    </row>
    <row r="31" spans="1:16" ht="15" customHeight="1" x14ac:dyDescent="0.25">
      <c r="A31" s="23">
        <f t="shared" si="1"/>
        <v>44170</v>
      </c>
      <c r="B31" s="8">
        <f>'Table Games'!B30</f>
        <v>71808.5</v>
      </c>
      <c r="C31" s="8">
        <f>'Table Games'!C30</f>
        <v>29296</v>
      </c>
      <c r="D31" s="8">
        <f>'Table Games'!D30</f>
        <v>-245</v>
      </c>
      <c r="E31" s="8">
        <f>'Table Games'!E30</f>
        <v>0</v>
      </c>
      <c r="F31" s="8">
        <f>'Table Games'!F30</f>
        <v>0</v>
      </c>
      <c r="G31" s="8">
        <f>'Table Games'!G30</f>
        <v>0</v>
      </c>
      <c r="H31" s="8">
        <f>'Table Games'!H30</f>
        <v>13601</v>
      </c>
      <c r="I31" s="8">
        <f>'Table Games'!I30</f>
        <v>-11745</v>
      </c>
      <c r="J31" s="8">
        <f>'Table Games'!J30</f>
        <v>7439</v>
      </c>
      <c r="K31" s="8">
        <f>'Table Games'!K30</f>
        <v>110154.5</v>
      </c>
      <c r="L31" s="8">
        <f>Video!E28</f>
        <v>81984.530000000028</v>
      </c>
      <c r="M31" s="8">
        <f>'Table Games'!L30+Video!F28</f>
        <v>62560.78</v>
      </c>
      <c r="N31" s="8">
        <f>'Table Games'!M30+Video!G28</f>
        <v>19445.099999999999</v>
      </c>
      <c r="O31" s="8">
        <f>Video!H28</f>
        <v>3853.27</v>
      </c>
      <c r="P31" s="8">
        <f>'Table Games'!N30+Video!I28</f>
        <v>106279.88</v>
      </c>
    </row>
    <row r="32" spans="1:16" ht="15" customHeight="1" x14ac:dyDescent="0.25">
      <c r="A32" s="23">
        <f t="shared" si="1"/>
        <v>44177</v>
      </c>
      <c r="B32" s="8">
        <f>'Table Games'!B31</f>
        <v>-20288</v>
      </c>
      <c r="C32" s="8">
        <f>'Table Games'!C31</f>
        <v>33015</v>
      </c>
      <c r="D32" s="8">
        <f>'Table Games'!D31</f>
        <v>460</v>
      </c>
      <c r="E32" s="8">
        <f>'Table Games'!E31</f>
        <v>0</v>
      </c>
      <c r="F32" s="8">
        <f>'Table Games'!F31</f>
        <v>0</v>
      </c>
      <c r="G32" s="8">
        <f>'Table Games'!G31</f>
        <v>0</v>
      </c>
      <c r="H32" s="8">
        <f>'Table Games'!H31</f>
        <v>17603</v>
      </c>
      <c r="I32" s="8">
        <f>'Table Games'!I31</f>
        <v>0</v>
      </c>
      <c r="J32" s="8">
        <f>'Table Games'!J31</f>
        <v>7128</v>
      </c>
      <c r="K32" s="8">
        <f>'Table Games'!K31</f>
        <v>37918</v>
      </c>
      <c r="L32" s="8">
        <f>Video!E29</f>
        <v>47704.590000000317</v>
      </c>
      <c r="M32" s="8">
        <f>'Table Games'!L31+Video!F29</f>
        <v>28549.059999999998</v>
      </c>
      <c r="N32" s="8">
        <f>'Table Games'!M31+Video!G29</f>
        <v>10005.68</v>
      </c>
      <c r="O32" s="8">
        <f>Video!H29</f>
        <v>2242.1099999999997</v>
      </c>
      <c r="P32" s="8">
        <f>'Table Games'!N31+Video!I29</f>
        <v>44825.740000000005</v>
      </c>
    </row>
    <row r="33" spans="1:16" ht="15" customHeight="1" x14ac:dyDescent="0.25">
      <c r="A33" s="23">
        <f t="shared" si="1"/>
        <v>44184</v>
      </c>
      <c r="B33" s="8">
        <f>'Table Games'!B32</f>
        <v>87005.5</v>
      </c>
      <c r="C33" s="8">
        <f>'Table Games'!C32</f>
        <v>10478</v>
      </c>
      <c r="D33" s="8">
        <f>'Table Games'!D32</f>
        <v>0</v>
      </c>
      <c r="E33" s="8">
        <f>'Table Games'!E32</f>
        <v>0</v>
      </c>
      <c r="F33" s="8">
        <f>'Table Games'!F32</f>
        <v>0</v>
      </c>
      <c r="G33" s="8">
        <f>'Table Games'!G32</f>
        <v>0</v>
      </c>
      <c r="H33" s="8">
        <f>'Table Games'!H32</f>
        <v>-4789</v>
      </c>
      <c r="I33" s="8">
        <f>'Table Games'!I32</f>
        <v>-21607</v>
      </c>
      <c r="J33" s="8">
        <f>'Table Games'!J32</f>
        <v>8086</v>
      </c>
      <c r="K33" s="8">
        <f>'Table Games'!K32</f>
        <v>79173.5</v>
      </c>
      <c r="L33" s="8">
        <f>Video!E30</f>
        <v>115238.60999999987</v>
      </c>
      <c r="M33" s="8">
        <f>'Table Games'!L32+Video!F30</f>
        <v>65237.95</v>
      </c>
      <c r="N33" s="8">
        <f>'Table Games'!M32+Video!G30</f>
        <v>23549.25</v>
      </c>
      <c r="O33" s="8">
        <f>Video!H30</f>
        <v>5416.22</v>
      </c>
      <c r="P33" s="8">
        <f>'Table Games'!N32+Video!I30</f>
        <v>100208.69</v>
      </c>
    </row>
    <row r="34" spans="1:16" ht="15" customHeight="1" x14ac:dyDescent="0.25">
      <c r="A34" s="23">
        <f t="shared" si="1"/>
        <v>44191</v>
      </c>
      <c r="B34" s="8">
        <f>'Table Games'!B33</f>
        <v>121123</v>
      </c>
      <c r="C34" s="8">
        <f>'Table Games'!C33</f>
        <v>104154</v>
      </c>
      <c r="D34" s="8">
        <f>'Table Games'!D33</f>
        <v>0</v>
      </c>
      <c r="E34" s="8">
        <f>'Table Games'!E33</f>
        <v>0</v>
      </c>
      <c r="F34" s="8">
        <f>'Table Games'!F33</f>
        <v>0</v>
      </c>
      <c r="G34" s="8">
        <f>'Table Games'!G33</f>
        <v>0</v>
      </c>
      <c r="H34" s="8">
        <f>'Table Games'!H33</f>
        <v>18173</v>
      </c>
      <c r="I34" s="8">
        <f>'Table Games'!I33</f>
        <v>-12945</v>
      </c>
      <c r="J34" s="8">
        <f>'Table Games'!J33</f>
        <v>11373</v>
      </c>
      <c r="K34" s="8">
        <f>'Table Games'!K33</f>
        <v>241878</v>
      </c>
      <c r="L34" s="8">
        <f>Video!E31</f>
        <v>96885.289999999804</v>
      </c>
      <c r="M34" s="8">
        <f>'Table Games'!L33+Video!F31</f>
        <v>107442.10999999999</v>
      </c>
      <c r="N34" s="8">
        <f>'Table Games'!M33+Video!G31</f>
        <v>28564.400000000001</v>
      </c>
      <c r="O34" s="8">
        <f>Video!H31</f>
        <v>4553.5999999999995</v>
      </c>
      <c r="P34" s="8">
        <f>'Table Games'!N33+Video!I31</f>
        <v>198203.18000000002</v>
      </c>
    </row>
    <row r="35" spans="1:16" ht="15" customHeight="1" x14ac:dyDescent="0.25">
      <c r="A35" s="23">
        <f t="shared" si="1"/>
        <v>44198</v>
      </c>
      <c r="B35" s="8">
        <f>'Table Games'!B34</f>
        <v>38576</v>
      </c>
      <c r="C35" s="8">
        <f>'Table Games'!C34</f>
        <v>30355</v>
      </c>
      <c r="D35" s="8">
        <f>'Table Games'!D34</f>
        <v>-480</v>
      </c>
      <c r="E35" s="8">
        <f>'Table Games'!E34</f>
        <v>66680</v>
      </c>
      <c r="F35" s="8">
        <f>'Table Games'!F34</f>
        <v>0</v>
      </c>
      <c r="G35" s="8">
        <f>'Table Games'!G34</f>
        <v>0</v>
      </c>
      <c r="H35" s="8">
        <f>'Table Games'!H34</f>
        <v>33200</v>
      </c>
      <c r="I35" s="8">
        <f>'Table Games'!I34</f>
        <v>36024</v>
      </c>
      <c r="J35" s="8">
        <f>'Table Games'!J34</f>
        <v>7408</v>
      </c>
      <c r="K35" s="8">
        <f>'Table Games'!K34</f>
        <v>211763</v>
      </c>
      <c r="L35" s="8">
        <f>Video!E32</f>
        <v>253398.43000000017</v>
      </c>
      <c r="M35" s="8">
        <f>'Table Games'!L34+Video!F32</f>
        <v>154752.35999999999</v>
      </c>
      <c r="N35" s="8">
        <f>'Table Games'!M34+Video!G32</f>
        <v>53665.880000000005</v>
      </c>
      <c r="O35" s="8">
        <f>Video!H32</f>
        <v>11909.71</v>
      </c>
      <c r="P35" s="8">
        <f>'Table Games'!N34+Video!I32</f>
        <v>244833.48</v>
      </c>
    </row>
    <row r="36" spans="1:16" ht="15" customHeight="1" x14ac:dyDescent="0.25">
      <c r="A36" s="23">
        <f t="shared" si="1"/>
        <v>44205</v>
      </c>
      <c r="B36" s="8">
        <f>'Table Games'!B35</f>
        <v>85801</v>
      </c>
      <c r="C36" s="8">
        <f>'Table Games'!C35</f>
        <v>9478</v>
      </c>
      <c r="D36" s="8">
        <f>'Table Games'!D35</f>
        <v>0</v>
      </c>
      <c r="E36" s="8">
        <f>'Table Games'!E35</f>
        <v>0</v>
      </c>
      <c r="F36" s="8">
        <f>'Table Games'!F35</f>
        <v>0</v>
      </c>
      <c r="G36" s="8">
        <f>'Table Games'!G35</f>
        <v>0</v>
      </c>
      <c r="H36" s="8">
        <f>'Table Games'!H35</f>
        <v>-1810</v>
      </c>
      <c r="I36" s="8">
        <f>'Table Games'!I35</f>
        <v>-39660</v>
      </c>
      <c r="J36" s="8">
        <f>'Table Games'!J35</f>
        <v>4210</v>
      </c>
      <c r="K36" s="8">
        <f>'Table Games'!K35</f>
        <v>58019</v>
      </c>
      <c r="L36" s="8">
        <f>Video!E33</f>
        <v>90732.649999999907</v>
      </c>
      <c r="M36" s="8">
        <f>'Table Games'!L35+Video!F33</f>
        <v>50069.440000000002</v>
      </c>
      <c r="N36" s="8">
        <f>'Table Games'!M35+Video!G33</f>
        <v>18325.509999999998</v>
      </c>
      <c r="O36" s="8">
        <f>Video!H33</f>
        <v>4264.4400000000005</v>
      </c>
      <c r="P36" s="8">
        <f>'Table Games'!N35+Video!I33</f>
        <v>76092.260000000009</v>
      </c>
    </row>
    <row r="37" spans="1:16" ht="15" customHeight="1" x14ac:dyDescent="0.25">
      <c r="A37" s="23">
        <f t="shared" si="1"/>
        <v>44212</v>
      </c>
      <c r="B37" s="8">
        <f>'Table Games'!B36</f>
        <v>132770</v>
      </c>
      <c r="C37" s="8">
        <f>'Table Games'!C36</f>
        <v>7889</v>
      </c>
      <c r="D37" s="8">
        <f>'Table Games'!D36</f>
        <v>0</v>
      </c>
      <c r="E37" s="8">
        <f>'Table Games'!E36</f>
        <v>0</v>
      </c>
      <c r="F37" s="8">
        <f>'Table Games'!F36</f>
        <v>0</v>
      </c>
      <c r="G37" s="8">
        <f>'Table Games'!G36</f>
        <v>0</v>
      </c>
      <c r="H37" s="8">
        <f>'Table Games'!H36</f>
        <v>23139</v>
      </c>
      <c r="I37" s="8">
        <f>'Table Games'!I36</f>
        <v>-8423</v>
      </c>
      <c r="J37" s="8">
        <f>'Table Games'!J36</f>
        <v>19607</v>
      </c>
      <c r="K37" s="8">
        <f>'Table Games'!K36</f>
        <v>174982</v>
      </c>
      <c r="L37" s="8">
        <f>Video!E34</f>
        <v>118791.34000000008</v>
      </c>
      <c r="M37" s="8">
        <f>'Table Games'!L36+Video!F34</f>
        <v>95259.489999999991</v>
      </c>
      <c r="N37" s="8">
        <f>'Table Games'!M36+Video!G34</f>
        <v>28943.629999999997</v>
      </c>
      <c r="O37" s="8">
        <f>Video!H34</f>
        <v>5583.1799999999994</v>
      </c>
      <c r="P37" s="8">
        <f>'Table Games'!N36+Video!I34</f>
        <v>163987.04</v>
      </c>
    </row>
    <row r="38" spans="1:16" ht="15" customHeight="1" x14ac:dyDescent="0.25">
      <c r="A38" s="23">
        <f t="shared" si="1"/>
        <v>44219</v>
      </c>
      <c r="B38" s="8">
        <f>'Table Games'!B37</f>
        <v>6033</v>
      </c>
      <c r="C38" s="8">
        <f>'Table Games'!C37</f>
        <v>13380</v>
      </c>
      <c r="D38" s="8">
        <f>'Table Games'!D37</f>
        <v>0</v>
      </c>
      <c r="E38" s="8">
        <f>'Table Games'!E37</f>
        <v>0</v>
      </c>
      <c r="F38" s="8">
        <f>'Table Games'!F37</f>
        <v>0</v>
      </c>
      <c r="G38" s="8">
        <f>'Table Games'!G37</f>
        <v>0</v>
      </c>
      <c r="H38" s="8">
        <f>'Table Games'!H37</f>
        <v>5248</v>
      </c>
      <c r="I38" s="8">
        <f>'Table Games'!I37</f>
        <v>0</v>
      </c>
      <c r="J38" s="8">
        <f>'Table Games'!J37</f>
        <v>5546</v>
      </c>
      <c r="K38" s="8">
        <f>'Table Games'!K37</f>
        <v>30207</v>
      </c>
      <c r="L38" s="8">
        <f>Video!E35</f>
        <v>72897.650000000023</v>
      </c>
      <c r="M38" s="8">
        <f>'Table Games'!L37+Video!F35</f>
        <v>35305.25</v>
      </c>
      <c r="N38" s="8">
        <f>'Table Games'!M37+Video!G35</f>
        <v>13902.94</v>
      </c>
      <c r="O38" s="8">
        <f>Video!H35</f>
        <v>3426.19</v>
      </c>
      <c r="P38" s="8">
        <f>'Table Games'!N37+Video!I35</f>
        <v>50470.27</v>
      </c>
    </row>
    <row r="39" spans="1:16" ht="15" customHeight="1" x14ac:dyDescent="0.25">
      <c r="A39" s="23">
        <f t="shared" si="1"/>
        <v>44226</v>
      </c>
      <c r="B39" s="8">
        <f>'Table Games'!B38</f>
        <v>172137</v>
      </c>
      <c r="C39" s="8">
        <f>'Table Games'!C38</f>
        <v>2245</v>
      </c>
      <c r="D39" s="8">
        <f>'Table Games'!D38</f>
        <v>0</v>
      </c>
      <c r="E39" s="8">
        <f>'Table Games'!E38</f>
        <v>0</v>
      </c>
      <c r="F39" s="8">
        <f>'Table Games'!F38</f>
        <v>0</v>
      </c>
      <c r="G39" s="8">
        <f>'Table Games'!G38</f>
        <v>0</v>
      </c>
      <c r="H39" s="8">
        <f>'Table Games'!H38</f>
        <v>13986</v>
      </c>
      <c r="I39" s="8">
        <f>'Table Games'!I38</f>
        <v>35928</v>
      </c>
      <c r="J39" s="8">
        <f>'Table Games'!J38</f>
        <v>1445</v>
      </c>
      <c r="K39" s="8">
        <f>'Table Games'!K38</f>
        <v>225741</v>
      </c>
      <c r="L39" s="8">
        <f>Video!E36</f>
        <v>75958.900000000023</v>
      </c>
      <c r="M39" s="8">
        <f>'Table Games'!L38+Video!F36</f>
        <v>95067.520000000004</v>
      </c>
      <c r="N39" s="8">
        <f>'Table Games'!M38+Video!G36</f>
        <v>24200.059999999998</v>
      </c>
      <c r="O39" s="8">
        <f>Video!H36</f>
        <v>3570.06</v>
      </c>
      <c r="P39" s="8">
        <f>'Table Games'!N38+Video!I36</f>
        <v>178862.26</v>
      </c>
    </row>
    <row r="40" spans="1:16" ht="15" customHeight="1" x14ac:dyDescent="0.25">
      <c r="A40" s="23">
        <f t="shared" si="1"/>
        <v>44233</v>
      </c>
      <c r="B40" s="8">
        <f>'Table Games'!B39</f>
        <v>121676</v>
      </c>
      <c r="C40" s="8">
        <f>'Table Games'!C39</f>
        <v>27014</v>
      </c>
      <c r="D40" s="8">
        <f>'Table Games'!D39</f>
        <v>0</v>
      </c>
      <c r="E40" s="8">
        <f>'Table Games'!E39</f>
        <v>0</v>
      </c>
      <c r="F40" s="8">
        <f>'Table Games'!F39</f>
        <v>0</v>
      </c>
      <c r="G40" s="8">
        <f>'Table Games'!G39</f>
        <v>0</v>
      </c>
      <c r="H40" s="8">
        <f>'Table Games'!H39</f>
        <v>320</v>
      </c>
      <c r="I40" s="8">
        <f>'Table Games'!I39</f>
        <v>0</v>
      </c>
      <c r="J40" s="8">
        <f>'Table Games'!J39</f>
        <v>4312</v>
      </c>
      <c r="K40" s="8">
        <f>'Table Games'!K39</f>
        <v>153322</v>
      </c>
      <c r="L40" s="8">
        <f>Video!E37</f>
        <v>145640.15000000014</v>
      </c>
      <c r="M40" s="8">
        <f>'Table Games'!L39+Video!F37</f>
        <v>98427.069999999992</v>
      </c>
      <c r="N40" s="8">
        <f>'Table Games'!M39+Video!G37</f>
        <v>32424.93</v>
      </c>
      <c r="O40" s="8">
        <f>Video!H37</f>
        <v>6845.08</v>
      </c>
      <c r="P40" s="8">
        <f>'Table Games'!N39+Video!I37</f>
        <v>161265.07</v>
      </c>
    </row>
    <row r="41" spans="1:16" ht="15" customHeight="1" x14ac:dyDescent="0.25">
      <c r="A41" s="23">
        <f t="shared" si="1"/>
        <v>44240</v>
      </c>
      <c r="B41" s="8">
        <f>'Table Games'!B40</f>
        <v>166464.5</v>
      </c>
      <c r="C41" s="8">
        <f>'Table Games'!C40</f>
        <v>40749</v>
      </c>
      <c r="D41" s="8">
        <f>'Table Games'!D40</f>
        <v>0</v>
      </c>
      <c r="E41" s="8">
        <f>'Table Games'!E40</f>
        <v>0</v>
      </c>
      <c r="F41" s="8">
        <f>'Table Games'!F40</f>
        <v>0</v>
      </c>
      <c r="G41" s="8">
        <f>'Table Games'!G40</f>
        <v>0</v>
      </c>
      <c r="H41" s="8">
        <f>'Table Games'!H40</f>
        <v>40475</v>
      </c>
      <c r="I41" s="8">
        <f>'Table Games'!I40</f>
        <v>2596</v>
      </c>
      <c r="J41" s="8">
        <f>'Table Games'!J40</f>
        <v>9846</v>
      </c>
      <c r="K41" s="8">
        <f>'Table Games'!K40</f>
        <v>260130.5</v>
      </c>
      <c r="L41" s="8">
        <f>Video!E38</f>
        <v>154426.10000000009</v>
      </c>
      <c r="M41" s="8">
        <f>'Table Games'!L40+Video!F38</f>
        <v>133632.53999999998</v>
      </c>
      <c r="N41" s="8">
        <f>'Table Games'!M40+Video!G38</f>
        <v>39258.97</v>
      </c>
      <c r="O41" s="8">
        <f>Video!H38</f>
        <v>7258.0199999999995</v>
      </c>
      <c r="P41" s="8">
        <f>'Table Games'!N40+Video!I38</f>
        <v>234407.06999999998</v>
      </c>
    </row>
    <row r="42" spans="1:16" ht="15" customHeight="1" x14ac:dyDescent="0.25">
      <c r="A42" s="23">
        <f t="shared" si="1"/>
        <v>44247</v>
      </c>
      <c r="B42" s="8">
        <f>'Table Games'!B41</f>
        <v>215071</v>
      </c>
      <c r="C42" s="8">
        <f>'Table Games'!C41</f>
        <v>15075</v>
      </c>
      <c r="D42" s="8">
        <f>'Table Games'!D41</f>
        <v>0</v>
      </c>
      <c r="E42" s="8">
        <f>'Table Games'!E41</f>
        <v>0</v>
      </c>
      <c r="F42" s="8">
        <f>'Table Games'!F41</f>
        <v>0</v>
      </c>
      <c r="G42" s="8">
        <f>'Table Games'!G41</f>
        <v>0</v>
      </c>
      <c r="H42" s="8">
        <f>'Table Games'!H41</f>
        <v>66550</v>
      </c>
      <c r="I42" s="8">
        <f>'Table Games'!I41</f>
        <v>0</v>
      </c>
      <c r="J42" s="8">
        <f>'Table Games'!J41</f>
        <v>12118</v>
      </c>
      <c r="K42" s="8">
        <f>'Table Games'!K41</f>
        <v>308814</v>
      </c>
      <c r="L42" s="8">
        <f>Video!E39</f>
        <v>167311.5</v>
      </c>
      <c r="M42" s="8">
        <f>'Table Games'!L41+Video!F39</f>
        <v>152876.31</v>
      </c>
      <c r="N42" s="8">
        <f>'Table Games'!M41+Video!G39</f>
        <v>43883.66</v>
      </c>
      <c r="O42" s="8">
        <f>Video!H39</f>
        <v>7863.6500000000005</v>
      </c>
      <c r="P42" s="8">
        <f>'Table Games'!N41+Video!I39</f>
        <v>271501.88</v>
      </c>
    </row>
    <row r="43" spans="1:16" ht="15" customHeight="1" x14ac:dyDescent="0.25">
      <c r="A43" s="23">
        <f t="shared" si="1"/>
        <v>44254</v>
      </c>
      <c r="B43" s="8">
        <f>'Table Games'!B42</f>
        <v>55781</v>
      </c>
      <c r="C43" s="8">
        <f>'Table Games'!C42</f>
        <v>7177</v>
      </c>
      <c r="D43" s="8">
        <f>'Table Games'!D42</f>
        <v>0</v>
      </c>
      <c r="E43" s="8">
        <f>'Table Games'!E42</f>
        <v>0</v>
      </c>
      <c r="F43" s="8">
        <f>'Table Games'!F42</f>
        <v>0</v>
      </c>
      <c r="G43" s="8">
        <f>'Table Games'!G42</f>
        <v>0</v>
      </c>
      <c r="H43" s="8">
        <f>'Table Games'!H42</f>
        <v>3369</v>
      </c>
      <c r="I43" s="8">
        <f>'Table Games'!I42</f>
        <v>-10683</v>
      </c>
      <c r="J43" s="8">
        <f>'Table Games'!J42</f>
        <v>95</v>
      </c>
      <c r="K43" s="8">
        <f>'Table Games'!K42</f>
        <v>55739</v>
      </c>
      <c r="L43" s="8">
        <f>Video!E40</f>
        <v>105347.04000000004</v>
      </c>
      <c r="M43" s="8">
        <f>'Table Games'!L42+Video!F40</f>
        <v>54646.61</v>
      </c>
      <c r="N43" s="8">
        <f>'Table Games'!M42+Video!G40</f>
        <v>20695.96</v>
      </c>
      <c r="O43" s="8">
        <f>Video!H40</f>
        <v>4951.3100000000004</v>
      </c>
      <c r="P43" s="8">
        <f>'Table Games'!N42+Video!I40</f>
        <v>80792.160000000003</v>
      </c>
    </row>
    <row r="44" spans="1:16" ht="15" customHeight="1" x14ac:dyDescent="0.25">
      <c r="A44" s="23">
        <f t="shared" si="1"/>
        <v>44261</v>
      </c>
      <c r="B44" s="8">
        <f>'Table Games'!B43</f>
        <v>31565</v>
      </c>
      <c r="C44" s="8">
        <f>'Table Games'!C43</f>
        <v>-12614</v>
      </c>
      <c r="D44" s="8">
        <f>'Table Games'!D43</f>
        <v>0</v>
      </c>
      <c r="E44" s="8">
        <f>'Table Games'!E43</f>
        <v>0</v>
      </c>
      <c r="F44" s="8">
        <f>'Table Games'!F43</f>
        <v>0</v>
      </c>
      <c r="G44" s="8">
        <f>'Table Games'!G43</f>
        <v>0</v>
      </c>
      <c r="H44" s="8">
        <f>'Table Games'!H43</f>
        <v>4707</v>
      </c>
      <c r="I44" s="8">
        <f>'Table Games'!I43</f>
        <v>0</v>
      </c>
      <c r="J44" s="8">
        <f>'Table Games'!J43</f>
        <v>-1731</v>
      </c>
      <c r="K44" s="8">
        <f>'Table Games'!K43</f>
        <v>21927</v>
      </c>
      <c r="L44" s="8">
        <f>Video!E41</f>
        <v>118995.01000000001</v>
      </c>
      <c r="M44" s="8">
        <f>'Table Games'!L43+Video!F41</f>
        <v>49416.289999999994</v>
      </c>
      <c r="N44" s="8">
        <f>'Table Games'!M43+Video!G41</f>
        <v>21325.51</v>
      </c>
      <c r="O44" s="8">
        <f>Video!H41</f>
        <v>5592.77</v>
      </c>
      <c r="P44" s="8">
        <f>'Table Games'!N43+Video!I41</f>
        <v>64587.44</v>
      </c>
    </row>
    <row r="45" spans="1:16" ht="15" customHeight="1" x14ac:dyDescent="0.25">
      <c r="A45" s="23">
        <f t="shared" si="1"/>
        <v>44268</v>
      </c>
      <c r="B45" s="8">
        <f>'Table Games'!B44</f>
        <v>136407.5</v>
      </c>
      <c r="C45" s="8">
        <f>'Table Games'!C44</f>
        <v>20902</v>
      </c>
      <c r="D45" s="8">
        <f>'Table Games'!D44</f>
        <v>0</v>
      </c>
      <c r="E45" s="8">
        <f>'Table Games'!E44</f>
        <v>0</v>
      </c>
      <c r="F45" s="8">
        <f>'Table Games'!F44</f>
        <v>0</v>
      </c>
      <c r="G45" s="8">
        <f>'Table Games'!G44</f>
        <v>0</v>
      </c>
      <c r="H45" s="8">
        <f>'Table Games'!H44</f>
        <v>21201</v>
      </c>
      <c r="I45" s="8">
        <f>'Table Games'!I44</f>
        <v>0</v>
      </c>
      <c r="J45" s="8">
        <f>'Table Games'!J44</f>
        <v>19175</v>
      </c>
      <c r="K45" s="8">
        <f>'Table Games'!K44</f>
        <v>197685.5</v>
      </c>
      <c r="L45" s="8">
        <f>Video!E42</f>
        <v>96577.65000000014</v>
      </c>
      <c r="M45" s="8">
        <f>'Table Games'!L44+Video!F42</f>
        <v>94073.59</v>
      </c>
      <c r="N45" s="8">
        <f>'Table Games'!M44+Video!G42</f>
        <v>26302.489999999998</v>
      </c>
      <c r="O45" s="8">
        <f>Video!H42</f>
        <v>4539.1499999999996</v>
      </c>
      <c r="P45" s="8">
        <f>'Table Games'!N44+Video!I42</f>
        <v>169347.92</v>
      </c>
    </row>
    <row r="46" spans="1:16" ht="15" customHeight="1" x14ac:dyDescent="0.25">
      <c r="A46" s="23">
        <f t="shared" si="1"/>
        <v>44275</v>
      </c>
      <c r="B46" s="8">
        <f>'Table Games'!B45</f>
        <v>295417</v>
      </c>
      <c r="C46" s="8">
        <f>'Table Games'!C45</f>
        <v>864</v>
      </c>
      <c r="D46" s="8">
        <f>'Table Games'!D45</f>
        <v>0</v>
      </c>
      <c r="E46" s="8">
        <f>'Table Games'!E45</f>
        <v>0</v>
      </c>
      <c r="F46" s="8">
        <f>'Table Games'!F45</f>
        <v>0</v>
      </c>
      <c r="G46" s="8">
        <f>'Table Games'!G45</f>
        <v>0</v>
      </c>
      <c r="H46" s="8">
        <f>'Table Games'!H45</f>
        <v>-13187</v>
      </c>
      <c r="I46" s="8">
        <f>'Table Games'!I45</f>
        <v>11075</v>
      </c>
      <c r="J46" s="8">
        <f>'Table Games'!J45</f>
        <v>419</v>
      </c>
      <c r="K46" s="8">
        <f>'Table Games'!K45</f>
        <v>294588</v>
      </c>
      <c r="L46" s="8">
        <f>Video!E43</f>
        <v>48578.34999999986</v>
      </c>
      <c r="M46" s="8">
        <f>'Table Games'!L45+Video!F43</f>
        <v>105864.60999999999</v>
      </c>
      <c r="N46" s="8">
        <f>'Table Games'!M45+Video!G43</f>
        <v>22987.71</v>
      </c>
      <c r="O46" s="8">
        <f>Video!H43</f>
        <v>2283.1799999999998</v>
      </c>
      <c r="P46" s="8">
        <f>'Table Games'!N45+Video!I43</f>
        <v>212030.85</v>
      </c>
    </row>
    <row r="47" spans="1:16" ht="15" customHeight="1" x14ac:dyDescent="0.25">
      <c r="A47" s="23">
        <f t="shared" si="1"/>
        <v>44282</v>
      </c>
      <c r="B47" s="8">
        <f>'Table Games'!B46</f>
        <v>12334</v>
      </c>
      <c r="C47" s="8">
        <f>'Table Games'!C46</f>
        <v>14606</v>
      </c>
      <c r="D47" s="8">
        <f>'Table Games'!D46</f>
        <v>0</v>
      </c>
      <c r="E47" s="8">
        <f>'Table Games'!E46</f>
        <v>9282.5</v>
      </c>
      <c r="F47" s="8">
        <f>'Table Games'!F46</f>
        <v>0</v>
      </c>
      <c r="G47" s="8">
        <f>'Table Games'!G46</f>
        <v>0</v>
      </c>
      <c r="H47" s="8">
        <f>'Table Games'!H46</f>
        <v>-20149</v>
      </c>
      <c r="I47" s="8">
        <f>'Table Games'!I46</f>
        <v>4145</v>
      </c>
      <c r="J47" s="8">
        <f>'Table Games'!J46</f>
        <v>-33160</v>
      </c>
      <c r="K47" s="8">
        <f>'Table Games'!K46</f>
        <v>-12941.5</v>
      </c>
      <c r="L47" s="8">
        <f>Video!E44</f>
        <v>106776.3600000001</v>
      </c>
      <c r="M47" s="8">
        <f>'Table Games'!L46+Video!F44</f>
        <v>34557.03</v>
      </c>
      <c r="N47" s="8">
        <f>'Table Games'!M46+Video!G44</f>
        <v>17504.899999999998</v>
      </c>
      <c r="O47" s="8">
        <f>Video!H44</f>
        <v>5018.5</v>
      </c>
      <c r="P47" s="8">
        <f>'Table Games'!N46+Video!I44</f>
        <v>36754.43</v>
      </c>
    </row>
    <row r="48" spans="1:16" ht="15" customHeight="1" x14ac:dyDescent="0.25">
      <c r="A48" s="23">
        <f t="shared" si="1"/>
        <v>44289</v>
      </c>
      <c r="B48" s="8">
        <f>'Table Games'!B47</f>
        <v>120988.5</v>
      </c>
      <c r="C48" s="8">
        <f>'Table Games'!C47</f>
        <v>1585</v>
      </c>
      <c r="D48" s="8">
        <f>'Table Games'!D47</f>
        <v>0</v>
      </c>
      <c r="E48" s="8">
        <f>'Table Games'!E47</f>
        <v>0</v>
      </c>
      <c r="F48" s="8">
        <f>'Table Games'!F47</f>
        <v>0</v>
      </c>
      <c r="G48" s="8">
        <f>'Table Games'!G47</f>
        <v>0</v>
      </c>
      <c r="H48" s="8">
        <f>'Table Games'!H47</f>
        <v>44962</v>
      </c>
      <c r="I48" s="8">
        <f>'Table Games'!I47</f>
        <v>0</v>
      </c>
      <c r="J48" s="8">
        <f>'Table Games'!J47</f>
        <v>5275</v>
      </c>
      <c r="K48" s="8">
        <f>'Table Games'!K47</f>
        <v>172810.5</v>
      </c>
      <c r="L48" s="8">
        <f>Video!E45</f>
        <v>110492.56999999983</v>
      </c>
      <c r="M48" s="8">
        <f>'Table Games'!L47+Video!F45</f>
        <v>91620.46</v>
      </c>
      <c r="N48" s="8">
        <f>'Table Games'!M47+Video!G45</f>
        <v>27424.28</v>
      </c>
      <c r="O48" s="8">
        <f>Video!H45</f>
        <v>5193.1499999999996</v>
      </c>
      <c r="P48" s="8">
        <f>'Table Games'!N47+Video!I45</f>
        <v>159065.18</v>
      </c>
    </row>
    <row r="49" spans="1:16" ht="15" customHeight="1" x14ac:dyDescent="0.25">
      <c r="A49" s="23">
        <f t="shared" si="1"/>
        <v>44296</v>
      </c>
      <c r="B49" s="8">
        <f>'Table Games'!B48</f>
        <v>29658</v>
      </c>
      <c r="C49" s="8">
        <f>'Table Games'!C48</f>
        <v>-7599</v>
      </c>
      <c r="D49" s="8">
        <f>'Table Games'!D48</f>
        <v>0</v>
      </c>
      <c r="E49" s="8">
        <f>'Table Games'!E48</f>
        <v>0</v>
      </c>
      <c r="F49" s="8">
        <f>'Table Games'!F48</f>
        <v>0</v>
      </c>
      <c r="G49" s="8">
        <f>'Table Games'!G48</f>
        <v>0</v>
      </c>
      <c r="H49" s="8">
        <f>'Table Games'!H48</f>
        <v>23227</v>
      </c>
      <c r="I49" s="8">
        <f>'Table Games'!I48</f>
        <v>5580</v>
      </c>
      <c r="J49" s="8">
        <f>'Table Games'!J48</f>
        <v>7009</v>
      </c>
      <c r="K49" s="8">
        <f>'Table Games'!K48</f>
        <v>57875</v>
      </c>
      <c r="L49" s="8">
        <f>Video!E46</f>
        <v>50370.100000000093</v>
      </c>
      <c r="M49" s="8">
        <f>'Table Games'!L48+Video!F46</f>
        <v>35495.730000000003</v>
      </c>
      <c r="N49" s="8">
        <f>'Table Games'!M48+Video!G46</f>
        <v>11456.66</v>
      </c>
      <c r="O49" s="8">
        <f>Video!H46</f>
        <v>2367.4</v>
      </c>
      <c r="P49" s="8">
        <f>'Table Games'!N48+Video!I46</f>
        <v>58925.31</v>
      </c>
    </row>
    <row r="50" spans="1:16" ht="15" customHeight="1" x14ac:dyDescent="0.25">
      <c r="A50" s="23">
        <f t="shared" ref="A50:A60" si="2">A49+7</f>
        <v>44303</v>
      </c>
      <c r="B50" s="8">
        <f>'Table Games'!B49</f>
        <v>61838.5</v>
      </c>
      <c r="C50" s="8">
        <f>'Table Games'!C49</f>
        <v>-44687</v>
      </c>
      <c r="D50" s="8">
        <f>'Table Games'!D49</f>
        <v>0</v>
      </c>
      <c r="E50" s="8">
        <f>'Table Games'!E49</f>
        <v>0</v>
      </c>
      <c r="F50" s="8">
        <f>'Table Games'!F49</f>
        <v>0</v>
      </c>
      <c r="G50" s="8">
        <f>'Table Games'!G49</f>
        <v>0</v>
      </c>
      <c r="H50" s="8">
        <f>'Table Games'!H49</f>
        <v>-11560</v>
      </c>
      <c r="I50" s="8">
        <f>'Table Games'!I49</f>
        <v>-22040</v>
      </c>
      <c r="J50" s="8">
        <f>'Table Games'!J49</f>
        <v>5983</v>
      </c>
      <c r="K50" s="8">
        <f>'Table Games'!K49</f>
        <v>-10465.5</v>
      </c>
      <c r="L50" s="8">
        <f>Video!E47</f>
        <v>99612.280000000028</v>
      </c>
      <c r="M50" s="8">
        <f>'Table Games'!L49+Video!F47</f>
        <v>32720.769999999997</v>
      </c>
      <c r="N50" s="8">
        <f>'Table Games'!M49+Video!G47</f>
        <v>16410.810000000001</v>
      </c>
      <c r="O50" s="8">
        <f>Video!H47</f>
        <v>4681.78</v>
      </c>
      <c r="P50" s="8">
        <f>'Table Games'!N49+Video!I47</f>
        <v>35333.42</v>
      </c>
    </row>
    <row r="51" spans="1:16" ht="15" customHeight="1" x14ac:dyDescent="0.25">
      <c r="A51" s="23">
        <f t="shared" si="2"/>
        <v>44310</v>
      </c>
      <c r="B51" s="8">
        <f>'Table Games'!B50</f>
        <v>185250</v>
      </c>
      <c r="C51" s="8">
        <f>'Table Games'!C50</f>
        <v>-1750</v>
      </c>
      <c r="D51" s="8">
        <f>'Table Games'!D50</f>
        <v>0</v>
      </c>
      <c r="E51" s="8">
        <f>'Table Games'!E50</f>
        <v>0</v>
      </c>
      <c r="F51" s="8">
        <f>'Table Games'!F50</f>
        <v>0</v>
      </c>
      <c r="G51" s="8">
        <f>'Table Games'!G50</f>
        <v>0</v>
      </c>
      <c r="H51" s="8">
        <f>'Table Games'!H50</f>
        <v>27702</v>
      </c>
      <c r="I51" s="8">
        <f>'Table Games'!I50</f>
        <v>14890</v>
      </c>
      <c r="J51" s="8">
        <f>'Table Games'!J50</f>
        <v>-620</v>
      </c>
      <c r="K51" s="8">
        <f>'Table Games'!K50</f>
        <v>225472</v>
      </c>
      <c r="L51" s="8">
        <f>Video!E48</f>
        <v>87706.220000000088</v>
      </c>
      <c r="M51" s="8">
        <f>'Table Games'!L50+Video!F48</f>
        <v>99215.840000000011</v>
      </c>
      <c r="N51" s="8">
        <f>'Table Games'!M50+Video!G48</f>
        <v>26183.66</v>
      </c>
      <c r="O51" s="8">
        <f>Video!H48</f>
        <v>4122.1899999999996</v>
      </c>
      <c r="P51" s="8">
        <f>'Table Games'!N50+Video!I48</f>
        <v>183656.53</v>
      </c>
    </row>
    <row r="52" spans="1:16" ht="15" customHeight="1" x14ac:dyDescent="0.25">
      <c r="A52" s="23">
        <f t="shared" si="2"/>
        <v>44317</v>
      </c>
      <c r="B52" s="8">
        <f>'Table Games'!B51</f>
        <v>-25158.5</v>
      </c>
      <c r="C52" s="8">
        <f>'Table Games'!C51</f>
        <v>37201</v>
      </c>
      <c r="D52" s="8">
        <f>'Table Games'!D51</f>
        <v>0</v>
      </c>
      <c r="E52" s="8">
        <f>'Table Games'!E51</f>
        <v>0</v>
      </c>
      <c r="F52" s="8">
        <f>'Table Games'!F51</f>
        <v>0</v>
      </c>
      <c r="G52" s="8">
        <f>'Table Games'!G51</f>
        <v>0</v>
      </c>
      <c r="H52" s="8">
        <f>'Table Games'!H51</f>
        <v>14589</v>
      </c>
      <c r="I52" s="8">
        <f>'Table Games'!I51</f>
        <v>0</v>
      </c>
      <c r="J52" s="8">
        <f>'Table Games'!J51</f>
        <v>12138</v>
      </c>
      <c r="K52" s="8">
        <f>'Table Games'!K51</f>
        <v>38769.5</v>
      </c>
      <c r="L52" s="8">
        <f>Video!E49</f>
        <v>124135.33000000007</v>
      </c>
      <c r="M52" s="8">
        <f>'Table Games'!L51+Video!F49</f>
        <v>56319.59</v>
      </c>
      <c r="N52" s="8">
        <f>'Table Games'!M51+Video!G49</f>
        <v>23041.48</v>
      </c>
      <c r="O52" s="8">
        <f>Video!H49</f>
        <v>5834.3499999999995</v>
      </c>
      <c r="P52" s="8">
        <f>'Table Games'!N51+Video!I49</f>
        <v>77709.41</v>
      </c>
    </row>
    <row r="53" spans="1:16" ht="15" customHeight="1" x14ac:dyDescent="0.25">
      <c r="A53" s="23">
        <f t="shared" si="2"/>
        <v>44324</v>
      </c>
      <c r="B53" s="8">
        <f>'Table Games'!B52</f>
        <v>75387.5</v>
      </c>
      <c r="C53" s="8">
        <f>'Table Games'!C52</f>
        <v>28289</v>
      </c>
      <c r="D53" s="8">
        <f>'Table Games'!D52</f>
        <v>0</v>
      </c>
      <c r="E53" s="8">
        <f>'Table Games'!E52</f>
        <v>0</v>
      </c>
      <c r="F53" s="8">
        <f>'Table Games'!F52</f>
        <v>0</v>
      </c>
      <c r="G53" s="8">
        <f>'Table Games'!G52</f>
        <v>0</v>
      </c>
      <c r="H53" s="8">
        <f>'Table Games'!H52</f>
        <v>29995</v>
      </c>
      <c r="I53" s="8">
        <f>'Table Games'!I52</f>
        <v>-3365</v>
      </c>
      <c r="J53" s="8">
        <f>'Table Games'!J52</f>
        <v>-5323</v>
      </c>
      <c r="K53" s="8">
        <f>'Table Games'!K52</f>
        <v>124983.5</v>
      </c>
      <c r="L53" s="8">
        <f>Video!E50</f>
        <v>60445.199999999953</v>
      </c>
      <c r="M53" s="8">
        <f>'Table Games'!L52+Video!F50</f>
        <v>59255.310000000005</v>
      </c>
      <c r="N53" s="8">
        <f>'Table Games'!M52+Video!G50</f>
        <v>16524.870000000003</v>
      </c>
      <c r="O53" s="8">
        <f>Video!H50</f>
        <v>2840.9300000000003</v>
      </c>
      <c r="P53" s="8">
        <f>'Table Games'!N52+Video!I50</f>
        <v>106807.59</v>
      </c>
    </row>
    <row r="54" spans="1:16" ht="15" customHeight="1" x14ac:dyDescent="0.25">
      <c r="A54" s="23">
        <f t="shared" si="2"/>
        <v>44331</v>
      </c>
      <c r="B54" s="8">
        <f>'Table Games'!B53</f>
        <v>189618</v>
      </c>
      <c r="C54" s="8">
        <f>'Table Games'!C53</f>
        <v>35613</v>
      </c>
      <c r="D54" s="8">
        <f>'Table Games'!D53</f>
        <v>0</v>
      </c>
      <c r="E54" s="8">
        <f>'Table Games'!E53</f>
        <v>0</v>
      </c>
      <c r="F54" s="8">
        <f>'Table Games'!F53</f>
        <v>0</v>
      </c>
      <c r="G54" s="8">
        <f>'Table Games'!G53</f>
        <v>0</v>
      </c>
      <c r="H54" s="8">
        <f>'Table Games'!H53</f>
        <v>34785</v>
      </c>
      <c r="I54" s="8">
        <f>'Table Games'!I53</f>
        <v>-1368</v>
      </c>
      <c r="J54" s="8">
        <f>'Table Games'!J53</f>
        <v>14176</v>
      </c>
      <c r="K54" s="8">
        <f>'Table Games'!K53</f>
        <v>272824</v>
      </c>
      <c r="L54" s="8">
        <f>Video!E51</f>
        <v>129130.93999999994</v>
      </c>
      <c r="M54" s="8">
        <f>'Table Games'!L53+Video!F51</f>
        <v>128334.34</v>
      </c>
      <c r="N54" s="8">
        <f>'Table Games'!M53+Video!G51</f>
        <v>35593.46</v>
      </c>
      <c r="O54" s="8">
        <f>Video!H51</f>
        <v>6069.16</v>
      </c>
      <c r="P54" s="8">
        <f>'Table Games'!N53+Video!I51</f>
        <v>231957.98</v>
      </c>
    </row>
    <row r="55" spans="1:16" ht="15" customHeight="1" x14ac:dyDescent="0.25">
      <c r="A55" s="23">
        <f t="shared" si="2"/>
        <v>44338</v>
      </c>
      <c r="B55" s="8">
        <f>'Table Games'!B54</f>
        <v>121330</v>
      </c>
      <c r="C55" s="8">
        <f>'Table Games'!C54</f>
        <v>-11741</v>
      </c>
      <c r="D55" s="8">
        <f>'Table Games'!D54</f>
        <v>0</v>
      </c>
      <c r="E55" s="8">
        <f>'Table Games'!E54</f>
        <v>-595</v>
      </c>
      <c r="F55" s="8">
        <f>'Table Games'!F54</f>
        <v>0</v>
      </c>
      <c r="G55" s="8">
        <f>'Table Games'!G54</f>
        <v>0</v>
      </c>
      <c r="H55" s="8">
        <f>'Table Games'!H54</f>
        <v>5692</v>
      </c>
      <c r="I55" s="8">
        <f>'Table Games'!I54</f>
        <v>-3429</v>
      </c>
      <c r="J55" s="8">
        <f>'Table Games'!J54</f>
        <v>5735</v>
      </c>
      <c r="K55" s="8">
        <f>'Table Games'!K54</f>
        <v>116992</v>
      </c>
      <c r="L55" s="8">
        <f>Video!E52</f>
        <v>107631.57000000007</v>
      </c>
      <c r="M55" s="8">
        <f>'Table Games'!L54+Video!F52</f>
        <v>73844.97</v>
      </c>
      <c r="N55" s="8">
        <f>'Table Games'!M54+Video!G52</f>
        <v>24146.97</v>
      </c>
      <c r="O55" s="8">
        <f>Video!H52</f>
        <v>5058.68</v>
      </c>
      <c r="P55" s="8">
        <f>'Table Games'!N54+Video!I52</f>
        <v>121572.95000000001</v>
      </c>
    </row>
    <row r="56" spans="1:16" ht="15" customHeight="1" x14ac:dyDescent="0.25">
      <c r="A56" s="23">
        <f t="shared" si="2"/>
        <v>44345</v>
      </c>
      <c r="B56" s="8">
        <f>'Table Games'!B55</f>
        <v>47291</v>
      </c>
      <c r="C56" s="8">
        <f>'Table Games'!C55</f>
        <v>6221</v>
      </c>
      <c r="D56" s="8">
        <f>'Table Games'!D55</f>
        <v>0</v>
      </c>
      <c r="E56" s="8">
        <f>'Table Games'!E55</f>
        <v>0</v>
      </c>
      <c r="F56" s="8">
        <f>'Table Games'!F55</f>
        <v>0</v>
      </c>
      <c r="G56" s="8">
        <f>'Table Games'!G55</f>
        <v>0</v>
      </c>
      <c r="H56" s="8">
        <f>'Table Games'!H55</f>
        <v>30715</v>
      </c>
      <c r="I56" s="8">
        <f>'Table Games'!I55</f>
        <v>0</v>
      </c>
      <c r="J56" s="8">
        <f>'Table Games'!J55</f>
        <v>6110</v>
      </c>
      <c r="K56" s="8">
        <f>'Table Games'!K55</f>
        <v>90337</v>
      </c>
      <c r="L56" s="8">
        <f>Video!E53</f>
        <v>90489.159999999916</v>
      </c>
      <c r="M56" s="8">
        <f>'Table Games'!L55+Video!F53</f>
        <v>59677.2</v>
      </c>
      <c r="N56" s="8">
        <f>'Table Games'!M55+Video!G53</f>
        <v>19900</v>
      </c>
      <c r="O56" s="8">
        <f>Video!H53</f>
        <v>4252.99</v>
      </c>
      <c r="P56" s="8">
        <f>'Table Games'!N55+Video!I53</f>
        <v>96995.97</v>
      </c>
    </row>
    <row r="57" spans="1:16" ht="15" customHeight="1" x14ac:dyDescent="0.25">
      <c r="A57" s="23">
        <f t="shared" si="2"/>
        <v>44352</v>
      </c>
      <c r="B57" s="8">
        <f>'Table Games'!B56</f>
        <v>53519</v>
      </c>
      <c r="C57" s="8">
        <f>'Table Games'!C56</f>
        <v>19274</v>
      </c>
      <c r="D57" s="8">
        <f>'Table Games'!D56</f>
        <v>0</v>
      </c>
      <c r="E57" s="8">
        <f>'Table Games'!E56</f>
        <v>0</v>
      </c>
      <c r="F57" s="8">
        <f>'Table Games'!F56</f>
        <v>0</v>
      </c>
      <c r="G57" s="8">
        <f>'Table Games'!G56</f>
        <v>0</v>
      </c>
      <c r="H57" s="8">
        <f>'Table Games'!H56</f>
        <v>11977</v>
      </c>
      <c r="I57" s="8">
        <f>'Table Games'!I56</f>
        <v>0</v>
      </c>
      <c r="J57" s="8">
        <f>'Table Games'!J56</f>
        <v>13928</v>
      </c>
      <c r="K57" s="8">
        <f>'Table Games'!K56</f>
        <v>98698</v>
      </c>
      <c r="L57" s="8">
        <f>Video!E54</f>
        <v>163907.6399999999</v>
      </c>
      <c r="M57" s="8">
        <f>'Table Games'!L56+Video!F54</f>
        <v>88616.14</v>
      </c>
      <c r="N57" s="8">
        <f>'Table Games'!M56+Video!G54</f>
        <v>32799.199999999997</v>
      </c>
      <c r="O57" s="8">
        <f>Video!H54</f>
        <v>7703.67</v>
      </c>
      <c r="P57" s="8">
        <f>'Table Games'!N56+Video!I54</f>
        <v>133486.63</v>
      </c>
    </row>
    <row r="58" spans="1:16" ht="15" customHeight="1" x14ac:dyDescent="0.25">
      <c r="A58" s="23">
        <f t="shared" si="2"/>
        <v>44359</v>
      </c>
      <c r="B58" s="8">
        <f>'Table Games'!B57</f>
        <v>189005.5</v>
      </c>
      <c r="C58" s="8">
        <f>'Table Games'!C57</f>
        <v>795</v>
      </c>
      <c r="D58" s="8">
        <f>'Table Games'!D57</f>
        <v>0</v>
      </c>
      <c r="E58" s="8">
        <f>'Table Games'!E57</f>
        <v>0</v>
      </c>
      <c r="F58" s="8">
        <f>'Table Games'!F57</f>
        <v>0</v>
      </c>
      <c r="G58" s="8">
        <f>'Table Games'!G57</f>
        <v>0</v>
      </c>
      <c r="H58" s="8">
        <f>'Table Games'!H57</f>
        <v>4477</v>
      </c>
      <c r="I58" s="8">
        <f>'Table Games'!I57</f>
        <v>0</v>
      </c>
      <c r="J58" s="8">
        <f>'Table Games'!J57</f>
        <v>10735</v>
      </c>
      <c r="K58" s="8">
        <f>'Table Games'!K57</f>
        <v>205012.5</v>
      </c>
      <c r="L58" s="8">
        <f>Video!E55</f>
        <v>37352.489999999991</v>
      </c>
      <c r="M58" s="8">
        <f>'Table Games'!L57+Video!F55</f>
        <v>74950.649999999994</v>
      </c>
      <c r="N58" s="8">
        <f>'Table Games'!M57+Video!G55</f>
        <v>16600.55</v>
      </c>
      <c r="O58" s="8">
        <f>Video!H55</f>
        <v>1755.56</v>
      </c>
      <c r="P58" s="8">
        <f>'Table Games'!N57+Video!I55</f>
        <v>149058.22999999998</v>
      </c>
    </row>
    <row r="59" spans="1:16" ht="15" customHeight="1" x14ac:dyDescent="0.25">
      <c r="A59" s="23">
        <f t="shared" si="2"/>
        <v>44366</v>
      </c>
      <c r="B59" s="8">
        <f>'Table Games'!B58</f>
        <v>-18395</v>
      </c>
      <c r="C59" s="8">
        <f>'Table Games'!C58</f>
        <v>-36129</v>
      </c>
      <c r="D59" s="8">
        <f>'Table Games'!D58</f>
        <v>0</v>
      </c>
      <c r="E59" s="8">
        <f>'Table Games'!E58</f>
        <v>0</v>
      </c>
      <c r="F59" s="8">
        <f>'Table Games'!F58</f>
        <v>0</v>
      </c>
      <c r="G59" s="8">
        <f>'Table Games'!G58</f>
        <v>0</v>
      </c>
      <c r="H59" s="8">
        <f>'Table Games'!H58</f>
        <v>102840</v>
      </c>
      <c r="I59" s="8">
        <f>'Table Games'!I58</f>
        <v>0</v>
      </c>
      <c r="J59" s="8">
        <f>'Table Games'!J58</f>
        <v>5159</v>
      </c>
      <c r="K59" s="8">
        <f>'Table Games'!K58</f>
        <v>53475</v>
      </c>
      <c r="L59" s="8">
        <f>Video!E56</f>
        <v>106679.74999999977</v>
      </c>
      <c r="M59" s="8">
        <f>'Table Games'!L58+Video!F56</f>
        <v>54447.199999999997</v>
      </c>
      <c r="N59" s="8">
        <f>'Table Games'!M58+Video!G56</f>
        <v>20809.310000000001</v>
      </c>
      <c r="O59" s="8">
        <f>Video!H56</f>
        <v>5013.9399999999996</v>
      </c>
      <c r="P59" s="8">
        <f>'Table Games'!N58+Video!I56</f>
        <v>79884.299999999988</v>
      </c>
    </row>
    <row r="60" spans="1:16" ht="15" customHeight="1" x14ac:dyDescent="0.25">
      <c r="A60" s="23">
        <f t="shared" si="2"/>
        <v>44373</v>
      </c>
      <c r="B60" s="8">
        <f>'Table Games'!B59</f>
        <v>-391774</v>
      </c>
      <c r="C60" s="8">
        <f>'Table Games'!C59</f>
        <v>27234</v>
      </c>
      <c r="D60" s="8">
        <f>'Table Games'!D59</f>
        <v>0</v>
      </c>
      <c r="E60" s="8">
        <f>'Table Games'!E59</f>
        <v>0</v>
      </c>
      <c r="F60" s="8">
        <f>'Table Games'!F59</f>
        <v>0</v>
      </c>
      <c r="G60" s="8">
        <f>'Table Games'!G59</f>
        <v>0</v>
      </c>
      <c r="H60" s="8">
        <f>'Table Games'!H59</f>
        <v>10134</v>
      </c>
      <c r="I60" s="8">
        <f>'Table Games'!I59</f>
        <v>0</v>
      </c>
      <c r="J60" s="8">
        <f>'Table Games'!J59</f>
        <v>13089</v>
      </c>
      <c r="K60" s="8">
        <f>'Table Games'!K59</f>
        <v>-341317</v>
      </c>
      <c r="L60" s="8">
        <f>Video!E57</f>
        <v>199912.18000000017</v>
      </c>
      <c r="M60" s="8">
        <f>'Table Games'!L59+Video!F57</f>
        <v>-30426.729999999996</v>
      </c>
      <c r="N60" s="8">
        <f>'Table Games'!M59+Video!G57</f>
        <v>16919.230000000003</v>
      </c>
      <c r="O60" s="8">
        <f>Video!H57</f>
        <v>9395.880000000001</v>
      </c>
      <c r="P60" s="8">
        <f>'Table Games'!N59+Video!I57</f>
        <v>-137293.19999999998</v>
      </c>
    </row>
    <row r="61" spans="1:16" ht="15" customHeight="1" x14ac:dyDescent="0.25">
      <c r="A61" s="23" t="s">
        <v>42</v>
      </c>
      <c r="B61" s="8">
        <f>'Table Games'!B60</f>
        <v>37914</v>
      </c>
      <c r="C61" s="8">
        <f>'Table Games'!C60</f>
        <v>16452</v>
      </c>
      <c r="D61" s="8">
        <f>'Table Games'!D60</f>
        <v>0</v>
      </c>
      <c r="E61" s="8">
        <f>'Table Games'!E60</f>
        <v>0</v>
      </c>
      <c r="F61" s="8">
        <f>'Table Games'!F60</f>
        <v>0</v>
      </c>
      <c r="G61" s="8">
        <f>'Table Games'!G60</f>
        <v>0</v>
      </c>
      <c r="H61" s="8">
        <f>'Table Games'!H60</f>
        <v>79714</v>
      </c>
      <c r="I61" s="8">
        <f>'Table Games'!I60</f>
        <v>-2000</v>
      </c>
      <c r="J61" s="8">
        <f>'Table Games'!J60</f>
        <v>1152</v>
      </c>
      <c r="K61" s="8">
        <f>'Table Games'!K60</f>
        <v>133232</v>
      </c>
      <c r="L61" s="8">
        <f>Video!E58</f>
        <v>64577.229999999981</v>
      </c>
      <c r="M61" s="8">
        <f>'Table Games'!L60+Video!F58</f>
        <v>63217.399999999994</v>
      </c>
      <c r="N61" s="8">
        <f>'Table Games'!M60+Video!G58</f>
        <v>17639.73</v>
      </c>
      <c r="O61" s="8">
        <f>Video!H58</f>
        <v>3035.13</v>
      </c>
      <c r="P61" s="8">
        <f>'Table Games'!N60+Video!I58</f>
        <v>113916.97</v>
      </c>
    </row>
    <row r="62" spans="1:16" ht="15" customHeight="1" x14ac:dyDescent="0.25">
      <c r="A62" s="9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</row>
    <row r="63" spans="1:16" ht="15" customHeight="1" thickBot="1" x14ac:dyDescent="0.3">
      <c r="B63" s="10">
        <f t="shared" ref="B63:P63" si="3">SUM(B9:B62)</f>
        <v>4836670.5</v>
      </c>
      <c r="C63" s="10">
        <f t="shared" si="3"/>
        <v>661741</v>
      </c>
      <c r="D63" s="10">
        <f t="shared" si="3"/>
        <v>4897</v>
      </c>
      <c r="E63" s="10">
        <f t="shared" si="3"/>
        <v>96508.75</v>
      </c>
      <c r="F63" s="10">
        <f t="shared" si="3"/>
        <v>0</v>
      </c>
      <c r="G63" s="10">
        <f t="shared" si="3"/>
        <v>0</v>
      </c>
      <c r="H63" s="10">
        <f t="shared" si="3"/>
        <v>800881</v>
      </c>
      <c r="I63" s="10">
        <f t="shared" si="3"/>
        <v>-44672</v>
      </c>
      <c r="J63" s="10">
        <f t="shared" si="3"/>
        <v>325663</v>
      </c>
      <c r="K63" s="10">
        <f t="shared" si="3"/>
        <v>6681689.25</v>
      </c>
      <c r="L63" s="10">
        <f t="shared" si="3"/>
        <v>5554722.570000004</v>
      </c>
      <c r="M63" s="10">
        <f t="shared" si="3"/>
        <v>4004206.8099999996</v>
      </c>
      <c r="N63" s="10">
        <f t="shared" si="3"/>
        <v>1278387.44</v>
      </c>
      <c r="O63" s="10">
        <f t="shared" si="3"/>
        <v>261071.92999999996</v>
      </c>
      <c r="P63" s="10">
        <f t="shared" si="3"/>
        <v>6692745.6399999997</v>
      </c>
    </row>
    <row r="64" spans="1:16" ht="15" customHeight="1" thickTop="1" x14ac:dyDescent="0.25"/>
    <row r="65" spans="1:2" ht="15" customHeight="1" x14ac:dyDescent="0.25">
      <c r="A65" s="21" t="s">
        <v>35</v>
      </c>
    </row>
    <row r="66" spans="1:2" ht="15" customHeight="1" x14ac:dyDescent="0.25">
      <c r="A66" s="11" t="s">
        <v>40</v>
      </c>
      <c r="B66" s="11"/>
    </row>
  </sheetData>
  <mergeCells count="4">
    <mergeCell ref="A1:P1"/>
    <mergeCell ref="A2:P2"/>
    <mergeCell ref="A4:P4"/>
    <mergeCell ref="A3:P3"/>
  </mergeCells>
  <pageMargins left="0.25" right="0.25" top="0.5" bottom="0.5" header="0" footer="0"/>
  <pageSetup scale="60" orientation="landscape" r:id="rId1"/>
  <headerFooter>
    <oddFooter>&amp;L&amp;"Arial,Regular"&amp;8&amp;F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5"/>
  <sheetViews>
    <sheetView zoomScaleNormal="100" workbookViewId="0">
      <pane ySplit="5" topLeftCell="A35" activePane="bottomLeft" state="frozen"/>
      <selection pane="bottomLeft" activeCell="L62" sqref="L62:M62"/>
    </sheetView>
  </sheetViews>
  <sheetFormatPr defaultRowHeight="15" customHeight="1" x14ac:dyDescent="0.25"/>
  <cols>
    <col min="1" max="1" width="12.7109375" style="1" customWidth="1"/>
    <col min="2" max="2" width="15" style="1" bestFit="1" customWidth="1"/>
    <col min="3" max="3" width="13.28515625" style="1" bestFit="1" customWidth="1"/>
    <col min="4" max="4" width="13.28515625" style="1" customWidth="1"/>
    <col min="5" max="5" width="14.85546875" style="1" customWidth="1"/>
    <col min="6" max="7" width="13.42578125" style="1" bestFit="1" customWidth="1"/>
    <col min="8" max="10" width="13.28515625" style="1" bestFit="1" customWidth="1"/>
    <col min="11" max="12" width="15" style="1" bestFit="1" customWidth="1"/>
    <col min="13" max="13" width="14.28515625" style="1" bestFit="1" customWidth="1"/>
    <col min="14" max="14" width="15" style="1" bestFit="1" customWidth="1"/>
    <col min="15" max="15" width="10.7109375" style="1" customWidth="1"/>
    <col min="16" max="16384" width="9.140625" style="1"/>
  </cols>
  <sheetData>
    <row r="1" spans="1:14" s="2" customFormat="1" ht="60" x14ac:dyDescent="0.25">
      <c r="B1" s="3" t="s">
        <v>28</v>
      </c>
      <c r="C1" s="4" t="s">
        <v>11</v>
      </c>
      <c r="D1" s="4" t="s">
        <v>31</v>
      </c>
      <c r="E1" s="3" t="s">
        <v>12</v>
      </c>
      <c r="F1" s="3" t="s">
        <v>13</v>
      </c>
      <c r="G1" s="3" t="s">
        <v>14</v>
      </c>
      <c r="H1" s="3" t="s">
        <v>15</v>
      </c>
      <c r="I1" s="3" t="s">
        <v>16</v>
      </c>
      <c r="J1" s="3" t="s">
        <v>17</v>
      </c>
      <c r="K1" s="3" t="s">
        <v>18</v>
      </c>
      <c r="L1" s="3" t="s">
        <v>19</v>
      </c>
      <c r="M1" s="3" t="s">
        <v>20</v>
      </c>
      <c r="N1" s="3" t="s">
        <v>21</v>
      </c>
    </row>
    <row r="2" spans="1:14" s="2" customFormat="1" ht="15" customHeight="1" x14ac:dyDescent="0.25">
      <c r="B2" s="5">
        <v>22</v>
      </c>
      <c r="C2" s="12">
        <v>2</v>
      </c>
      <c r="D2" s="12">
        <v>1</v>
      </c>
      <c r="E2" s="5">
        <v>1</v>
      </c>
      <c r="F2" s="5">
        <v>0</v>
      </c>
      <c r="G2" s="5"/>
      <c r="H2" s="5">
        <v>2</v>
      </c>
      <c r="I2" s="5">
        <v>1</v>
      </c>
      <c r="J2" s="5">
        <v>2</v>
      </c>
      <c r="K2" s="5">
        <f>SUM(B2:J2)</f>
        <v>31</v>
      </c>
      <c r="L2" s="6"/>
      <c r="M2" s="6"/>
      <c r="N2" s="6"/>
    </row>
    <row r="3" spans="1:14" s="2" customFormat="1" ht="15" customHeight="1" x14ac:dyDescent="0.25">
      <c r="B3" s="6"/>
      <c r="C3" s="7"/>
      <c r="D3" s="7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15" customHeight="1" x14ac:dyDescent="0.25">
      <c r="A4" s="1" t="s">
        <v>32</v>
      </c>
      <c r="B4" s="18">
        <v>2530229.5</v>
      </c>
      <c r="C4" s="18">
        <v>848352</v>
      </c>
      <c r="D4" s="18">
        <v>-1463</v>
      </c>
      <c r="E4" s="18">
        <v>-147307.5</v>
      </c>
      <c r="F4" s="18">
        <v>48054</v>
      </c>
      <c r="G4" s="18">
        <v>3390</v>
      </c>
      <c r="H4" s="18">
        <v>334443</v>
      </c>
      <c r="I4" s="18">
        <v>55746</v>
      </c>
      <c r="J4" s="18">
        <v>610449</v>
      </c>
      <c r="K4" s="18">
        <v>4281893</v>
      </c>
      <c r="L4" s="18">
        <v>1284567.8799999997</v>
      </c>
      <c r="M4" s="18">
        <v>214094.71000000002</v>
      </c>
      <c r="N4" s="18">
        <v>2783230.41</v>
      </c>
    </row>
    <row r="6" spans="1:14" ht="15" customHeight="1" x14ac:dyDescent="0.25">
      <c r="A6" s="26" t="s">
        <v>33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</row>
    <row r="7" spans="1:14" ht="15" customHeight="1" x14ac:dyDescent="0.25">
      <c r="A7" s="19"/>
      <c r="B7" s="19"/>
      <c r="C7" s="19"/>
      <c r="D7" s="22"/>
      <c r="E7" s="19"/>
      <c r="F7" s="19"/>
      <c r="G7" s="19"/>
      <c r="H7" s="19"/>
      <c r="I7" s="19"/>
      <c r="J7" s="19"/>
      <c r="K7" s="19"/>
      <c r="L7" s="19"/>
      <c r="M7" s="19"/>
      <c r="N7" s="19"/>
    </row>
    <row r="8" spans="1:14" ht="15" customHeight="1" x14ac:dyDescent="0.25">
      <c r="A8" s="13" t="s">
        <v>34</v>
      </c>
      <c r="B8" s="8">
        <v>151941</v>
      </c>
      <c r="C8" s="8">
        <v>12182</v>
      </c>
      <c r="D8" s="8">
        <v>-167</v>
      </c>
      <c r="E8" s="8">
        <v>0</v>
      </c>
      <c r="F8" s="8">
        <v>0</v>
      </c>
      <c r="G8" s="8">
        <v>0</v>
      </c>
      <c r="H8" s="8">
        <v>15733</v>
      </c>
      <c r="I8" s="8">
        <v>-1959</v>
      </c>
      <c r="J8" s="8">
        <v>13703</v>
      </c>
      <c r="K8" s="8">
        <f t="shared" ref="K8:K13" si="0">SUM(B8:J8)</f>
        <v>191433</v>
      </c>
      <c r="L8" s="8">
        <f t="shared" ref="L8:L60" si="1">ROUND($K8*0.3,2)</f>
        <v>57429.9</v>
      </c>
      <c r="M8" s="8">
        <f>ROUND($K8*0.05,2)+0.01</f>
        <v>9571.66</v>
      </c>
      <c r="N8" s="8">
        <f>ROUND($K8*0.65,2)-0.01</f>
        <v>124431.44</v>
      </c>
    </row>
    <row r="9" spans="1:14" ht="15" customHeight="1" x14ac:dyDescent="0.25">
      <c r="A9" s="23" t="s">
        <v>36</v>
      </c>
      <c r="B9" s="8">
        <v>224560.5</v>
      </c>
      <c r="C9" s="8">
        <v>-929</v>
      </c>
      <c r="D9" s="8">
        <v>195</v>
      </c>
      <c r="E9" s="8">
        <v>0</v>
      </c>
      <c r="F9" s="8">
        <v>0</v>
      </c>
      <c r="G9" s="8">
        <v>0</v>
      </c>
      <c r="H9" s="8">
        <v>20406</v>
      </c>
      <c r="I9" s="8">
        <v>0</v>
      </c>
      <c r="J9" s="8">
        <v>2727</v>
      </c>
      <c r="K9" s="8">
        <f t="shared" si="0"/>
        <v>246959.5</v>
      </c>
      <c r="L9" s="8">
        <f t="shared" si="1"/>
        <v>74087.850000000006</v>
      </c>
      <c r="M9" s="8">
        <f t="shared" ref="M9:M60" si="2">ROUND($K9*0.05,2)</f>
        <v>12347.98</v>
      </c>
      <c r="N9" s="8">
        <f>ROUND($K9*0.65,2)-0.01</f>
        <v>160523.66999999998</v>
      </c>
    </row>
    <row r="10" spans="1:14" ht="15" customHeight="1" x14ac:dyDescent="0.25">
      <c r="A10" s="23">
        <f t="shared" ref="A10:A20" si="3">A9+7</f>
        <v>44030</v>
      </c>
      <c r="B10" s="8">
        <v>221504.5</v>
      </c>
      <c r="C10" s="8">
        <v>24131</v>
      </c>
      <c r="D10" s="8">
        <v>837</v>
      </c>
      <c r="E10" s="8">
        <v>0</v>
      </c>
      <c r="F10" s="8">
        <v>0</v>
      </c>
      <c r="G10" s="8">
        <v>0</v>
      </c>
      <c r="H10" s="8">
        <v>34712</v>
      </c>
      <c r="I10" s="8">
        <v>0</v>
      </c>
      <c r="J10" s="8">
        <v>10889</v>
      </c>
      <c r="K10" s="8">
        <f t="shared" si="0"/>
        <v>292073.5</v>
      </c>
      <c r="L10" s="8">
        <f t="shared" si="1"/>
        <v>87622.05</v>
      </c>
      <c r="M10" s="8">
        <f t="shared" si="2"/>
        <v>14603.68</v>
      </c>
      <c r="N10" s="8">
        <f>ROUND($K10*0.65,2)-0.01</f>
        <v>189847.77</v>
      </c>
    </row>
    <row r="11" spans="1:14" ht="15" customHeight="1" x14ac:dyDescent="0.25">
      <c r="A11" s="23">
        <f t="shared" si="3"/>
        <v>44037</v>
      </c>
      <c r="B11" s="8">
        <v>166145</v>
      </c>
      <c r="C11" s="8">
        <v>44371</v>
      </c>
      <c r="D11" s="8">
        <v>27</v>
      </c>
      <c r="E11" s="8">
        <v>0</v>
      </c>
      <c r="F11" s="8">
        <v>0</v>
      </c>
      <c r="G11" s="8">
        <v>0</v>
      </c>
      <c r="H11" s="8">
        <v>26158</v>
      </c>
      <c r="I11" s="8">
        <v>0</v>
      </c>
      <c r="J11" s="8">
        <v>-580</v>
      </c>
      <c r="K11" s="8">
        <f t="shared" si="0"/>
        <v>236121</v>
      </c>
      <c r="L11" s="8">
        <f t="shared" si="1"/>
        <v>70836.3</v>
      </c>
      <c r="M11" s="8">
        <f t="shared" si="2"/>
        <v>11806.05</v>
      </c>
      <c r="N11" s="8">
        <f>ROUND($K11*0.65,2)</f>
        <v>153478.65</v>
      </c>
    </row>
    <row r="12" spans="1:14" ht="15" customHeight="1" x14ac:dyDescent="0.25">
      <c r="A12" s="23">
        <f t="shared" si="3"/>
        <v>44044</v>
      </c>
      <c r="B12" s="8">
        <v>160831</v>
      </c>
      <c r="C12" s="8">
        <v>11892</v>
      </c>
      <c r="D12" s="8">
        <v>305</v>
      </c>
      <c r="E12" s="8">
        <v>15220</v>
      </c>
      <c r="F12" s="8">
        <v>0</v>
      </c>
      <c r="G12" s="8">
        <v>0</v>
      </c>
      <c r="H12" s="8">
        <v>23338</v>
      </c>
      <c r="I12" s="8">
        <v>4308</v>
      </c>
      <c r="J12" s="8">
        <v>10450</v>
      </c>
      <c r="K12" s="8">
        <f t="shared" si="0"/>
        <v>226344</v>
      </c>
      <c r="L12" s="8">
        <f t="shared" si="1"/>
        <v>67903.199999999997</v>
      </c>
      <c r="M12" s="8">
        <f t="shared" si="2"/>
        <v>11317.2</v>
      </c>
      <c r="N12" s="8">
        <f>ROUND($K12*0.65,2)</f>
        <v>147123.6</v>
      </c>
    </row>
    <row r="13" spans="1:14" ht="15" customHeight="1" x14ac:dyDescent="0.25">
      <c r="A13" s="23">
        <f t="shared" si="3"/>
        <v>44051</v>
      </c>
      <c r="B13" s="8">
        <v>162775.5</v>
      </c>
      <c r="C13" s="8">
        <v>35123</v>
      </c>
      <c r="D13" s="8">
        <v>2972</v>
      </c>
      <c r="E13" s="8">
        <v>0</v>
      </c>
      <c r="F13" s="8">
        <v>0</v>
      </c>
      <c r="G13" s="8">
        <v>0</v>
      </c>
      <c r="H13" s="8">
        <v>7446</v>
      </c>
      <c r="I13" s="8">
        <v>0</v>
      </c>
      <c r="J13" s="8">
        <v>5606</v>
      </c>
      <c r="K13" s="8">
        <f t="shared" si="0"/>
        <v>213922.5</v>
      </c>
      <c r="L13" s="8">
        <f t="shared" si="1"/>
        <v>64176.75</v>
      </c>
      <c r="M13" s="8">
        <f t="shared" si="2"/>
        <v>10696.13</v>
      </c>
      <c r="N13" s="8">
        <f>ROUND($K13*0.65,2)-0.01</f>
        <v>139049.62</v>
      </c>
    </row>
    <row r="14" spans="1:14" ht="15" customHeight="1" x14ac:dyDescent="0.25">
      <c r="A14" s="23">
        <f t="shared" si="3"/>
        <v>44058</v>
      </c>
      <c r="B14" s="8">
        <v>200603.5</v>
      </c>
      <c r="C14" s="8">
        <v>22425</v>
      </c>
      <c r="D14" s="8">
        <v>845</v>
      </c>
      <c r="E14" s="8">
        <v>-13896.25</v>
      </c>
      <c r="F14" s="8">
        <v>0</v>
      </c>
      <c r="G14" s="8">
        <v>0</v>
      </c>
      <c r="H14" s="8">
        <v>9333</v>
      </c>
      <c r="I14" s="8">
        <v>51293</v>
      </c>
      <c r="J14" s="8">
        <v>5125</v>
      </c>
      <c r="K14" s="8">
        <f t="shared" ref="K14" si="4">SUM(B14:J14)</f>
        <v>275728.25</v>
      </c>
      <c r="L14" s="8">
        <f t="shared" si="1"/>
        <v>82718.48</v>
      </c>
      <c r="M14" s="8">
        <f t="shared" si="2"/>
        <v>13786.41</v>
      </c>
      <c r="N14" s="8">
        <f>ROUND($K14*0.65,2)</f>
        <v>179223.36</v>
      </c>
    </row>
    <row r="15" spans="1:14" ht="15" customHeight="1" x14ac:dyDescent="0.25">
      <c r="A15" s="23">
        <f t="shared" si="3"/>
        <v>44065</v>
      </c>
      <c r="B15" s="8">
        <v>1369.5</v>
      </c>
      <c r="C15" s="8">
        <v>9669</v>
      </c>
      <c r="D15" s="8">
        <v>55</v>
      </c>
      <c r="E15" s="8">
        <v>14603.75</v>
      </c>
      <c r="F15" s="8">
        <v>0</v>
      </c>
      <c r="G15" s="8">
        <v>0</v>
      </c>
      <c r="H15" s="8">
        <v>36341</v>
      </c>
      <c r="I15" s="8">
        <v>7052</v>
      </c>
      <c r="J15" s="8">
        <v>5217</v>
      </c>
      <c r="K15" s="8">
        <f t="shared" ref="K15" si="5">SUM(B15:J15)</f>
        <v>74307.25</v>
      </c>
      <c r="L15" s="8">
        <f t="shared" si="1"/>
        <v>22292.18</v>
      </c>
      <c r="M15" s="8">
        <f t="shared" si="2"/>
        <v>3715.36</v>
      </c>
      <c r="N15" s="8">
        <f>ROUND($K15*0.65,2)</f>
        <v>48299.71</v>
      </c>
    </row>
    <row r="16" spans="1:14" ht="15" customHeight="1" x14ac:dyDescent="0.25">
      <c r="A16" s="23">
        <f t="shared" si="3"/>
        <v>44072</v>
      </c>
      <c r="B16" s="8">
        <v>278634.5</v>
      </c>
      <c r="C16" s="8">
        <v>30960</v>
      </c>
      <c r="D16" s="8">
        <v>2604</v>
      </c>
      <c r="E16" s="8">
        <v>0</v>
      </c>
      <c r="F16" s="8">
        <v>0</v>
      </c>
      <c r="G16" s="8">
        <v>0</v>
      </c>
      <c r="H16" s="8">
        <v>21815</v>
      </c>
      <c r="I16" s="8">
        <v>0</v>
      </c>
      <c r="J16" s="8">
        <v>-10564</v>
      </c>
      <c r="K16" s="8">
        <f t="shared" ref="K16" si="6">SUM(B16:J16)</f>
        <v>323449.5</v>
      </c>
      <c r="L16" s="8">
        <f t="shared" si="1"/>
        <v>97034.85</v>
      </c>
      <c r="M16" s="8">
        <f t="shared" si="2"/>
        <v>16172.48</v>
      </c>
      <c r="N16" s="8">
        <f>ROUND($K16*0.65,2)-0.01</f>
        <v>210242.16999999998</v>
      </c>
    </row>
    <row r="17" spans="1:14" ht="15" customHeight="1" x14ac:dyDescent="0.25">
      <c r="A17" s="23">
        <f t="shared" si="3"/>
        <v>44079</v>
      </c>
      <c r="B17" s="8">
        <v>125286.5</v>
      </c>
      <c r="C17" s="8">
        <v>-23560</v>
      </c>
      <c r="D17" s="8">
        <v>1700</v>
      </c>
      <c r="E17" s="8">
        <v>0</v>
      </c>
      <c r="F17" s="8">
        <v>0</v>
      </c>
      <c r="G17" s="8">
        <v>0</v>
      </c>
      <c r="H17" s="8">
        <v>-9735</v>
      </c>
      <c r="I17" s="8">
        <v>2970</v>
      </c>
      <c r="J17" s="8">
        <v>10637</v>
      </c>
      <c r="K17" s="8">
        <f t="shared" ref="K17" si="7">SUM(B17:J17)</f>
        <v>107298.5</v>
      </c>
      <c r="L17" s="8">
        <f t="shared" si="1"/>
        <v>32189.55</v>
      </c>
      <c r="M17" s="8">
        <f t="shared" si="2"/>
        <v>5364.93</v>
      </c>
      <c r="N17" s="8">
        <f>ROUND($K17*0.65,2)-0.01</f>
        <v>69744.02</v>
      </c>
    </row>
    <row r="18" spans="1:14" ht="15" customHeight="1" x14ac:dyDescent="0.25">
      <c r="A18" s="23">
        <f t="shared" si="3"/>
        <v>44086</v>
      </c>
      <c r="B18" s="8">
        <v>-344279</v>
      </c>
      <c r="C18" s="8">
        <v>10313</v>
      </c>
      <c r="D18" s="8">
        <v>-4547</v>
      </c>
      <c r="E18" s="8">
        <v>0</v>
      </c>
      <c r="F18" s="8">
        <v>0</v>
      </c>
      <c r="G18" s="8">
        <v>0</v>
      </c>
      <c r="H18" s="8">
        <v>36072</v>
      </c>
      <c r="I18" s="8">
        <v>-31930</v>
      </c>
      <c r="J18" s="8">
        <v>3094</v>
      </c>
      <c r="K18" s="8">
        <f t="shared" ref="K18" si="8">SUM(B18:J18)</f>
        <v>-331277</v>
      </c>
      <c r="L18" s="8">
        <f t="shared" si="1"/>
        <v>-99383.1</v>
      </c>
      <c r="M18" s="8">
        <f t="shared" si="2"/>
        <v>-16563.849999999999</v>
      </c>
      <c r="N18" s="8">
        <f>ROUND($K18*0.65,2)</f>
        <v>-215330.05</v>
      </c>
    </row>
    <row r="19" spans="1:14" ht="15" customHeight="1" x14ac:dyDescent="0.25">
      <c r="A19" s="23">
        <f t="shared" si="3"/>
        <v>44093</v>
      </c>
      <c r="B19" s="8">
        <v>86103.5</v>
      </c>
      <c r="C19" s="8">
        <v>-26421</v>
      </c>
      <c r="D19" s="8">
        <v>70</v>
      </c>
      <c r="E19" s="8">
        <v>0</v>
      </c>
      <c r="F19" s="8">
        <v>0</v>
      </c>
      <c r="G19" s="8">
        <v>0</v>
      </c>
      <c r="H19" s="8">
        <v>16707</v>
      </c>
      <c r="I19" s="8">
        <v>0</v>
      </c>
      <c r="J19" s="8">
        <v>18883</v>
      </c>
      <c r="K19" s="8">
        <f t="shared" ref="K19" si="9">SUM(B19:J19)</f>
        <v>95342.5</v>
      </c>
      <c r="L19" s="8">
        <f t="shared" si="1"/>
        <v>28602.75</v>
      </c>
      <c r="M19" s="8">
        <f t="shared" si="2"/>
        <v>4767.13</v>
      </c>
      <c r="N19" s="8">
        <f>ROUND($K19*0.65,2)-0.01</f>
        <v>61972.619999999995</v>
      </c>
    </row>
    <row r="20" spans="1:14" ht="15" customHeight="1" x14ac:dyDescent="0.25">
      <c r="A20" s="23">
        <f t="shared" si="3"/>
        <v>44100</v>
      </c>
      <c r="B20" s="8">
        <v>224933.5</v>
      </c>
      <c r="C20" s="8">
        <v>-177826</v>
      </c>
      <c r="D20" s="8">
        <v>541</v>
      </c>
      <c r="E20" s="8">
        <v>0</v>
      </c>
      <c r="F20" s="8">
        <v>0</v>
      </c>
      <c r="G20" s="8">
        <v>0</v>
      </c>
      <c r="H20" s="8">
        <v>-36787</v>
      </c>
      <c r="I20" s="8">
        <v>-47999</v>
      </c>
      <c r="J20" s="8">
        <v>3820</v>
      </c>
      <c r="K20" s="8">
        <f t="shared" ref="K20" si="10">SUM(B20:J20)</f>
        <v>-33317.5</v>
      </c>
      <c r="L20" s="8">
        <f t="shared" si="1"/>
        <v>-9995.25</v>
      </c>
      <c r="M20" s="8">
        <f t="shared" si="2"/>
        <v>-1665.88</v>
      </c>
      <c r="N20" s="8">
        <f>ROUND($K20*0.65,2)+0.01</f>
        <v>-21656.370000000003</v>
      </c>
    </row>
    <row r="21" spans="1:14" ht="15" customHeight="1" x14ac:dyDescent="0.25">
      <c r="A21" s="23">
        <f t="shared" ref="A21:A59" si="11">A20+7</f>
        <v>44107</v>
      </c>
      <c r="B21" s="8">
        <v>120188.5</v>
      </c>
      <c r="C21" s="8">
        <v>28894</v>
      </c>
      <c r="D21" s="8">
        <v>355</v>
      </c>
      <c r="E21" s="8">
        <v>5798.75</v>
      </c>
      <c r="F21" s="8">
        <v>0</v>
      </c>
      <c r="G21" s="8">
        <v>0</v>
      </c>
      <c r="H21" s="8">
        <v>-46252</v>
      </c>
      <c r="I21" s="8">
        <v>0</v>
      </c>
      <c r="J21" s="8">
        <v>23567</v>
      </c>
      <c r="K21" s="8">
        <f t="shared" ref="K21" si="12">SUM(B21:J21)</f>
        <v>132551.25</v>
      </c>
      <c r="L21" s="8">
        <f t="shared" si="1"/>
        <v>39765.379999999997</v>
      </c>
      <c r="M21" s="8">
        <f t="shared" si="2"/>
        <v>6627.56</v>
      </c>
      <c r="N21" s="8">
        <f>ROUND($K21*0.65,2)</f>
        <v>86158.31</v>
      </c>
    </row>
    <row r="22" spans="1:14" ht="15" customHeight="1" x14ac:dyDescent="0.25">
      <c r="A22" s="23">
        <f t="shared" si="11"/>
        <v>44114</v>
      </c>
      <c r="B22" s="8">
        <v>133238.5</v>
      </c>
      <c r="C22" s="8">
        <v>14716</v>
      </c>
      <c r="D22" s="8">
        <v>-420</v>
      </c>
      <c r="E22" s="8">
        <v>0</v>
      </c>
      <c r="F22" s="8">
        <v>0</v>
      </c>
      <c r="G22" s="8">
        <v>0</v>
      </c>
      <c r="H22" s="8">
        <v>5043</v>
      </c>
      <c r="I22" s="8">
        <v>0</v>
      </c>
      <c r="J22" s="8">
        <v>8005</v>
      </c>
      <c r="K22" s="8">
        <f t="shared" ref="K22" si="13">SUM(B22:J22)</f>
        <v>160582.5</v>
      </c>
      <c r="L22" s="8">
        <f t="shared" si="1"/>
        <v>48174.75</v>
      </c>
      <c r="M22" s="8">
        <f t="shared" si="2"/>
        <v>8029.13</v>
      </c>
      <c r="N22" s="8">
        <f>ROUND($K22*0.65,2)-0.01</f>
        <v>104378.62000000001</v>
      </c>
    </row>
    <row r="23" spans="1:14" ht="15" customHeight="1" x14ac:dyDescent="0.25">
      <c r="A23" s="23">
        <f t="shared" si="11"/>
        <v>44121</v>
      </c>
      <c r="B23" s="8">
        <v>62853</v>
      </c>
      <c r="C23" s="8">
        <v>12019</v>
      </c>
      <c r="D23" s="8">
        <v>-165</v>
      </c>
      <c r="E23" s="8">
        <v>0</v>
      </c>
      <c r="F23" s="8">
        <v>0</v>
      </c>
      <c r="G23" s="8">
        <v>0</v>
      </c>
      <c r="H23" s="8">
        <v>18214</v>
      </c>
      <c r="I23" s="8">
        <v>0</v>
      </c>
      <c r="J23" s="8">
        <v>3027</v>
      </c>
      <c r="K23" s="8">
        <f t="shared" ref="K23" si="14">SUM(B23:J23)</f>
        <v>95948</v>
      </c>
      <c r="L23" s="8">
        <f t="shared" si="1"/>
        <v>28784.400000000001</v>
      </c>
      <c r="M23" s="8">
        <f t="shared" si="2"/>
        <v>4797.3999999999996</v>
      </c>
      <c r="N23" s="8">
        <f t="shared" ref="N23:N28" si="15">ROUND($K23*0.65,2)</f>
        <v>62366.2</v>
      </c>
    </row>
    <row r="24" spans="1:14" ht="15" customHeight="1" x14ac:dyDescent="0.25">
      <c r="A24" s="23">
        <f t="shared" si="11"/>
        <v>44128</v>
      </c>
      <c r="B24" s="8">
        <v>140702</v>
      </c>
      <c r="C24" s="8">
        <v>18735</v>
      </c>
      <c r="D24" s="8">
        <v>0</v>
      </c>
      <c r="E24" s="8">
        <v>-585</v>
      </c>
      <c r="F24" s="8">
        <v>0</v>
      </c>
      <c r="G24" s="8">
        <v>0</v>
      </c>
      <c r="H24" s="8">
        <v>-70</v>
      </c>
      <c r="I24" s="8">
        <v>600</v>
      </c>
      <c r="J24" s="8">
        <v>4754</v>
      </c>
      <c r="K24" s="8">
        <f t="shared" ref="K24" si="16">SUM(B24:J24)</f>
        <v>164136</v>
      </c>
      <c r="L24" s="8">
        <f t="shared" si="1"/>
        <v>49240.800000000003</v>
      </c>
      <c r="M24" s="8">
        <f t="shared" si="2"/>
        <v>8206.7999999999993</v>
      </c>
      <c r="N24" s="8">
        <f t="shared" si="15"/>
        <v>106688.4</v>
      </c>
    </row>
    <row r="25" spans="1:14" ht="15" customHeight="1" x14ac:dyDescent="0.25">
      <c r="A25" s="23">
        <f t="shared" si="11"/>
        <v>44135</v>
      </c>
      <c r="B25" s="8">
        <v>21807</v>
      </c>
      <c r="C25" s="8">
        <v>25214</v>
      </c>
      <c r="D25" s="8">
        <v>-1060</v>
      </c>
      <c r="E25" s="8">
        <v>0</v>
      </c>
      <c r="F25" s="8">
        <v>0</v>
      </c>
      <c r="G25" s="8">
        <v>0</v>
      </c>
      <c r="H25" s="8">
        <v>-23600</v>
      </c>
      <c r="I25" s="8">
        <v>0</v>
      </c>
      <c r="J25" s="8">
        <v>8518</v>
      </c>
      <c r="K25" s="8">
        <f t="shared" ref="K25" si="17">SUM(B25:J25)</f>
        <v>30879</v>
      </c>
      <c r="L25" s="8">
        <f t="shared" si="1"/>
        <v>9263.7000000000007</v>
      </c>
      <c r="M25" s="8">
        <f t="shared" si="2"/>
        <v>1543.95</v>
      </c>
      <c r="N25" s="8">
        <f t="shared" si="15"/>
        <v>20071.349999999999</v>
      </c>
    </row>
    <row r="26" spans="1:14" ht="15" customHeight="1" x14ac:dyDescent="0.25">
      <c r="A26" s="23">
        <f t="shared" si="11"/>
        <v>44142</v>
      </c>
      <c r="B26" s="8">
        <v>-24985</v>
      </c>
      <c r="C26" s="8">
        <v>8472</v>
      </c>
      <c r="D26" s="8">
        <v>275</v>
      </c>
      <c r="E26" s="8">
        <v>0</v>
      </c>
      <c r="F26" s="8">
        <v>0</v>
      </c>
      <c r="G26" s="8">
        <v>0</v>
      </c>
      <c r="H26" s="8">
        <v>-15320</v>
      </c>
      <c r="I26" s="8">
        <v>200</v>
      </c>
      <c r="J26" s="8">
        <v>7497</v>
      </c>
      <c r="K26" s="8">
        <f t="shared" ref="K26" si="18">SUM(B26:J26)</f>
        <v>-23861</v>
      </c>
      <c r="L26" s="8">
        <f t="shared" si="1"/>
        <v>-7158.3</v>
      </c>
      <c r="M26" s="8">
        <f t="shared" si="2"/>
        <v>-1193.05</v>
      </c>
      <c r="N26" s="8">
        <f t="shared" si="15"/>
        <v>-15509.65</v>
      </c>
    </row>
    <row r="27" spans="1:14" ht="15" customHeight="1" x14ac:dyDescent="0.25">
      <c r="A27" s="23">
        <f t="shared" si="11"/>
        <v>44149</v>
      </c>
      <c r="B27" s="8">
        <v>185654</v>
      </c>
      <c r="C27" s="8">
        <v>53970</v>
      </c>
      <c r="D27" s="8">
        <v>300</v>
      </c>
      <c r="E27" s="8">
        <v>0</v>
      </c>
      <c r="F27" s="8">
        <v>0</v>
      </c>
      <c r="G27" s="8">
        <v>0</v>
      </c>
      <c r="H27" s="8">
        <v>10001</v>
      </c>
      <c r="I27" s="8">
        <v>2280</v>
      </c>
      <c r="J27" s="8">
        <v>2721</v>
      </c>
      <c r="K27" s="8">
        <f t="shared" ref="K27" si="19">SUM(B27:J27)</f>
        <v>254926</v>
      </c>
      <c r="L27" s="8">
        <f t="shared" si="1"/>
        <v>76477.8</v>
      </c>
      <c r="M27" s="8">
        <f t="shared" si="2"/>
        <v>12746.3</v>
      </c>
      <c r="N27" s="8">
        <f t="shared" si="15"/>
        <v>165701.9</v>
      </c>
    </row>
    <row r="28" spans="1:14" ht="15" customHeight="1" x14ac:dyDescent="0.25">
      <c r="A28" s="23">
        <f t="shared" si="11"/>
        <v>44156</v>
      </c>
      <c r="B28" s="8">
        <v>-25117</v>
      </c>
      <c r="C28" s="8">
        <v>85738</v>
      </c>
      <c r="D28" s="8">
        <v>390</v>
      </c>
      <c r="E28" s="8">
        <v>0</v>
      </c>
      <c r="F28" s="8">
        <v>0</v>
      </c>
      <c r="G28" s="8">
        <v>0</v>
      </c>
      <c r="H28" s="8">
        <v>29879</v>
      </c>
      <c r="I28" s="8">
        <v>-465</v>
      </c>
      <c r="J28" s="8">
        <v>4315</v>
      </c>
      <c r="K28" s="8">
        <f t="shared" ref="K28" si="20">SUM(B28:J28)</f>
        <v>94740</v>
      </c>
      <c r="L28" s="8">
        <f t="shared" si="1"/>
        <v>28422</v>
      </c>
      <c r="M28" s="8">
        <f t="shared" si="2"/>
        <v>4737</v>
      </c>
      <c r="N28" s="8">
        <f t="shared" si="15"/>
        <v>61581</v>
      </c>
    </row>
    <row r="29" spans="1:14" ht="15" customHeight="1" x14ac:dyDescent="0.25">
      <c r="A29" s="23">
        <f t="shared" si="11"/>
        <v>44163</v>
      </c>
      <c r="B29" s="8">
        <v>155765.5</v>
      </c>
      <c r="C29" s="8">
        <v>16832</v>
      </c>
      <c r="D29" s="8">
        <v>50</v>
      </c>
      <c r="E29" s="8">
        <v>0</v>
      </c>
      <c r="F29" s="8">
        <v>0</v>
      </c>
      <c r="G29" s="8">
        <v>0</v>
      </c>
      <c r="H29" s="8">
        <v>-9439</v>
      </c>
      <c r="I29" s="8">
        <v>-3995</v>
      </c>
      <c r="J29" s="8">
        <v>6390</v>
      </c>
      <c r="K29" s="8">
        <f t="shared" ref="K29" si="21">SUM(B29:J29)</f>
        <v>165603.5</v>
      </c>
      <c r="L29" s="8">
        <f t="shared" si="1"/>
        <v>49681.05</v>
      </c>
      <c r="M29" s="8">
        <f t="shared" si="2"/>
        <v>8280.18</v>
      </c>
      <c r="N29" s="8">
        <f>ROUND($K29*0.65,2)-0.01</f>
        <v>107642.27</v>
      </c>
    </row>
    <row r="30" spans="1:14" ht="15" customHeight="1" x14ac:dyDescent="0.25">
      <c r="A30" s="23">
        <f t="shared" si="11"/>
        <v>44170</v>
      </c>
      <c r="B30" s="8">
        <v>71808.5</v>
      </c>
      <c r="C30" s="8">
        <v>29296</v>
      </c>
      <c r="D30" s="8">
        <v>-245</v>
      </c>
      <c r="E30" s="8">
        <v>0</v>
      </c>
      <c r="F30" s="8">
        <v>0</v>
      </c>
      <c r="G30" s="8">
        <v>0</v>
      </c>
      <c r="H30" s="8">
        <v>13601</v>
      </c>
      <c r="I30" s="8">
        <v>-11745</v>
      </c>
      <c r="J30" s="8">
        <v>7439</v>
      </c>
      <c r="K30" s="8">
        <f t="shared" ref="K30" si="22">SUM(B30:J30)</f>
        <v>110154.5</v>
      </c>
      <c r="L30" s="8">
        <f t="shared" si="1"/>
        <v>33046.35</v>
      </c>
      <c r="M30" s="8">
        <f t="shared" si="2"/>
        <v>5507.73</v>
      </c>
      <c r="N30" s="8">
        <f>ROUND($K30*0.65,2)-0.01</f>
        <v>71600.42</v>
      </c>
    </row>
    <row r="31" spans="1:14" ht="15" customHeight="1" x14ac:dyDescent="0.25">
      <c r="A31" s="23">
        <f t="shared" si="11"/>
        <v>44177</v>
      </c>
      <c r="B31" s="8">
        <v>-20288</v>
      </c>
      <c r="C31" s="8">
        <v>33015</v>
      </c>
      <c r="D31" s="8">
        <v>460</v>
      </c>
      <c r="E31" s="8">
        <v>0</v>
      </c>
      <c r="F31" s="8">
        <v>0</v>
      </c>
      <c r="G31" s="8">
        <v>0</v>
      </c>
      <c r="H31" s="8">
        <v>17603</v>
      </c>
      <c r="I31" s="8">
        <v>0</v>
      </c>
      <c r="J31" s="8">
        <v>7128</v>
      </c>
      <c r="K31" s="8">
        <f t="shared" ref="K31" si="23">SUM(B31:J31)</f>
        <v>37918</v>
      </c>
      <c r="L31" s="8">
        <f t="shared" si="1"/>
        <v>11375.4</v>
      </c>
      <c r="M31" s="8">
        <f t="shared" si="2"/>
        <v>1895.9</v>
      </c>
      <c r="N31" s="8">
        <f>ROUND($K31*0.65,2)</f>
        <v>24646.7</v>
      </c>
    </row>
    <row r="32" spans="1:14" ht="15" customHeight="1" x14ac:dyDescent="0.25">
      <c r="A32" s="23">
        <f t="shared" si="11"/>
        <v>44184</v>
      </c>
      <c r="B32" s="8">
        <v>87005.5</v>
      </c>
      <c r="C32" s="8">
        <v>10478</v>
      </c>
      <c r="D32" s="8">
        <v>0</v>
      </c>
      <c r="E32" s="8">
        <v>0</v>
      </c>
      <c r="F32" s="8">
        <v>0</v>
      </c>
      <c r="G32" s="8">
        <v>0</v>
      </c>
      <c r="H32" s="8">
        <v>-4789</v>
      </c>
      <c r="I32" s="8">
        <v>-21607</v>
      </c>
      <c r="J32" s="8">
        <v>8086</v>
      </c>
      <c r="K32" s="8">
        <f t="shared" ref="K32" si="24">SUM(B32:J32)</f>
        <v>79173.5</v>
      </c>
      <c r="L32" s="8">
        <f t="shared" si="1"/>
        <v>23752.05</v>
      </c>
      <c r="M32" s="8">
        <f t="shared" si="2"/>
        <v>3958.68</v>
      </c>
      <c r="N32" s="8">
        <f>ROUND($K32*0.65,2)-0.01</f>
        <v>51462.77</v>
      </c>
    </row>
    <row r="33" spans="1:14" ht="15" customHeight="1" x14ac:dyDescent="0.25">
      <c r="A33" s="23">
        <f t="shared" si="11"/>
        <v>44191</v>
      </c>
      <c r="B33" s="8">
        <v>121123</v>
      </c>
      <c r="C33" s="8">
        <v>104154</v>
      </c>
      <c r="D33" s="8">
        <v>0</v>
      </c>
      <c r="E33" s="8">
        <v>0</v>
      </c>
      <c r="F33" s="8">
        <v>0</v>
      </c>
      <c r="G33" s="8">
        <v>0</v>
      </c>
      <c r="H33" s="8">
        <v>18173</v>
      </c>
      <c r="I33" s="8">
        <v>-12945</v>
      </c>
      <c r="J33" s="8">
        <v>11373</v>
      </c>
      <c r="K33" s="8">
        <f t="shared" ref="K33" si="25">SUM(B33:J33)</f>
        <v>241878</v>
      </c>
      <c r="L33" s="8">
        <f t="shared" si="1"/>
        <v>72563.399999999994</v>
      </c>
      <c r="M33" s="8">
        <f t="shared" si="2"/>
        <v>12093.9</v>
      </c>
      <c r="N33" s="8">
        <f t="shared" ref="N33:N39" si="26">ROUND($K33*0.65,2)</f>
        <v>157220.70000000001</v>
      </c>
    </row>
    <row r="34" spans="1:14" ht="15" customHeight="1" x14ac:dyDescent="0.25">
      <c r="A34" s="23">
        <f t="shared" si="11"/>
        <v>44198</v>
      </c>
      <c r="B34" s="8">
        <v>38576</v>
      </c>
      <c r="C34" s="8">
        <v>30355</v>
      </c>
      <c r="D34" s="8">
        <v>-480</v>
      </c>
      <c r="E34" s="8">
        <v>66680</v>
      </c>
      <c r="F34" s="8">
        <v>0</v>
      </c>
      <c r="G34" s="8">
        <v>0</v>
      </c>
      <c r="H34" s="8">
        <v>33200</v>
      </c>
      <c r="I34" s="8">
        <v>36024</v>
      </c>
      <c r="J34" s="8">
        <v>7408</v>
      </c>
      <c r="K34" s="8">
        <f t="shared" ref="K34" si="27">SUM(B34:J34)</f>
        <v>211763</v>
      </c>
      <c r="L34" s="8">
        <f t="shared" si="1"/>
        <v>63528.9</v>
      </c>
      <c r="M34" s="8">
        <f t="shared" si="2"/>
        <v>10588.15</v>
      </c>
      <c r="N34" s="8">
        <f t="shared" si="26"/>
        <v>137645.95000000001</v>
      </c>
    </row>
    <row r="35" spans="1:14" ht="15" customHeight="1" x14ac:dyDescent="0.25">
      <c r="A35" s="23">
        <f t="shared" si="11"/>
        <v>44205</v>
      </c>
      <c r="B35" s="8">
        <v>85801</v>
      </c>
      <c r="C35" s="8">
        <v>9478</v>
      </c>
      <c r="D35" s="8">
        <v>0</v>
      </c>
      <c r="E35" s="8">
        <v>0</v>
      </c>
      <c r="F35" s="8">
        <v>0</v>
      </c>
      <c r="G35" s="8">
        <v>0</v>
      </c>
      <c r="H35" s="8">
        <v>-1810</v>
      </c>
      <c r="I35" s="8">
        <v>-39660</v>
      </c>
      <c r="J35" s="8">
        <v>4210</v>
      </c>
      <c r="K35" s="8">
        <f t="shared" ref="K35" si="28">SUM(B35:J35)</f>
        <v>58019</v>
      </c>
      <c r="L35" s="8">
        <f t="shared" si="1"/>
        <v>17405.7</v>
      </c>
      <c r="M35" s="8">
        <f t="shared" si="2"/>
        <v>2900.95</v>
      </c>
      <c r="N35" s="8">
        <f t="shared" si="26"/>
        <v>37712.35</v>
      </c>
    </row>
    <row r="36" spans="1:14" ht="15" customHeight="1" x14ac:dyDescent="0.25">
      <c r="A36" s="23">
        <f t="shared" si="11"/>
        <v>44212</v>
      </c>
      <c r="B36" s="8">
        <v>132770</v>
      </c>
      <c r="C36" s="8">
        <v>7889</v>
      </c>
      <c r="D36" s="8">
        <v>0</v>
      </c>
      <c r="E36" s="8">
        <v>0</v>
      </c>
      <c r="F36" s="8">
        <v>0</v>
      </c>
      <c r="G36" s="8">
        <v>0</v>
      </c>
      <c r="H36" s="8">
        <v>23139</v>
      </c>
      <c r="I36" s="8">
        <v>-8423</v>
      </c>
      <c r="J36" s="8">
        <v>19607</v>
      </c>
      <c r="K36" s="8">
        <f t="shared" ref="K36" si="29">SUM(B36:J36)</f>
        <v>174982</v>
      </c>
      <c r="L36" s="8">
        <f t="shared" si="1"/>
        <v>52494.6</v>
      </c>
      <c r="M36" s="8">
        <f t="shared" si="2"/>
        <v>8749.1</v>
      </c>
      <c r="N36" s="8">
        <f t="shared" si="26"/>
        <v>113738.3</v>
      </c>
    </row>
    <row r="37" spans="1:14" ht="15" customHeight="1" x14ac:dyDescent="0.25">
      <c r="A37" s="23">
        <f t="shared" si="11"/>
        <v>44219</v>
      </c>
      <c r="B37" s="8">
        <v>6033</v>
      </c>
      <c r="C37" s="8">
        <v>13380</v>
      </c>
      <c r="D37" s="8">
        <v>0</v>
      </c>
      <c r="E37" s="8">
        <v>0</v>
      </c>
      <c r="F37" s="8">
        <v>0</v>
      </c>
      <c r="G37" s="8">
        <v>0</v>
      </c>
      <c r="H37" s="8">
        <v>5248</v>
      </c>
      <c r="I37" s="8">
        <v>0</v>
      </c>
      <c r="J37" s="8">
        <v>5546</v>
      </c>
      <c r="K37" s="8">
        <f t="shared" ref="K37" si="30">SUM(B37:J37)</f>
        <v>30207</v>
      </c>
      <c r="L37" s="8">
        <f t="shared" si="1"/>
        <v>9062.1</v>
      </c>
      <c r="M37" s="8">
        <f t="shared" si="2"/>
        <v>1510.35</v>
      </c>
      <c r="N37" s="8">
        <f t="shared" si="26"/>
        <v>19634.55</v>
      </c>
    </row>
    <row r="38" spans="1:14" ht="15" customHeight="1" x14ac:dyDescent="0.25">
      <c r="A38" s="23">
        <f t="shared" si="11"/>
        <v>44226</v>
      </c>
      <c r="B38" s="8">
        <v>172137</v>
      </c>
      <c r="C38" s="8">
        <v>2245</v>
      </c>
      <c r="D38" s="8">
        <v>0</v>
      </c>
      <c r="E38" s="8">
        <v>0</v>
      </c>
      <c r="F38" s="8">
        <v>0</v>
      </c>
      <c r="G38" s="8">
        <v>0</v>
      </c>
      <c r="H38" s="8">
        <v>13986</v>
      </c>
      <c r="I38" s="8">
        <v>35928</v>
      </c>
      <c r="J38" s="8">
        <v>1445</v>
      </c>
      <c r="K38" s="8">
        <f t="shared" ref="K38" si="31">SUM(B38:J38)</f>
        <v>225741</v>
      </c>
      <c r="L38" s="8">
        <f t="shared" si="1"/>
        <v>67722.3</v>
      </c>
      <c r="M38" s="8">
        <f t="shared" si="2"/>
        <v>11287.05</v>
      </c>
      <c r="N38" s="8">
        <f t="shared" si="26"/>
        <v>146731.65</v>
      </c>
    </row>
    <row r="39" spans="1:14" ht="15" customHeight="1" x14ac:dyDescent="0.25">
      <c r="A39" s="23">
        <f t="shared" si="11"/>
        <v>44233</v>
      </c>
      <c r="B39" s="8">
        <v>121676</v>
      </c>
      <c r="C39" s="8">
        <v>27014</v>
      </c>
      <c r="D39" s="8">
        <v>0</v>
      </c>
      <c r="E39" s="8">
        <v>0</v>
      </c>
      <c r="F39" s="8">
        <v>0</v>
      </c>
      <c r="G39" s="8">
        <v>0</v>
      </c>
      <c r="H39" s="8">
        <v>320</v>
      </c>
      <c r="I39" s="8">
        <v>0</v>
      </c>
      <c r="J39" s="8">
        <v>4312</v>
      </c>
      <c r="K39" s="8">
        <f t="shared" ref="K39" si="32">SUM(B39:J39)</f>
        <v>153322</v>
      </c>
      <c r="L39" s="8">
        <f t="shared" si="1"/>
        <v>45996.6</v>
      </c>
      <c r="M39" s="8">
        <f t="shared" si="2"/>
        <v>7666.1</v>
      </c>
      <c r="N39" s="8">
        <f t="shared" si="26"/>
        <v>99659.3</v>
      </c>
    </row>
    <row r="40" spans="1:14" ht="15" customHeight="1" x14ac:dyDescent="0.25">
      <c r="A40" s="23">
        <f t="shared" si="11"/>
        <v>44240</v>
      </c>
      <c r="B40" s="8">
        <v>166464.5</v>
      </c>
      <c r="C40" s="8">
        <v>40749</v>
      </c>
      <c r="D40" s="8">
        <v>0</v>
      </c>
      <c r="E40" s="8">
        <v>0</v>
      </c>
      <c r="F40" s="8">
        <v>0</v>
      </c>
      <c r="G40" s="8">
        <v>0</v>
      </c>
      <c r="H40" s="8">
        <v>40475</v>
      </c>
      <c r="I40" s="8">
        <v>2596</v>
      </c>
      <c r="J40" s="8">
        <v>9846</v>
      </c>
      <c r="K40" s="8">
        <f t="shared" ref="K40" si="33">SUM(B40:J40)</f>
        <v>260130.5</v>
      </c>
      <c r="L40" s="8">
        <f t="shared" si="1"/>
        <v>78039.149999999994</v>
      </c>
      <c r="M40" s="8">
        <f t="shared" si="2"/>
        <v>13006.53</v>
      </c>
      <c r="N40" s="8">
        <f>ROUND($K40*0.65,2)-0.01</f>
        <v>169084.81999999998</v>
      </c>
    </row>
    <row r="41" spans="1:14" ht="15" customHeight="1" x14ac:dyDescent="0.25">
      <c r="A41" s="23">
        <f t="shared" si="11"/>
        <v>44247</v>
      </c>
      <c r="B41" s="8">
        <v>215071</v>
      </c>
      <c r="C41" s="8">
        <v>15075</v>
      </c>
      <c r="D41" s="8">
        <v>0</v>
      </c>
      <c r="E41" s="8">
        <v>0</v>
      </c>
      <c r="F41" s="8">
        <v>0</v>
      </c>
      <c r="G41" s="8">
        <v>0</v>
      </c>
      <c r="H41" s="8">
        <v>66550</v>
      </c>
      <c r="I41" s="8">
        <v>0</v>
      </c>
      <c r="J41" s="8">
        <v>12118</v>
      </c>
      <c r="K41" s="8">
        <f t="shared" ref="K41" si="34">SUM(B41:J41)</f>
        <v>308814</v>
      </c>
      <c r="L41" s="8">
        <f t="shared" si="1"/>
        <v>92644.2</v>
      </c>
      <c r="M41" s="8">
        <f t="shared" si="2"/>
        <v>15440.7</v>
      </c>
      <c r="N41" s="8">
        <f>ROUND($K41*0.65,2)</f>
        <v>200729.1</v>
      </c>
    </row>
    <row r="42" spans="1:14" ht="15" customHeight="1" x14ac:dyDescent="0.25">
      <c r="A42" s="23">
        <f t="shared" si="11"/>
        <v>44254</v>
      </c>
      <c r="B42" s="8">
        <v>55781</v>
      </c>
      <c r="C42" s="8">
        <v>7177</v>
      </c>
      <c r="D42" s="8">
        <v>0</v>
      </c>
      <c r="E42" s="8">
        <v>0</v>
      </c>
      <c r="F42" s="8">
        <v>0</v>
      </c>
      <c r="G42" s="8">
        <v>0</v>
      </c>
      <c r="H42" s="8">
        <v>3369</v>
      </c>
      <c r="I42" s="8">
        <v>-10683</v>
      </c>
      <c r="J42" s="8">
        <v>95</v>
      </c>
      <c r="K42" s="8">
        <f t="shared" ref="K42" si="35">SUM(B42:J42)</f>
        <v>55739</v>
      </c>
      <c r="L42" s="8">
        <f t="shared" si="1"/>
        <v>16721.7</v>
      </c>
      <c r="M42" s="8">
        <f t="shared" si="2"/>
        <v>2786.95</v>
      </c>
      <c r="N42" s="8">
        <f>ROUND($K42*0.65,2)</f>
        <v>36230.35</v>
      </c>
    </row>
    <row r="43" spans="1:14" ht="15" customHeight="1" x14ac:dyDescent="0.25">
      <c r="A43" s="23">
        <f t="shared" si="11"/>
        <v>44261</v>
      </c>
      <c r="B43" s="8">
        <v>31565</v>
      </c>
      <c r="C43" s="8">
        <v>-12614</v>
      </c>
      <c r="D43" s="8">
        <v>0</v>
      </c>
      <c r="E43" s="8">
        <v>0</v>
      </c>
      <c r="F43" s="8">
        <v>0</v>
      </c>
      <c r="G43" s="8">
        <v>0</v>
      </c>
      <c r="H43" s="8">
        <v>4707</v>
      </c>
      <c r="I43" s="8">
        <v>0</v>
      </c>
      <c r="J43" s="8">
        <v>-1731</v>
      </c>
      <c r="K43" s="8">
        <f t="shared" ref="K43" si="36">SUM(B43:J43)</f>
        <v>21927</v>
      </c>
      <c r="L43" s="8">
        <f t="shared" si="1"/>
        <v>6578.1</v>
      </c>
      <c r="M43" s="8">
        <f t="shared" si="2"/>
        <v>1096.3499999999999</v>
      </c>
      <c r="N43" s="8">
        <f>ROUND($K43*0.65,2)</f>
        <v>14252.55</v>
      </c>
    </row>
    <row r="44" spans="1:14" ht="15" customHeight="1" x14ac:dyDescent="0.25">
      <c r="A44" s="23">
        <f t="shared" si="11"/>
        <v>44268</v>
      </c>
      <c r="B44" s="8">
        <v>136407.5</v>
      </c>
      <c r="C44" s="8">
        <v>20902</v>
      </c>
      <c r="D44" s="8">
        <v>0</v>
      </c>
      <c r="E44" s="8">
        <v>0</v>
      </c>
      <c r="F44" s="8">
        <v>0</v>
      </c>
      <c r="G44" s="8">
        <v>0</v>
      </c>
      <c r="H44" s="8">
        <v>21201</v>
      </c>
      <c r="I44" s="8">
        <v>0</v>
      </c>
      <c r="J44" s="8">
        <v>19175</v>
      </c>
      <c r="K44" s="8">
        <f t="shared" ref="K44" si="37">SUM(B44:J44)</f>
        <v>197685.5</v>
      </c>
      <c r="L44" s="8">
        <f t="shared" si="1"/>
        <v>59305.65</v>
      </c>
      <c r="M44" s="8">
        <f t="shared" si="2"/>
        <v>9884.2800000000007</v>
      </c>
      <c r="N44" s="8">
        <f>ROUND($K44*0.65,2)-0.01</f>
        <v>128495.57</v>
      </c>
    </row>
    <row r="45" spans="1:14" ht="15" customHeight="1" x14ac:dyDescent="0.25">
      <c r="A45" s="23">
        <f t="shared" si="11"/>
        <v>44275</v>
      </c>
      <c r="B45" s="8">
        <v>295417</v>
      </c>
      <c r="C45" s="8">
        <v>864</v>
      </c>
      <c r="D45" s="8">
        <v>0</v>
      </c>
      <c r="E45" s="8">
        <v>0</v>
      </c>
      <c r="F45" s="8">
        <v>0</v>
      </c>
      <c r="G45" s="8">
        <v>0</v>
      </c>
      <c r="H45" s="8">
        <v>-13187</v>
      </c>
      <c r="I45" s="8">
        <v>11075</v>
      </c>
      <c r="J45" s="8">
        <v>419</v>
      </c>
      <c r="K45" s="8">
        <f t="shared" ref="K45" si="38">SUM(B45:J45)</f>
        <v>294588</v>
      </c>
      <c r="L45" s="8">
        <f t="shared" si="1"/>
        <v>88376.4</v>
      </c>
      <c r="M45" s="8">
        <f t="shared" si="2"/>
        <v>14729.4</v>
      </c>
      <c r="N45" s="8">
        <f>ROUND($K45*0.65,2)</f>
        <v>191482.2</v>
      </c>
    </row>
    <row r="46" spans="1:14" ht="15" customHeight="1" x14ac:dyDescent="0.25">
      <c r="A46" s="23">
        <f t="shared" si="11"/>
        <v>44282</v>
      </c>
      <c r="B46" s="8">
        <v>12334</v>
      </c>
      <c r="C46" s="8">
        <v>14606</v>
      </c>
      <c r="D46" s="8"/>
      <c r="E46" s="8">
        <v>9282.5</v>
      </c>
      <c r="F46" s="8">
        <v>0</v>
      </c>
      <c r="G46" s="8">
        <v>0</v>
      </c>
      <c r="H46" s="8">
        <v>-20149</v>
      </c>
      <c r="I46" s="8">
        <v>4145</v>
      </c>
      <c r="J46" s="8">
        <v>-33160</v>
      </c>
      <c r="K46" s="8">
        <f t="shared" ref="K46" si="39">SUM(B46:J46)</f>
        <v>-12941.5</v>
      </c>
      <c r="L46" s="8">
        <f t="shared" si="1"/>
        <v>-3882.45</v>
      </c>
      <c r="M46" s="8">
        <f t="shared" si="2"/>
        <v>-647.08000000000004</v>
      </c>
      <c r="N46" s="8">
        <f>ROUND($K46*0.65,2)+0.01</f>
        <v>-8411.9699999999993</v>
      </c>
    </row>
    <row r="47" spans="1:14" ht="15" customHeight="1" x14ac:dyDescent="0.25">
      <c r="A47" s="23">
        <f t="shared" si="11"/>
        <v>44289</v>
      </c>
      <c r="B47" s="8">
        <v>120988.5</v>
      </c>
      <c r="C47" s="8">
        <v>1585</v>
      </c>
      <c r="D47" s="8">
        <v>0</v>
      </c>
      <c r="E47" s="8">
        <v>0</v>
      </c>
      <c r="F47" s="8">
        <v>0</v>
      </c>
      <c r="G47" s="8">
        <v>0</v>
      </c>
      <c r="H47" s="8">
        <v>44962</v>
      </c>
      <c r="I47" s="8">
        <v>0</v>
      </c>
      <c r="J47" s="8">
        <v>5275</v>
      </c>
      <c r="K47" s="8">
        <f t="shared" ref="K47" si="40">SUM(B47:J47)</f>
        <v>172810.5</v>
      </c>
      <c r="L47" s="8">
        <f t="shared" si="1"/>
        <v>51843.15</v>
      </c>
      <c r="M47" s="8">
        <f t="shared" si="2"/>
        <v>8640.5300000000007</v>
      </c>
      <c r="N47" s="8">
        <f>ROUND($K47*0.65,2)-0.01</f>
        <v>112326.82</v>
      </c>
    </row>
    <row r="48" spans="1:14" ht="15" customHeight="1" x14ac:dyDescent="0.25">
      <c r="A48" s="23">
        <f t="shared" si="11"/>
        <v>44296</v>
      </c>
      <c r="B48" s="8">
        <v>29658</v>
      </c>
      <c r="C48" s="8">
        <v>-7599</v>
      </c>
      <c r="D48" s="8">
        <v>0</v>
      </c>
      <c r="E48" s="8">
        <v>0</v>
      </c>
      <c r="F48" s="8">
        <v>0</v>
      </c>
      <c r="G48" s="8">
        <v>0</v>
      </c>
      <c r="H48" s="8">
        <v>23227</v>
      </c>
      <c r="I48" s="8">
        <v>5580</v>
      </c>
      <c r="J48" s="8">
        <v>7009</v>
      </c>
      <c r="K48" s="8">
        <f t="shared" ref="K48" si="41">SUM(B48:J48)</f>
        <v>57875</v>
      </c>
      <c r="L48" s="8">
        <f t="shared" si="1"/>
        <v>17362.5</v>
      </c>
      <c r="M48" s="8">
        <f t="shared" si="2"/>
        <v>2893.75</v>
      </c>
      <c r="N48" s="8">
        <f>ROUND($K48*0.65,2)</f>
        <v>37618.75</v>
      </c>
    </row>
    <row r="49" spans="1:14" ht="15" customHeight="1" x14ac:dyDescent="0.25">
      <c r="A49" s="23">
        <f t="shared" si="11"/>
        <v>44303</v>
      </c>
      <c r="B49" s="8">
        <v>61838.5</v>
      </c>
      <c r="C49" s="8">
        <v>-44687</v>
      </c>
      <c r="D49" s="8">
        <v>0</v>
      </c>
      <c r="E49" s="8">
        <v>0</v>
      </c>
      <c r="F49" s="8">
        <v>0</v>
      </c>
      <c r="G49" s="8">
        <v>0</v>
      </c>
      <c r="H49" s="8">
        <v>-11560</v>
      </c>
      <c r="I49" s="8">
        <v>-22040</v>
      </c>
      <c r="J49" s="8">
        <v>5983</v>
      </c>
      <c r="K49" s="8">
        <f t="shared" ref="K49" si="42">SUM(B49:J49)</f>
        <v>-10465.5</v>
      </c>
      <c r="L49" s="8">
        <f t="shared" si="1"/>
        <v>-3139.65</v>
      </c>
      <c r="M49" s="8">
        <f t="shared" si="2"/>
        <v>-523.28</v>
      </c>
      <c r="N49" s="8">
        <f>ROUND($K49*0.65,2)+0.01</f>
        <v>-6802.57</v>
      </c>
    </row>
    <row r="50" spans="1:14" ht="15" customHeight="1" x14ac:dyDescent="0.25">
      <c r="A50" s="23">
        <f t="shared" si="11"/>
        <v>44310</v>
      </c>
      <c r="B50" s="8">
        <v>185250</v>
      </c>
      <c r="C50" s="8">
        <v>-1750</v>
      </c>
      <c r="D50" s="8">
        <v>0</v>
      </c>
      <c r="E50" s="8">
        <v>0</v>
      </c>
      <c r="F50" s="8">
        <v>0</v>
      </c>
      <c r="G50" s="8">
        <v>0</v>
      </c>
      <c r="H50" s="8">
        <v>27702</v>
      </c>
      <c r="I50" s="8">
        <v>14890</v>
      </c>
      <c r="J50" s="8">
        <v>-620</v>
      </c>
      <c r="K50" s="8">
        <f t="shared" ref="K50" si="43">SUM(B50:J50)</f>
        <v>225472</v>
      </c>
      <c r="L50" s="8">
        <f t="shared" si="1"/>
        <v>67641.600000000006</v>
      </c>
      <c r="M50" s="8">
        <f t="shared" si="2"/>
        <v>11273.6</v>
      </c>
      <c r="N50" s="8">
        <f>ROUND($K50*0.65,2)</f>
        <v>146556.79999999999</v>
      </c>
    </row>
    <row r="51" spans="1:14" ht="15" customHeight="1" x14ac:dyDescent="0.25">
      <c r="A51" s="23">
        <f t="shared" si="11"/>
        <v>44317</v>
      </c>
      <c r="B51" s="8">
        <v>-25158.5</v>
      </c>
      <c r="C51" s="8">
        <v>37201</v>
      </c>
      <c r="D51" s="8">
        <v>0</v>
      </c>
      <c r="E51" s="8">
        <v>0</v>
      </c>
      <c r="F51" s="8">
        <v>0</v>
      </c>
      <c r="G51" s="8">
        <v>0</v>
      </c>
      <c r="H51" s="8">
        <v>14589</v>
      </c>
      <c r="I51" s="8">
        <v>0</v>
      </c>
      <c r="J51" s="8">
        <v>12138</v>
      </c>
      <c r="K51" s="8">
        <f t="shared" ref="K51" si="44">SUM(B51:J51)</f>
        <v>38769.5</v>
      </c>
      <c r="L51" s="8">
        <f t="shared" si="1"/>
        <v>11630.85</v>
      </c>
      <c r="M51" s="8">
        <f t="shared" si="2"/>
        <v>1938.48</v>
      </c>
      <c r="N51" s="8">
        <f>ROUND($K51*0.65,2)-0.01</f>
        <v>25200.170000000002</v>
      </c>
    </row>
    <row r="52" spans="1:14" ht="15" customHeight="1" x14ac:dyDescent="0.25">
      <c r="A52" s="23">
        <f t="shared" si="11"/>
        <v>44324</v>
      </c>
      <c r="B52" s="8">
        <v>75387.5</v>
      </c>
      <c r="C52" s="8">
        <v>28289</v>
      </c>
      <c r="D52" s="8">
        <v>0</v>
      </c>
      <c r="E52" s="8">
        <v>0</v>
      </c>
      <c r="F52" s="8">
        <v>0</v>
      </c>
      <c r="G52" s="8">
        <v>0</v>
      </c>
      <c r="H52" s="8">
        <v>29995</v>
      </c>
      <c r="I52" s="8">
        <v>-3365</v>
      </c>
      <c r="J52" s="8">
        <v>-5323</v>
      </c>
      <c r="K52" s="8">
        <f t="shared" ref="K52" si="45">SUM(B52:J52)</f>
        <v>124983.5</v>
      </c>
      <c r="L52" s="8">
        <f t="shared" si="1"/>
        <v>37495.050000000003</v>
      </c>
      <c r="M52" s="8">
        <f t="shared" si="2"/>
        <v>6249.18</v>
      </c>
      <c r="N52" s="8">
        <f>ROUND($K52*0.65,2)-0.01</f>
        <v>81239.27</v>
      </c>
    </row>
    <row r="53" spans="1:14" ht="15" customHeight="1" x14ac:dyDescent="0.25">
      <c r="A53" s="23">
        <f t="shared" si="11"/>
        <v>44331</v>
      </c>
      <c r="B53" s="8">
        <v>189618</v>
      </c>
      <c r="C53" s="8">
        <v>35613</v>
      </c>
      <c r="D53" s="8">
        <v>0</v>
      </c>
      <c r="E53" s="8">
        <v>0</v>
      </c>
      <c r="F53" s="8">
        <v>0</v>
      </c>
      <c r="G53" s="8">
        <v>0</v>
      </c>
      <c r="H53" s="8">
        <v>34785</v>
      </c>
      <c r="I53" s="8">
        <v>-1368</v>
      </c>
      <c r="J53" s="8">
        <v>14176</v>
      </c>
      <c r="K53" s="8">
        <f t="shared" ref="K53" si="46">SUM(B53:J53)</f>
        <v>272824</v>
      </c>
      <c r="L53" s="8">
        <f t="shared" si="1"/>
        <v>81847.199999999997</v>
      </c>
      <c r="M53" s="8">
        <f t="shared" si="2"/>
        <v>13641.2</v>
      </c>
      <c r="N53" s="8">
        <f>ROUND($K53*0.65,2)</f>
        <v>177335.6</v>
      </c>
    </row>
    <row r="54" spans="1:14" ht="15" customHeight="1" x14ac:dyDescent="0.25">
      <c r="A54" s="23">
        <f t="shared" si="11"/>
        <v>44338</v>
      </c>
      <c r="B54" s="8">
        <v>121330</v>
      </c>
      <c r="C54" s="8">
        <v>-11741</v>
      </c>
      <c r="D54" s="8">
        <v>0</v>
      </c>
      <c r="E54" s="8">
        <v>-595</v>
      </c>
      <c r="F54" s="8">
        <v>0</v>
      </c>
      <c r="G54" s="8">
        <v>0</v>
      </c>
      <c r="H54" s="8">
        <v>5692</v>
      </c>
      <c r="I54" s="8">
        <v>-3429</v>
      </c>
      <c r="J54" s="8">
        <v>5735</v>
      </c>
      <c r="K54" s="8">
        <f t="shared" ref="K54" si="47">SUM(B54:J54)</f>
        <v>116992</v>
      </c>
      <c r="L54" s="8">
        <f t="shared" si="1"/>
        <v>35097.599999999999</v>
      </c>
      <c r="M54" s="8">
        <f t="shared" si="2"/>
        <v>5849.6</v>
      </c>
      <c r="N54" s="8">
        <f>ROUND($K54*0.65,2)</f>
        <v>76044.800000000003</v>
      </c>
    </row>
    <row r="55" spans="1:14" ht="15" customHeight="1" x14ac:dyDescent="0.25">
      <c r="A55" s="23">
        <f t="shared" si="11"/>
        <v>44345</v>
      </c>
      <c r="B55" s="8">
        <v>47291</v>
      </c>
      <c r="C55" s="8">
        <v>6221</v>
      </c>
      <c r="D55" s="8">
        <v>0</v>
      </c>
      <c r="E55" s="8">
        <v>0</v>
      </c>
      <c r="F55" s="8">
        <v>0</v>
      </c>
      <c r="G55" s="8">
        <v>0</v>
      </c>
      <c r="H55" s="8">
        <v>30715</v>
      </c>
      <c r="I55" s="8">
        <v>0</v>
      </c>
      <c r="J55" s="8">
        <v>6110</v>
      </c>
      <c r="K55" s="8">
        <f t="shared" ref="K55" si="48">SUM(B55:J55)</f>
        <v>90337</v>
      </c>
      <c r="L55" s="8">
        <f t="shared" si="1"/>
        <v>27101.1</v>
      </c>
      <c r="M55" s="8">
        <f t="shared" si="2"/>
        <v>4516.8500000000004</v>
      </c>
      <c r="N55" s="8">
        <f>ROUND($K55*0.65,2)</f>
        <v>58719.05</v>
      </c>
    </row>
    <row r="56" spans="1:14" ht="15" customHeight="1" x14ac:dyDescent="0.25">
      <c r="A56" s="23">
        <f t="shared" si="11"/>
        <v>44352</v>
      </c>
      <c r="B56" s="8">
        <v>53519</v>
      </c>
      <c r="C56" s="8">
        <v>19274</v>
      </c>
      <c r="D56" s="8">
        <v>0</v>
      </c>
      <c r="E56" s="8">
        <v>0</v>
      </c>
      <c r="F56" s="8">
        <v>0</v>
      </c>
      <c r="G56" s="8">
        <v>0</v>
      </c>
      <c r="H56" s="8">
        <v>11977</v>
      </c>
      <c r="I56" s="8">
        <v>0</v>
      </c>
      <c r="J56" s="8">
        <v>13928</v>
      </c>
      <c r="K56" s="8">
        <f t="shared" ref="K56" si="49">SUM(B56:J56)</f>
        <v>98698</v>
      </c>
      <c r="L56" s="8">
        <f t="shared" si="1"/>
        <v>29609.4</v>
      </c>
      <c r="M56" s="8">
        <f t="shared" si="2"/>
        <v>4934.8999999999996</v>
      </c>
      <c r="N56" s="8">
        <f>ROUND($K56*0.65,2)</f>
        <v>64153.7</v>
      </c>
    </row>
    <row r="57" spans="1:14" ht="15" customHeight="1" x14ac:dyDescent="0.25">
      <c r="A57" s="23">
        <f t="shared" si="11"/>
        <v>44359</v>
      </c>
      <c r="B57" s="8">
        <v>189005.5</v>
      </c>
      <c r="C57" s="8">
        <v>795</v>
      </c>
      <c r="D57" s="8">
        <v>0</v>
      </c>
      <c r="E57" s="8">
        <v>0</v>
      </c>
      <c r="F57" s="8">
        <v>0</v>
      </c>
      <c r="G57" s="8">
        <v>0</v>
      </c>
      <c r="H57" s="8">
        <v>4477</v>
      </c>
      <c r="I57" s="8">
        <v>0</v>
      </c>
      <c r="J57" s="8">
        <v>10735</v>
      </c>
      <c r="K57" s="8">
        <f t="shared" ref="K57" si="50">SUM(B57:J57)</f>
        <v>205012.5</v>
      </c>
      <c r="L57" s="8">
        <f t="shared" si="1"/>
        <v>61503.75</v>
      </c>
      <c r="M57" s="8">
        <f t="shared" si="2"/>
        <v>10250.629999999999</v>
      </c>
      <c r="N57" s="8">
        <f>ROUND($K57*0.65,2)-0.01</f>
        <v>133258.12</v>
      </c>
    </row>
    <row r="58" spans="1:14" ht="15" customHeight="1" x14ac:dyDescent="0.25">
      <c r="A58" s="23">
        <f t="shared" si="11"/>
        <v>44366</v>
      </c>
      <c r="B58" s="8">
        <v>-18395</v>
      </c>
      <c r="C58" s="8">
        <v>-36129</v>
      </c>
      <c r="D58" s="8">
        <v>0</v>
      </c>
      <c r="E58" s="8">
        <v>0</v>
      </c>
      <c r="F58" s="8">
        <v>0</v>
      </c>
      <c r="G58" s="8">
        <v>0</v>
      </c>
      <c r="H58" s="8">
        <v>102840</v>
      </c>
      <c r="I58" s="8">
        <v>0</v>
      </c>
      <c r="J58" s="8">
        <v>5159</v>
      </c>
      <c r="K58" s="8">
        <f t="shared" ref="K58" si="51">SUM(B58:J58)</f>
        <v>53475</v>
      </c>
      <c r="L58" s="8">
        <f t="shared" si="1"/>
        <v>16042.5</v>
      </c>
      <c r="M58" s="8">
        <f t="shared" si="2"/>
        <v>2673.75</v>
      </c>
      <c r="N58" s="8">
        <f>ROUND($K58*0.65,2)</f>
        <v>34758.75</v>
      </c>
    </row>
    <row r="59" spans="1:14" ht="15" customHeight="1" x14ac:dyDescent="0.25">
      <c r="A59" s="23">
        <f t="shared" si="11"/>
        <v>44373</v>
      </c>
      <c r="B59" s="8">
        <v>-391774</v>
      </c>
      <c r="C59" s="8">
        <v>27234</v>
      </c>
      <c r="D59" s="8">
        <v>0</v>
      </c>
      <c r="E59" s="8">
        <v>0</v>
      </c>
      <c r="F59" s="8">
        <v>0</v>
      </c>
      <c r="G59" s="8">
        <v>0</v>
      </c>
      <c r="H59" s="8">
        <v>10134</v>
      </c>
      <c r="I59" s="8">
        <v>0</v>
      </c>
      <c r="J59" s="8">
        <v>13089</v>
      </c>
      <c r="K59" s="8">
        <f t="shared" ref="K59" si="52">SUM(B59:J59)</f>
        <v>-341317</v>
      </c>
      <c r="L59" s="8">
        <f t="shared" si="1"/>
        <v>-102395.1</v>
      </c>
      <c r="M59" s="8">
        <f t="shared" si="2"/>
        <v>-17065.849999999999</v>
      </c>
      <c r="N59" s="8">
        <f>ROUND($K59*0.65,2)</f>
        <v>-221856.05</v>
      </c>
    </row>
    <row r="60" spans="1:14" ht="15" customHeight="1" x14ac:dyDescent="0.25">
      <c r="A60" s="23" t="s">
        <v>42</v>
      </c>
      <c r="B60" s="8">
        <v>37914</v>
      </c>
      <c r="C60" s="8">
        <v>16452</v>
      </c>
      <c r="D60" s="8">
        <v>0</v>
      </c>
      <c r="E60" s="8">
        <v>0</v>
      </c>
      <c r="F60" s="8">
        <v>0</v>
      </c>
      <c r="G60" s="8">
        <v>0</v>
      </c>
      <c r="H60" s="8">
        <v>79714</v>
      </c>
      <c r="I60" s="8">
        <v>-2000</v>
      </c>
      <c r="J60" s="8">
        <v>1152</v>
      </c>
      <c r="K60" s="8">
        <f t="shared" ref="K60" si="53">SUM(B60:J60)</f>
        <v>133232</v>
      </c>
      <c r="L60" s="8">
        <f t="shared" si="1"/>
        <v>39969.599999999999</v>
      </c>
      <c r="M60" s="8">
        <f t="shared" si="2"/>
        <v>6661.6</v>
      </c>
      <c r="N60" s="8">
        <f>ROUND($K60*0.65,2)</f>
        <v>86600.8</v>
      </c>
    </row>
    <row r="62" spans="1:14" ht="15" customHeight="1" thickBot="1" x14ac:dyDescent="0.3">
      <c r="B62" s="10">
        <f t="shared" ref="B62:N62" si="54">SUM(B8:B61)</f>
        <v>4836670.5</v>
      </c>
      <c r="C62" s="10">
        <f t="shared" si="54"/>
        <v>661741</v>
      </c>
      <c r="D62" s="10">
        <f t="shared" si="54"/>
        <v>4897</v>
      </c>
      <c r="E62" s="10">
        <f t="shared" si="54"/>
        <v>96508.75</v>
      </c>
      <c r="F62" s="10">
        <f t="shared" si="54"/>
        <v>0</v>
      </c>
      <c r="G62" s="10">
        <f t="shared" si="54"/>
        <v>0</v>
      </c>
      <c r="H62" s="10">
        <f t="shared" si="54"/>
        <v>800881</v>
      </c>
      <c r="I62" s="10">
        <f t="shared" si="54"/>
        <v>-44672</v>
      </c>
      <c r="J62" s="10">
        <f t="shared" si="54"/>
        <v>325663</v>
      </c>
      <c r="K62" s="10">
        <f t="shared" si="54"/>
        <v>6681689.25</v>
      </c>
      <c r="L62" s="10">
        <f t="shared" si="54"/>
        <v>2004506.7900000005</v>
      </c>
      <c r="M62" s="10">
        <f t="shared" si="54"/>
        <v>334084.52999999997</v>
      </c>
      <c r="N62" s="10">
        <f t="shared" si="54"/>
        <v>4343097.9299999988</v>
      </c>
    </row>
    <row r="63" spans="1:14" ht="15" customHeight="1" thickTop="1" x14ac:dyDescent="0.25"/>
    <row r="64" spans="1:14" ht="15" customHeight="1" x14ac:dyDescent="0.25">
      <c r="A64" s="21" t="s">
        <v>35</v>
      </c>
    </row>
    <row r="65" spans="1:2" ht="15" customHeight="1" x14ac:dyDescent="0.25">
      <c r="A65" s="11" t="s">
        <v>40</v>
      </c>
      <c r="B65" s="11"/>
    </row>
  </sheetData>
  <mergeCells count="1">
    <mergeCell ref="A6:N6"/>
  </mergeCells>
  <pageMargins left="0.25" right="0.25" top="0.75" bottom="0.5" header="0.25" footer="0"/>
  <pageSetup scale="68" orientation="landscape" r:id="rId1"/>
  <headerFooter>
    <oddHeader>&amp;C&amp;"Arial,Italic"&amp;10GREENBRIER HISTORIC RESORT TABLE GAMES</oddHeader>
    <oddFooter>&amp;L&amp;"Arial,Regular"&amp;8&amp;F</oddFooter>
  </headerFooter>
  <ignoredErrors>
    <ignoredError sqref="K8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4"/>
  <sheetViews>
    <sheetView zoomScaleNormal="100" workbookViewId="0">
      <pane ySplit="3" topLeftCell="A35" activePane="bottomLeft" state="frozen"/>
      <selection pane="bottomLeft" activeCell="K59" sqref="K59"/>
    </sheetView>
  </sheetViews>
  <sheetFormatPr defaultRowHeight="15" customHeight="1" x14ac:dyDescent="0.25"/>
  <cols>
    <col min="1" max="1" width="15.140625" style="1" customWidth="1"/>
    <col min="2" max="2" width="18" style="1" bestFit="1" customWidth="1"/>
    <col min="3" max="3" width="16.140625" style="1" bestFit="1" customWidth="1"/>
    <col min="4" max="4" width="15" style="1" bestFit="1" customWidth="1"/>
    <col min="5" max="5" width="14.7109375" style="1" customWidth="1"/>
    <col min="6" max="6" width="15" style="1" bestFit="1" customWidth="1"/>
    <col min="7" max="7" width="13.28515625" style="1" bestFit="1" customWidth="1"/>
    <col min="8" max="8" width="13.7109375" style="1" customWidth="1"/>
    <col min="9" max="9" width="15" style="1" bestFit="1" customWidth="1"/>
    <col min="10" max="10" width="11.7109375" style="1" customWidth="1"/>
    <col min="11" max="11" width="12.7109375" style="1" customWidth="1"/>
    <col min="12" max="16384" width="9.140625" style="1"/>
  </cols>
  <sheetData>
    <row r="1" spans="1:11" s="2" customFormat="1" ht="60" x14ac:dyDescent="0.25">
      <c r="B1" s="3" t="s">
        <v>0</v>
      </c>
      <c r="C1" s="3" t="s">
        <v>1</v>
      </c>
      <c r="D1" s="4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10</v>
      </c>
    </row>
    <row r="2" spans="1:11" ht="15" customHeight="1" x14ac:dyDescent="0.25">
      <c r="A2" s="1" t="s">
        <v>32</v>
      </c>
      <c r="B2" s="18">
        <v>67204275.359999985</v>
      </c>
      <c r="C2" s="18">
        <v>62110451.75</v>
      </c>
      <c r="D2" s="18">
        <v>1364101</v>
      </c>
      <c r="E2" s="18">
        <v>3729722.6099999985</v>
      </c>
      <c r="F2" s="18">
        <v>1342700.18</v>
      </c>
      <c r="G2" s="18">
        <v>634052.84000000008</v>
      </c>
      <c r="H2" s="18">
        <v>175296.96</v>
      </c>
      <c r="I2" s="18">
        <v>1577672.63</v>
      </c>
      <c r="J2" s="18">
        <v>546.64</v>
      </c>
      <c r="K2" s="15">
        <v>163</v>
      </c>
    </row>
    <row r="4" spans="1:11" ht="15" customHeight="1" x14ac:dyDescent="0.25">
      <c r="A4" s="26" t="s">
        <v>33</v>
      </c>
      <c r="B4" s="26"/>
      <c r="C4" s="26"/>
      <c r="D4" s="26"/>
      <c r="E4" s="26"/>
      <c r="F4" s="26"/>
      <c r="G4" s="26"/>
      <c r="H4" s="26"/>
      <c r="I4" s="26"/>
      <c r="J4" s="26"/>
      <c r="K4" s="26"/>
    </row>
    <row r="5" spans="1:11" ht="15" customHeight="1" x14ac:dyDescent="0.25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</row>
    <row r="6" spans="1:11" ht="15" customHeight="1" x14ac:dyDescent="0.25">
      <c r="A6" s="13" t="s">
        <v>34</v>
      </c>
      <c r="B6" s="8">
        <v>871862.44</v>
      </c>
      <c r="C6" s="8">
        <v>845963.88</v>
      </c>
      <c r="D6" s="8">
        <v>48930</v>
      </c>
      <c r="E6" s="8">
        <f t="shared" ref="E6" si="0">B6-C6-D6</f>
        <v>-23031.440000000061</v>
      </c>
      <c r="F6" s="8">
        <f>ROUND($E6*0.36,2)+0.02</f>
        <v>-8291.2999999999993</v>
      </c>
      <c r="G6" s="8">
        <f>ROUND($E6*0.17,2)-0.01</f>
        <v>-3915.3500000000004</v>
      </c>
      <c r="H6" s="8">
        <f>ROUND($E6*0.047,2)</f>
        <v>-1082.48</v>
      </c>
      <c r="I6" s="8">
        <f>ROUND($E6*0.423,2)-0.01</f>
        <v>-9742.31</v>
      </c>
      <c r="J6" s="14">
        <f t="shared" ref="J6" si="1">E6/K6</f>
        <v>-232.64080808080868</v>
      </c>
      <c r="K6" s="15">
        <v>99</v>
      </c>
    </row>
    <row r="7" spans="1:11" ht="15" customHeight="1" x14ac:dyDescent="0.25">
      <c r="A7" s="23" t="s">
        <v>37</v>
      </c>
      <c r="B7" s="8">
        <v>1482663.7799999998</v>
      </c>
      <c r="C7" s="8">
        <v>1390898.52</v>
      </c>
      <c r="D7" s="8">
        <v>27845</v>
      </c>
      <c r="E7" s="8">
        <f t="shared" ref="E7" si="2">B7-C7-D7</f>
        <v>63920.259999999776</v>
      </c>
      <c r="F7" s="8">
        <f>ROUND($E7*0.36,2)+0.03</f>
        <v>23011.32</v>
      </c>
      <c r="G7" s="8">
        <f>ROUND($E7*0.17,2)-0.01</f>
        <v>10866.43</v>
      </c>
      <c r="H7" s="8">
        <f>ROUND($E7*0.047,2)</f>
        <v>3004.25</v>
      </c>
      <c r="I7" s="8">
        <f>ROUND($E7*0.423,2)-0.01</f>
        <v>27038.260000000002</v>
      </c>
      <c r="J7" s="14">
        <f t="shared" ref="J7" si="3">E7/K7</f>
        <v>665.8360416666643</v>
      </c>
      <c r="K7" s="15">
        <v>96</v>
      </c>
    </row>
    <row r="8" spans="1:11" ht="15" customHeight="1" x14ac:dyDescent="0.25">
      <c r="A8" s="23">
        <f t="shared" ref="A8:A49" si="4">A7+7</f>
        <v>44030</v>
      </c>
      <c r="B8" s="8">
        <v>2507884.6900000004</v>
      </c>
      <c r="C8" s="8">
        <v>2321530.7999999998</v>
      </c>
      <c r="D8" s="8">
        <v>31815</v>
      </c>
      <c r="E8" s="8">
        <f t="shared" ref="E8" si="5">B8-C8-D8</f>
        <v>154538.8900000006</v>
      </c>
      <c r="F8" s="8">
        <f>ROUND($E8*0.36,2)-0.02</f>
        <v>55633.98</v>
      </c>
      <c r="G8" s="8">
        <f>ROUND($E8*0.17,2)+0.01</f>
        <v>26271.62</v>
      </c>
      <c r="H8" s="8">
        <f>ROUND($E8*0.047,2)</f>
        <v>7263.33</v>
      </c>
      <c r="I8" s="8">
        <f>ROUND($E8*0.423,2)+0.01</f>
        <v>65369.96</v>
      </c>
      <c r="J8" s="14">
        <f t="shared" ref="J8" si="6">E8/K8</f>
        <v>1560.998888888895</v>
      </c>
      <c r="K8" s="15">
        <v>99</v>
      </c>
    </row>
    <row r="9" spans="1:11" ht="15" customHeight="1" x14ac:dyDescent="0.25">
      <c r="A9" s="23">
        <f t="shared" si="4"/>
        <v>44037</v>
      </c>
      <c r="B9" s="8">
        <v>2378072.63</v>
      </c>
      <c r="C9" s="8">
        <v>2286411.7699999996</v>
      </c>
      <c r="D9" s="8">
        <v>30030</v>
      </c>
      <c r="E9" s="8">
        <f t="shared" ref="E9" si="7">B9-C9-D9</f>
        <v>61630.860000000335</v>
      </c>
      <c r="F9" s="8">
        <f>ROUND($E9*0.36,2)</f>
        <v>22187.11</v>
      </c>
      <c r="G9" s="8">
        <f>ROUND($E9*0.17,2)-0.01</f>
        <v>10477.24</v>
      </c>
      <c r="H9" s="8">
        <f>ROUND($E9*0.047,2)+0.01</f>
        <v>2896.6600000000003</v>
      </c>
      <c r="I9" s="8">
        <f>ROUND($E9*0.423,2)</f>
        <v>26069.85</v>
      </c>
      <c r="J9" s="14">
        <f t="shared" ref="J9" si="8">E9/K9</f>
        <v>610.20653465346868</v>
      </c>
      <c r="K9" s="15">
        <v>101</v>
      </c>
    </row>
    <row r="10" spans="1:11" ht="15" customHeight="1" x14ac:dyDescent="0.25">
      <c r="A10" s="23">
        <f t="shared" si="4"/>
        <v>44044</v>
      </c>
      <c r="B10" s="8">
        <v>1960538.94</v>
      </c>
      <c r="C10" s="8">
        <v>1797404.11</v>
      </c>
      <c r="D10" s="8">
        <v>20585</v>
      </c>
      <c r="E10" s="8">
        <f t="shared" ref="E10" si="9">B10-C10-D10</f>
        <v>142549.82999999984</v>
      </c>
      <c r="F10" s="8">
        <f>ROUND($E10*0.36,2)</f>
        <v>51317.94</v>
      </c>
      <c r="G10" s="8">
        <f>ROUND($E10*0.17,2)+0.01</f>
        <v>24233.48</v>
      </c>
      <c r="H10" s="8">
        <f>ROUND($E10*0.047,2)-0.01</f>
        <v>6699.83</v>
      </c>
      <c r="I10" s="8">
        <f>ROUND($E10*0.423,2)</f>
        <v>60298.58</v>
      </c>
      <c r="J10" s="14">
        <f t="shared" ref="J10" si="10">E10/K10</f>
        <v>1411.3844554455429</v>
      </c>
      <c r="K10" s="15">
        <v>101</v>
      </c>
    </row>
    <row r="11" spans="1:11" ht="15" customHeight="1" x14ac:dyDescent="0.25">
      <c r="A11" s="23">
        <f t="shared" si="4"/>
        <v>44051</v>
      </c>
      <c r="B11" s="8">
        <v>2332594.25</v>
      </c>
      <c r="C11" s="8">
        <v>2127925.4700000002</v>
      </c>
      <c r="D11" s="8">
        <v>32475</v>
      </c>
      <c r="E11" s="8">
        <f t="shared" ref="E11" si="11">B11-C11-D11</f>
        <v>172193.7799999998</v>
      </c>
      <c r="F11" s="8">
        <f>ROUND($E11*0.36,2)-0.01</f>
        <v>61989.75</v>
      </c>
      <c r="G11" s="8">
        <f>ROUND($E11*0.17,2)</f>
        <v>29272.94</v>
      </c>
      <c r="H11" s="8">
        <f>ROUND($E11*0.047,2)</f>
        <v>8093.11</v>
      </c>
      <c r="I11" s="8">
        <f>ROUND($E11*0.423,2)+0.01</f>
        <v>72837.98</v>
      </c>
      <c r="J11" s="14">
        <f t="shared" ref="J11" si="12">E11/K11</f>
        <v>1704.8889108910871</v>
      </c>
      <c r="K11" s="15">
        <v>101</v>
      </c>
    </row>
    <row r="12" spans="1:11" ht="15" customHeight="1" x14ac:dyDescent="0.25">
      <c r="A12" s="23">
        <f t="shared" si="4"/>
        <v>44058</v>
      </c>
      <c r="B12" s="8">
        <v>2090907.12</v>
      </c>
      <c r="C12" s="8">
        <v>1949362.1199999999</v>
      </c>
      <c r="D12" s="8">
        <v>35130</v>
      </c>
      <c r="E12" s="8">
        <f t="shared" ref="E12" si="13">B12-C12-D12</f>
        <v>106415.00000000023</v>
      </c>
      <c r="F12" s="8">
        <f>ROUND($E12*0.36,2)-0.01</f>
        <v>38309.39</v>
      </c>
      <c r="G12" s="8">
        <f>ROUND($E12*0.17,2)</f>
        <v>18090.55</v>
      </c>
      <c r="H12" s="8">
        <f>ROUND($E12*0.047,2)</f>
        <v>5001.51</v>
      </c>
      <c r="I12" s="8">
        <f>ROUND($E12*0.423,2)</f>
        <v>45013.55</v>
      </c>
      <c r="J12" s="14">
        <f t="shared" ref="J12" si="14">E12/K12</f>
        <v>1053.613861386141</v>
      </c>
      <c r="K12" s="15">
        <v>101</v>
      </c>
    </row>
    <row r="13" spans="1:11" ht="15" customHeight="1" x14ac:dyDescent="0.25">
      <c r="A13" s="23">
        <f t="shared" si="4"/>
        <v>44065</v>
      </c>
      <c r="B13" s="8">
        <v>1535265.81</v>
      </c>
      <c r="C13" s="8">
        <v>1397961.3</v>
      </c>
      <c r="D13" s="8">
        <v>28975</v>
      </c>
      <c r="E13" s="8">
        <f t="shared" ref="E13" si="15">B13-C13-D13</f>
        <v>108329.51000000001</v>
      </c>
      <c r="F13" s="8">
        <f>ROUND($E13*0.36,2)+0.01</f>
        <v>38998.630000000005</v>
      </c>
      <c r="G13" s="8">
        <f>ROUND($E13*0.17,2)-0.01</f>
        <v>18416.010000000002</v>
      </c>
      <c r="H13" s="8">
        <f>ROUND($E13*0.047,2)-0.01</f>
        <v>5091.4799999999996</v>
      </c>
      <c r="I13" s="8">
        <f>ROUND($E13*0.423,2)+0.01</f>
        <v>45823.39</v>
      </c>
      <c r="J13" s="14">
        <f t="shared" ref="J13" si="16">E13/K13</f>
        <v>1072.5694059405942</v>
      </c>
      <c r="K13" s="15">
        <v>101</v>
      </c>
    </row>
    <row r="14" spans="1:11" ht="15" customHeight="1" x14ac:dyDescent="0.25">
      <c r="A14" s="23">
        <f t="shared" si="4"/>
        <v>44072</v>
      </c>
      <c r="B14" s="8">
        <v>1841280.2199999997</v>
      </c>
      <c r="C14" s="8">
        <v>1625220.3</v>
      </c>
      <c r="D14" s="8">
        <v>34274</v>
      </c>
      <c r="E14" s="8">
        <f t="shared" ref="E14" si="17">B14-C14-D14</f>
        <v>181785.91999999969</v>
      </c>
      <c r="F14" s="8">
        <f>ROUND($E14*0.36,2)-0.02</f>
        <v>65442.91</v>
      </c>
      <c r="G14" s="8">
        <f>ROUND($E14*0.17,2)+0.01</f>
        <v>30903.62</v>
      </c>
      <c r="H14" s="8">
        <f>ROUND($E14*0.047,2)</f>
        <v>8543.94</v>
      </c>
      <c r="I14" s="8">
        <f>ROUND($E14*0.423,2)+0.01</f>
        <v>76895.45</v>
      </c>
      <c r="J14" s="14">
        <f t="shared" ref="J14" si="18">E14/K14</f>
        <v>1836.2214141414111</v>
      </c>
      <c r="K14" s="15">
        <v>99</v>
      </c>
    </row>
    <row r="15" spans="1:11" ht="15" customHeight="1" x14ac:dyDescent="0.25">
      <c r="A15" s="23">
        <f t="shared" si="4"/>
        <v>44079</v>
      </c>
      <c r="B15" s="8">
        <v>1565401.0999999999</v>
      </c>
      <c r="C15" s="8">
        <v>1462352.76</v>
      </c>
      <c r="D15" s="8">
        <v>20005</v>
      </c>
      <c r="E15" s="8">
        <f t="shared" ref="E15" si="19">B15-C15-D15</f>
        <v>83043.339999999851</v>
      </c>
      <c r="F15" s="8">
        <f>ROUND($E15*0.36,2)-0.02</f>
        <v>29895.579999999998</v>
      </c>
      <c r="G15" s="8">
        <f>ROUND($E15*0.17,2)</f>
        <v>14117.37</v>
      </c>
      <c r="H15" s="8">
        <f>ROUND($E15*0.047,2)+0.01</f>
        <v>3903.05</v>
      </c>
      <c r="I15" s="8">
        <f>ROUND($E15*0.423,2)+0.01</f>
        <v>35127.340000000004</v>
      </c>
      <c r="J15" s="14">
        <f t="shared" ref="J15" si="20">E15/K15</f>
        <v>830.43339999999853</v>
      </c>
      <c r="K15" s="15">
        <v>100</v>
      </c>
    </row>
    <row r="16" spans="1:11" ht="15" customHeight="1" x14ac:dyDescent="0.25">
      <c r="A16" s="23">
        <f t="shared" si="4"/>
        <v>44086</v>
      </c>
      <c r="B16" s="8">
        <v>2887173.84</v>
      </c>
      <c r="C16" s="8">
        <v>2767322.02</v>
      </c>
      <c r="D16" s="8">
        <v>22620</v>
      </c>
      <c r="E16" s="8">
        <f t="shared" ref="E16" si="21">B16-C16-D16</f>
        <v>97231.819999999832</v>
      </c>
      <c r="F16" s="8">
        <f>ROUND($E16*0.36,2)+0.01</f>
        <v>35003.47</v>
      </c>
      <c r="G16" s="8">
        <f>ROUND($E16*0.17,2)-0.01</f>
        <v>16529.400000000001</v>
      </c>
      <c r="H16" s="8">
        <f>ROUND($E16*0.047,2)-0.01</f>
        <v>4569.8899999999994</v>
      </c>
      <c r="I16" s="8">
        <f>ROUND($E16*0.423,2)</f>
        <v>41129.06</v>
      </c>
      <c r="J16" s="14">
        <f t="shared" ref="J16" si="22">E16/K16</f>
        <v>962.69128712871122</v>
      </c>
      <c r="K16" s="15">
        <v>101</v>
      </c>
    </row>
    <row r="17" spans="1:11" ht="15" customHeight="1" x14ac:dyDescent="0.25">
      <c r="A17" s="23">
        <f t="shared" si="4"/>
        <v>44093</v>
      </c>
      <c r="B17" s="8">
        <v>1589045.7100000002</v>
      </c>
      <c r="C17" s="8">
        <v>1517443.8599999999</v>
      </c>
      <c r="D17" s="8">
        <v>23048</v>
      </c>
      <c r="E17" s="8">
        <f t="shared" ref="E17" si="23">B17-C17-D17</f>
        <v>48553.850000000326</v>
      </c>
      <c r="F17" s="8">
        <f>ROUND($E17*0.36,2)</f>
        <v>17479.39</v>
      </c>
      <c r="G17" s="8">
        <f>ROUND($E17*0.17,2)+0.01</f>
        <v>8254.16</v>
      </c>
      <c r="H17" s="8">
        <f>ROUND($E17*0.047,2)</f>
        <v>2282.0300000000002</v>
      </c>
      <c r="I17" s="8">
        <f>ROUND($E17*0.423,2)-0.01</f>
        <v>20538.27</v>
      </c>
      <c r="J17" s="14">
        <f t="shared" ref="J17" si="24">E17/K17</f>
        <v>485.53850000000324</v>
      </c>
      <c r="K17" s="15">
        <v>100</v>
      </c>
    </row>
    <row r="18" spans="1:11" ht="15" customHeight="1" x14ac:dyDescent="0.25">
      <c r="A18" s="23">
        <f t="shared" si="4"/>
        <v>44100</v>
      </c>
      <c r="B18" s="8">
        <v>3005751.73</v>
      </c>
      <c r="C18" s="8">
        <v>2717705.09</v>
      </c>
      <c r="D18" s="8">
        <v>29895</v>
      </c>
      <c r="E18" s="8">
        <f t="shared" ref="E18" si="25">B18-C18-D18</f>
        <v>258151.64000000013</v>
      </c>
      <c r="F18" s="8">
        <f>ROUND($E18*0.36,2)+0.01</f>
        <v>92934.599999999991</v>
      </c>
      <c r="G18" s="8">
        <f>ROUND($E18*0.17,2)</f>
        <v>43885.78</v>
      </c>
      <c r="H18" s="8">
        <f>ROUND($E18*0.047,2)</f>
        <v>12133.13</v>
      </c>
      <c r="I18" s="8">
        <f>ROUND($E18*0.423,2)-0.01</f>
        <v>109198.13</v>
      </c>
      <c r="J18" s="14">
        <f t="shared" ref="J18" si="26">E18/K18</f>
        <v>2634.2004081632667</v>
      </c>
      <c r="K18" s="15">
        <v>98</v>
      </c>
    </row>
    <row r="19" spans="1:11" ht="15" customHeight="1" x14ac:dyDescent="0.25">
      <c r="A19" s="23">
        <f t="shared" si="4"/>
        <v>44107</v>
      </c>
      <c r="B19" s="8">
        <v>1776022.32</v>
      </c>
      <c r="C19" s="8">
        <v>1734721.31</v>
      </c>
      <c r="D19" s="8">
        <v>31417</v>
      </c>
      <c r="E19" s="8">
        <f t="shared" ref="E19" si="27">B19-C19-D19</f>
        <v>9884.0100000000093</v>
      </c>
      <c r="F19" s="8">
        <f>ROUND($E19*0.36,2)-0.02</f>
        <v>3558.22</v>
      </c>
      <c r="G19" s="8">
        <f>ROUND($E19*0.17,2)+0.01</f>
        <v>1680.29</v>
      </c>
      <c r="H19" s="8">
        <f>ROUND($E19*0.047,2)</f>
        <v>464.55</v>
      </c>
      <c r="I19" s="8">
        <f>ROUND($E19*0.423,2)+0.01</f>
        <v>4180.95</v>
      </c>
      <c r="J19" s="14">
        <f t="shared" ref="J19" si="28">E19/K19</f>
        <v>98.840100000000092</v>
      </c>
      <c r="K19" s="15">
        <v>100</v>
      </c>
    </row>
    <row r="20" spans="1:11" ht="15" customHeight="1" x14ac:dyDescent="0.25">
      <c r="A20" s="23">
        <f t="shared" si="4"/>
        <v>44114</v>
      </c>
      <c r="B20" s="8">
        <v>2059009.49</v>
      </c>
      <c r="C20" s="8">
        <v>1979048.5199999998</v>
      </c>
      <c r="D20" s="8">
        <v>30305</v>
      </c>
      <c r="E20" s="8">
        <f t="shared" ref="E20" si="29">B20-C20-D20</f>
        <v>49655.970000000205</v>
      </c>
      <c r="F20" s="8">
        <f>ROUND($E20*0.36,2)-0.02</f>
        <v>17876.13</v>
      </c>
      <c r="G20" s="8">
        <f>ROUND($E20*0.17,2)+0.01</f>
        <v>8441.52</v>
      </c>
      <c r="H20" s="8">
        <f>ROUND($E20*0.047,2)</f>
        <v>2333.83</v>
      </c>
      <c r="I20" s="8">
        <f>ROUND($E20*0.423,2)+0.01</f>
        <v>21004.489999999998</v>
      </c>
      <c r="J20" s="14">
        <f t="shared" ref="J20" si="30">E20/K20</f>
        <v>496.55970000000207</v>
      </c>
      <c r="K20" s="15">
        <v>100</v>
      </c>
    </row>
    <row r="21" spans="1:11" ht="15" customHeight="1" x14ac:dyDescent="0.25">
      <c r="A21" s="23">
        <f t="shared" si="4"/>
        <v>44121</v>
      </c>
      <c r="B21" s="8">
        <v>1966783.4300000002</v>
      </c>
      <c r="C21" s="8">
        <v>1858756.13</v>
      </c>
      <c r="D21" s="8">
        <v>43320</v>
      </c>
      <c r="E21" s="8">
        <f t="shared" ref="E21" si="31">B21-C21-D21</f>
        <v>64707.300000000279</v>
      </c>
      <c r="F21" s="8">
        <f>ROUND($E21*0.36,2)-0.01</f>
        <v>23294.620000000003</v>
      </c>
      <c r="G21" s="8">
        <f>ROUND($E21*0.17,2)</f>
        <v>11000.24</v>
      </c>
      <c r="H21" s="8">
        <f>ROUND($E21*0.047,2)+0.02</f>
        <v>3041.2599999999998</v>
      </c>
      <c r="I21" s="8">
        <f>ROUND($E21*0.423,2)-0.01</f>
        <v>27371.18</v>
      </c>
      <c r="J21" s="14">
        <f t="shared" ref="J21" si="32">E21/K21</f>
        <v>634.38529411764978</v>
      </c>
      <c r="K21" s="15">
        <v>102</v>
      </c>
    </row>
    <row r="22" spans="1:11" ht="15" customHeight="1" x14ac:dyDescent="0.25">
      <c r="A22" s="23">
        <f t="shared" si="4"/>
        <v>44128</v>
      </c>
      <c r="B22" s="8">
        <v>1830431.39</v>
      </c>
      <c r="C22" s="8">
        <v>1686412.9699999997</v>
      </c>
      <c r="D22" s="8">
        <v>18995</v>
      </c>
      <c r="E22" s="8">
        <f t="shared" ref="E22" si="33">B22-C22-D22</f>
        <v>125023.42000000016</v>
      </c>
      <c r="F22" s="8">
        <f>ROUND($E22*0.36,2)</f>
        <v>45008.43</v>
      </c>
      <c r="G22" s="8">
        <f>ROUND($E22*0.17,2)</f>
        <v>21253.98</v>
      </c>
      <c r="H22" s="8">
        <f>ROUND($E22*0.047,2)</f>
        <v>5876.1</v>
      </c>
      <c r="I22" s="8">
        <f>ROUND($E22*0.423,2)</f>
        <v>52884.91</v>
      </c>
      <c r="J22" s="14">
        <f t="shared" ref="J22" si="34">E22/K22</f>
        <v>1250.2342000000017</v>
      </c>
      <c r="K22" s="15">
        <v>100</v>
      </c>
    </row>
    <row r="23" spans="1:11" ht="15" customHeight="1" x14ac:dyDescent="0.25">
      <c r="A23" s="23">
        <f t="shared" si="4"/>
        <v>44135</v>
      </c>
      <c r="B23" s="8">
        <v>1410016.55</v>
      </c>
      <c r="C23" s="8">
        <v>1276922.4500000002</v>
      </c>
      <c r="D23" s="8">
        <v>17307</v>
      </c>
      <c r="E23" s="8">
        <f t="shared" ref="E23" si="35">B23-C23-D23</f>
        <v>115787.09999999986</v>
      </c>
      <c r="F23" s="8">
        <f>ROUND($E23*0.36,2)-0.02</f>
        <v>41683.340000000004</v>
      </c>
      <c r="G23" s="8">
        <f>ROUND($E23*0.17,2)+0.01</f>
        <v>19683.82</v>
      </c>
      <c r="H23" s="8">
        <f>ROUND($E23*0.047,2)+0.01</f>
        <v>5442</v>
      </c>
      <c r="I23" s="8">
        <f>ROUND($E23*0.423,2)</f>
        <v>48977.94</v>
      </c>
      <c r="J23" s="14">
        <f t="shared" ref="J23" si="36">E23/K23</f>
        <v>1258.5554347826071</v>
      </c>
      <c r="K23" s="15">
        <v>92</v>
      </c>
    </row>
    <row r="24" spans="1:11" ht="15" customHeight="1" x14ac:dyDescent="0.25">
      <c r="A24" s="23">
        <f t="shared" si="4"/>
        <v>44142</v>
      </c>
      <c r="B24" s="8">
        <v>1732980.31</v>
      </c>
      <c r="C24" s="8">
        <v>1640246.21</v>
      </c>
      <c r="D24" s="8">
        <v>24587</v>
      </c>
      <c r="E24" s="8">
        <f t="shared" ref="E24" si="37">B24-C24-D24</f>
        <v>68147.100000000093</v>
      </c>
      <c r="F24" s="8">
        <f>ROUND($E24*0.36,2)</f>
        <v>24532.959999999999</v>
      </c>
      <c r="G24" s="8">
        <f t="shared" ref="G24:G29" si="38">ROUND($E24*0.17,2)</f>
        <v>11585.01</v>
      </c>
      <c r="H24" s="8">
        <f>ROUND($E24*0.047,2)</f>
        <v>3202.91</v>
      </c>
      <c r="I24" s="8">
        <f>ROUND($E24*0.423,2)</f>
        <v>28826.22</v>
      </c>
      <c r="J24" s="14">
        <f t="shared" ref="J24" si="39">E24/K24</f>
        <v>774.39886363636469</v>
      </c>
      <c r="K24" s="15">
        <v>88</v>
      </c>
    </row>
    <row r="25" spans="1:11" ht="15" customHeight="1" x14ac:dyDescent="0.25">
      <c r="A25" s="23">
        <f t="shared" si="4"/>
        <v>44149</v>
      </c>
      <c r="B25" s="8">
        <v>1302708.08</v>
      </c>
      <c r="C25" s="8">
        <v>1174869.56</v>
      </c>
      <c r="D25" s="8">
        <v>18558</v>
      </c>
      <c r="E25" s="8">
        <f t="shared" ref="E25" si="40">B25-C25-D25</f>
        <v>109280.52000000002</v>
      </c>
      <c r="F25" s="8">
        <f>ROUND($E25*0.36,2)+0.02</f>
        <v>39341.009999999995</v>
      </c>
      <c r="G25" s="8">
        <f t="shared" si="38"/>
        <v>18577.689999999999</v>
      </c>
      <c r="H25" s="8">
        <f>ROUND($E25*0.047,2)-0.01</f>
        <v>5136.17</v>
      </c>
      <c r="I25" s="8">
        <f>ROUND($E25*0.423,2)-0.01</f>
        <v>46225.65</v>
      </c>
      <c r="J25" s="14">
        <f t="shared" ref="J25" si="41">E25/K25</f>
        <v>1241.8240909090912</v>
      </c>
      <c r="K25" s="15">
        <v>88</v>
      </c>
    </row>
    <row r="26" spans="1:11" ht="15" customHeight="1" x14ac:dyDescent="0.25">
      <c r="A26" s="23">
        <f t="shared" si="4"/>
        <v>44156</v>
      </c>
      <c r="B26" s="8">
        <v>1094569.1300000001</v>
      </c>
      <c r="C26" s="8">
        <v>1015902.58</v>
      </c>
      <c r="D26" s="8">
        <v>11177</v>
      </c>
      <c r="E26" s="8">
        <f t="shared" ref="E26" si="42">B26-C26-D26</f>
        <v>67489.550000000163</v>
      </c>
      <c r="F26" s="8">
        <f>ROUND($E26*0.36,2)+0.01</f>
        <v>24296.25</v>
      </c>
      <c r="G26" s="8">
        <f t="shared" si="38"/>
        <v>11473.22</v>
      </c>
      <c r="H26" s="8">
        <f>ROUND($E26*0.047,2)-0.01</f>
        <v>3172</v>
      </c>
      <c r="I26" s="8">
        <f>ROUND($E26*0.423,2)</f>
        <v>28548.080000000002</v>
      </c>
      <c r="J26" s="14">
        <f t="shared" ref="J26" si="43">E26/K26</f>
        <v>803.44702380952572</v>
      </c>
      <c r="K26" s="15">
        <v>84</v>
      </c>
    </row>
    <row r="27" spans="1:11" ht="15" customHeight="1" x14ac:dyDescent="0.25">
      <c r="A27" s="23">
        <f t="shared" si="4"/>
        <v>44163</v>
      </c>
      <c r="B27" s="8">
        <v>1475102.75</v>
      </c>
      <c r="C27" s="8">
        <v>1299777.22</v>
      </c>
      <c r="D27" s="8">
        <v>15578</v>
      </c>
      <c r="E27" s="8">
        <f t="shared" ref="E27" si="44">B27-C27-D27</f>
        <v>159747.53000000003</v>
      </c>
      <c r="F27" s="8">
        <f>ROUND($E27*0.36,2)</f>
        <v>57509.11</v>
      </c>
      <c r="G27" s="8">
        <f t="shared" si="38"/>
        <v>27157.08</v>
      </c>
      <c r="H27" s="8">
        <f>ROUND($E27*0.047,2)</f>
        <v>7508.13</v>
      </c>
      <c r="I27" s="8">
        <f>ROUND($E27*0.423,2)</f>
        <v>67573.210000000006</v>
      </c>
      <c r="J27" s="14">
        <f t="shared" ref="J27" si="45">E27/K27</f>
        <v>1857.5294186046515</v>
      </c>
      <c r="K27" s="15">
        <v>86</v>
      </c>
    </row>
    <row r="28" spans="1:11" ht="15" customHeight="1" x14ac:dyDescent="0.25">
      <c r="A28" s="23">
        <f t="shared" si="4"/>
        <v>44170</v>
      </c>
      <c r="B28" s="8">
        <v>871487.27</v>
      </c>
      <c r="C28" s="8">
        <v>775240.74</v>
      </c>
      <c r="D28" s="8">
        <v>14262</v>
      </c>
      <c r="E28" s="8">
        <f t="shared" ref="E28" si="46">B28-C28-D28</f>
        <v>81984.530000000028</v>
      </c>
      <c r="F28" s="8">
        <f>ROUND($E28*0.36,2)</f>
        <v>29514.43</v>
      </c>
      <c r="G28" s="8">
        <f t="shared" si="38"/>
        <v>13937.37</v>
      </c>
      <c r="H28" s="8">
        <f>ROUND($E28*0.047,2)</f>
        <v>3853.27</v>
      </c>
      <c r="I28" s="8">
        <f>ROUND($E28*0.423,2)</f>
        <v>34679.46</v>
      </c>
      <c r="J28" s="14">
        <f t="shared" ref="J28" si="47">E28/K28</f>
        <v>1051.0837179487182</v>
      </c>
      <c r="K28" s="15">
        <v>78</v>
      </c>
    </row>
    <row r="29" spans="1:11" ht="15" customHeight="1" x14ac:dyDescent="0.25">
      <c r="A29" s="23">
        <f t="shared" si="4"/>
        <v>44177</v>
      </c>
      <c r="B29" s="8">
        <v>1662899.37</v>
      </c>
      <c r="C29" s="8">
        <v>1599774.7799999998</v>
      </c>
      <c r="D29" s="8">
        <v>15420</v>
      </c>
      <c r="E29" s="8">
        <f t="shared" ref="E29" si="48">B29-C29-D29</f>
        <v>47704.590000000317</v>
      </c>
      <c r="F29" s="8">
        <f>ROUND($E29*0.36,2)+0.01</f>
        <v>17173.66</v>
      </c>
      <c r="G29" s="8">
        <f t="shared" si="38"/>
        <v>8109.78</v>
      </c>
      <c r="H29" s="8">
        <f>ROUND($E29*0.047,2)-0.01</f>
        <v>2242.1099999999997</v>
      </c>
      <c r="I29" s="8">
        <f>ROUND($E29*0.423,2)</f>
        <v>20179.04</v>
      </c>
      <c r="J29" s="14">
        <f t="shared" ref="J29" si="49">E29/K29</f>
        <v>542.09761363636721</v>
      </c>
      <c r="K29" s="15">
        <v>88</v>
      </c>
    </row>
    <row r="30" spans="1:11" ht="15" customHeight="1" x14ac:dyDescent="0.25">
      <c r="A30" s="23">
        <f t="shared" si="4"/>
        <v>44184</v>
      </c>
      <c r="B30" s="8">
        <v>1664471.27</v>
      </c>
      <c r="C30" s="8">
        <v>1529919.6600000001</v>
      </c>
      <c r="D30" s="8">
        <v>19313</v>
      </c>
      <c r="E30" s="8">
        <f t="shared" ref="E30" si="50">B30-C30-D30</f>
        <v>115238.60999999987</v>
      </c>
      <c r="F30" s="8">
        <f>ROUND($E30*0.36,2)</f>
        <v>41485.9</v>
      </c>
      <c r="G30" s="8">
        <f>ROUND($E30*0.17,2)+0.01</f>
        <v>19590.57</v>
      </c>
      <c r="H30" s="8">
        <f>ROUND($E30*0.047,2)+0.01</f>
        <v>5416.22</v>
      </c>
      <c r="I30" s="8">
        <f>ROUND($E30*0.423,2)-0.01</f>
        <v>48745.919999999998</v>
      </c>
      <c r="J30" s="14">
        <f t="shared" ref="J30" si="51">E30/K30</f>
        <v>1252.5935869565203</v>
      </c>
      <c r="K30" s="15">
        <v>92</v>
      </c>
    </row>
    <row r="31" spans="1:11" ht="15" customHeight="1" x14ac:dyDescent="0.25">
      <c r="A31" s="23">
        <f t="shared" si="4"/>
        <v>44191</v>
      </c>
      <c r="B31" s="8">
        <v>1135896.5899999999</v>
      </c>
      <c r="C31" s="8">
        <v>1019625.3</v>
      </c>
      <c r="D31" s="8">
        <v>19386</v>
      </c>
      <c r="E31" s="8">
        <f t="shared" ref="E31" si="52">B31-C31-D31</f>
        <v>96885.289999999804</v>
      </c>
      <c r="F31" s="8">
        <f>ROUND($E31*0.36,2)+0.01</f>
        <v>34878.71</v>
      </c>
      <c r="G31" s="8">
        <f>ROUND($E31*0.17,2)</f>
        <v>16470.5</v>
      </c>
      <c r="H31" s="8">
        <f>ROUND($E31*0.047,2)-0.01</f>
        <v>4553.5999999999995</v>
      </c>
      <c r="I31" s="8">
        <f>ROUND($E31*0.423,2)</f>
        <v>40982.480000000003</v>
      </c>
      <c r="J31" s="14">
        <f t="shared" ref="J31" si="53">E31/K31</f>
        <v>1019.8451578947348</v>
      </c>
      <c r="K31" s="15">
        <v>95</v>
      </c>
    </row>
    <row r="32" spans="1:11" ht="15" customHeight="1" x14ac:dyDescent="0.25">
      <c r="A32" s="23">
        <f t="shared" si="4"/>
        <v>44198</v>
      </c>
      <c r="B32" s="8">
        <v>3418773.81</v>
      </c>
      <c r="C32" s="8">
        <v>3118008.38</v>
      </c>
      <c r="D32" s="8">
        <v>47367</v>
      </c>
      <c r="E32" s="8">
        <f t="shared" ref="E32" si="54">B32-C32-D32</f>
        <v>253398.43000000017</v>
      </c>
      <c r="F32" s="8">
        <f>ROUND($E32*0.36,2)+0.03</f>
        <v>91223.459999999992</v>
      </c>
      <c r="G32" s="8">
        <f>ROUND($E32*0.17,2)</f>
        <v>43077.73</v>
      </c>
      <c r="H32" s="8">
        <f>ROUND($E32*0.047,2)-0.02</f>
        <v>11909.71</v>
      </c>
      <c r="I32" s="8">
        <f>ROUND($E32*0.423,2)-0.01</f>
        <v>107187.53</v>
      </c>
      <c r="J32" s="14">
        <f t="shared" ref="J32" si="55">E32/K32</f>
        <v>2222.7932456140366</v>
      </c>
      <c r="K32" s="15">
        <v>114</v>
      </c>
    </row>
    <row r="33" spans="1:11" ht="15" customHeight="1" x14ac:dyDescent="0.25">
      <c r="A33" s="23">
        <f t="shared" si="4"/>
        <v>44205</v>
      </c>
      <c r="B33" s="8">
        <v>1036760.6599999999</v>
      </c>
      <c r="C33" s="8">
        <v>929738.01</v>
      </c>
      <c r="D33" s="8">
        <v>16290</v>
      </c>
      <c r="E33" s="8">
        <f t="shared" ref="E33" si="56">B33-C33-D33</f>
        <v>90732.649999999907</v>
      </c>
      <c r="F33" s="8">
        <f>ROUND($E33*0.36,2)-0.01</f>
        <v>32663.74</v>
      </c>
      <c r="G33" s="8">
        <f>ROUND($E33*0.17,2)+0.01</f>
        <v>15424.56</v>
      </c>
      <c r="H33" s="8">
        <f>ROUND($E33*0.047,2)+0.01</f>
        <v>4264.4400000000005</v>
      </c>
      <c r="I33" s="8">
        <f>ROUND($E33*0.423,2)</f>
        <v>38379.910000000003</v>
      </c>
      <c r="J33" s="14">
        <f t="shared" ref="J33" si="57">E33/K33</f>
        <v>898.34306930692981</v>
      </c>
      <c r="K33" s="15">
        <v>101</v>
      </c>
    </row>
    <row r="34" spans="1:11" ht="15" customHeight="1" x14ac:dyDescent="0.25">
      <c r="A34" s="23">
        <f t="shared" si="4"/>
        <v>44212</v>
      </c>
      <c r="B34" s="8">
        <v>886531.08000000007</v>
      </c>
      <c r="C34" s="8">
        <v>754474.74</v>
      </c>
      <c r="D34" s="8">
        <v>13265</v>
      </c>
      <c r="E34" s="8">
        <f t="shared" ref="E34" si="58">B34-C34-D34</f>
        <v>118791.34000000008</v>
      </c>
      <c r="F34" s="8">
        <f>ROUND($E34*0.36,2)+0.01</f>
        <v>42764.89</v>
      </c>
      <c r="G34" s="8">
        <f>ROUND($E34*0.17,2)</f>
        <v>20194.53</v>
      </c>
      <c r="H34" s="8">
        <f>ROUND($E34*0.047,2)-0.01</f>
        <v>5583.1799999999994</v>
      </c>
      <c r="I34" s="8">
        <f>ROUND($E34*0.423,2)</f>
        <v>50248.74</v>
      </c>
      <c r="J34" s="14">
        <f t="shared" ref="J34" si="59">E34/K34</f>
        <v>1199.9125252525262</v>
      </c>
      <c r="K34" s="15">
        <v>99</v>
      </c>
    </row>
    <row r="35" spans="1:11" ht="15" customHeight="1" x14ac:dyDescent="0.25">
      <c r="A35" s="23">
        <f t="shared" si="4"/>
        <v>44219</v>
      </c>
      <c r="B35" s="8">
        <v>1023350.31</v>
      </c>
      <c r="C35" s="8">
        <v>940922.66</v>
      </c>
      <c r="D35" s="8">
        <v>9530</v>
      </c>
      <c r="E35" s="8">
        <f t="shared" ref="E35" si="60">B35-C35-D35</f>
        <v>72897.650000000023</v>
      </c>
      <c r="F35" s="8">
        <f>ROUND($E35*0.36,2)</f>
        <v>26243.15</v>
      </c>
      <c r="G35" s="8">
        <f>ROUND($E35*0.17,2)-0.01</f>
        <v>12392.59</v>
      </c>
      <c r="H35" s="8">
        <f>ROUND($E35*0.047,2)</f>
        <v>3426.19</v>
      </c>
      <c r="I35" s="8">
        <f>ROUND($E35*0.423,2)+0.01</f>
        <v>30835.719999999998</v>
      </c>
      <c r="J35" s="14">
        <f t="shared" ref="J35" si="61">E35/K35</f>
        <v>707.74417475728183</v>
      </c>
      <c r="K35" s="15">
        <v>103</v>
      </c>
    </row>
    <row r="36" spans="1:11" ht="15" customHeight="1" x14ac:dyDescent="0.25">
      <c r="A36" s="23">
        <f t="shared" si="4"/>
        <v>44226</v>
      </c>
      <c r="B36" s="8">
        <v>764962.27</v>
      </c>
      <c r="C36" s="8">
        <v>681888.37</v>
      </c>
      <c r="D36" s="8">
        <v>7115</v>
      </c>
      <c r="E36" s="8">
        <f t="shared" ref="E36" si="62">B36-C36-D36</f>
        <v>75958.900000000023</v>
      </c>
      <c r="F36" s="8">
        <f>ROUND($E36*0.36,2)+0.02</f>
        <v>27345.22</v>
      </c>
      <c r="G36" s="8">
        <f>ROUND($E36*0.17,2)</f>
        <v>12913.01</v>
      </c>
      <c r="H36" s="8">
        <f>ROUND($E36*0.047,2)-0.01</f>
        <v>3570.06</v>
      </c>
      <c r="I36" s="8">
        <f>ROUND($E36*0.423,2)</f>
        <v>32130.61</v>
      </c>
      <c r="J36" s="14">
        <f t="shared" ref="J36" si="63">E36/K36</f>
        <v>808.07340425531936</v>
      </c>
      <c r="K36" s="15">
        <v>94</v>
      </c>
    </row>
    <row r="37" spans="1:11" ht="15" customHeight="1" x14ac:dyDescent="0.25">
      <c r="A37" s="23">
        <f t="shared" si="4"/>
        <v>44233</v>
      </c>
      <c r="B37" s="8">
        <v>1259021.56</v>
      </c>
      <c r="C37" s="8">
        <v>1092756.4099999999</v>
      </c>
      <c r="D37" s="8">
        <v>20625</v>
      </c>
      <c r="E37" s="8">
        <f t="shared" ref="E37" si="64">B37-C37-D37</f>
        <v>145640.15000000014</v>
      </c>
      <c r="F37" s="8">
        <f>ROUND($E37*0.36,2)+0.02</f>
        <v>52430.469999999994</v>
      </c>
      <c r="G37" s="8">
        <f>ROUND($E37*0.17,2)</f>
        <v>24758.83</v>
      </c>
      <c r="H37" s="8">
        <f>ROUND($E37*0.047,2)-0.01</f>
        <v>6845.08</v>
      </c>
      <c r="I37" s="8">
        <f>ROUND($E37*0.423,2)-0.01</f>
        <v>61605.77</v>
      </c>
      <c r="J37" s="14">
        <f t="shared" ref="J37" si="65">E37/K37</f>
        <v>1400.3860576923091</v>
      </c>
      <c r="K37" s="15">
        <v>104</v>
      </c>
    </row>
    <row r="38" spans="1:11" ht="15" customHeight="1" x14ac:dyDescent="0.25">
      <c r="A38" s="23">
        <f t="shared" si="4"/>
        <v>44240</v>
      </c>
      <c r="B38" s="8">
        <v>3125064.18</v>
      </c>
      <c r="C38" s="8">
        <v>2928898.08</v>
      </c>
      <c r="D38" s="8">
        <v>41740</v>
      </c>
      <c r="E38" s="8">
        <f t="shared" ref="E38" si="66">B38-C38-D38</f>
        <v>154426.10000000009</v>
      </c>
      <c r="F38" s="8">
        <f>ROUND($E38*0.36,2)-0.01</f>
        <v>55593.39</v>
      </c>
      <c r="G38" s="8">
        <f>ROUND($E38*0.17,2)</f>
        <v>26252.44</v>
      </c>
      <c r="H38" s="8">
        <f>ROUND($E38*0.047,2)-0.01</f>
        <v>7258.0199999999995</v>
      </c>
      <c r="I38" s="8">
        <f>ROUND($E38*0.423,2)+0.01</f>
        <v>65322.25</v>
      </c>
      <c r="J38" s="14">
        <f t="shared" ref="J38" si="67">E38/K38</f>
        <v>1416.7532110091752</v>
      </c>
      <c r="K38" s="15">
        <v>109</v>
      </c>
    </row>
    <row r="39" spans="1:11" ht="15" customHeight="1" x14ac:dyDescent="0.25">
      <c r="A39" s="23">
        <f t="shared" si="4"/>
        <v>44247</v>
      </c>
      <c r="B39" s="8">
        <v>2027947.9</v>
      </c>
      <c r="C39" s="8">
        <v>1837140.4</v>
      </c>
      <c r="D39" s="8">
        <v>23496</v>
      </c>
      <c r="E39" s="8">
        <f t="shared" ref="E39" si="68">B39-C39-D39</f>
        <v>167311.5</v>
      </c>
      <c r="F39" s="8">
        <f>ROUND($E39*0.36,2)-0.03</f>
        <v>60232.11</v>
      </c>
      <c r="G39" s="8">
        <f>ROUND($E39*0.17,2)</f>
        <v>28442.959999999999</v>
      </c>
      <c r="H39" s="8">
        <f>ROUND($E39*0.047,2)+0.01</f>
        <v>7863.6500000000005</v>
      </c>
      <c r="I39" s="8">
        <f>ROUND($E39*0.423,2)+0.02</f>
        <v>70772.78</v>
      </c>
      <c r="J39" s="14">
        <f t="shared" ref="J39" si="69">E39/K39</f>
        <v>1430.0128205128206</v>
      </c>
      <c r="K39" s="15">
        <v>117</v>
      </c>
    </row>
    <row r="40" spans="1:11" ht="15" customHeight="1" x14ac:dyDescent="0.25">
      <c r="A40" s="23">
        <f t="shared" si="4"/>
        <v>44254</v>
      </c>
      <c r="B40" s="8">
        <v>1885584.42</v>
      </c>
      <c r="C40" s="8">
        <v>1743782.38</v>
      </c>
      <c r="D40" s="8">
        <v>36455</v>
      </c>
      <c r="E40" s="8">
        <f t="shared" ref="E40" si="70">B40-C40-D40</f>
        <v>105347.04000000004</v>
      </c>
      <c r="F40" s="8">
        <f>ROUND($E40*0.36,2)-0.02</f>
        <v>37924.910000000003</v>
      </c>
      <c r="G40" s="8">
        <f>ROUND($E40*0.17,2)+0.01</f>
        <v>17909.009999999998</v>
      </c>
      <c r="H40" s="8">
        <f>ROUND($E40*0.047,2)</f>
        <v>4951.3100000000004</v>
      </c>
      <c r="I40" s="8">
        <f>ROUND($E40*0.423,2)+0.01</f>
        <v>44561.810000000005</v>
      </c>
      <c r="J40" s="14">
        <f t="shared" ref="J40" si="71">E40/K40</f>
        <v>949.07243243243272</v>
      </c>
      <c r="K40" s="15">
        <v>111</v>
      </c>
    </row>
    <row r="41" spans="1:11" ht="15" customHeight="1" x14ac:dyDescent="0.25">
      <c r="A41" s="23">
        <f t="shared" si="4"/>
        <v>44261</v>
      </c>
      <c r="B41" s="8">
        <v>1429044.25</v>
      </c>
      <c r="C41" s="8">
        <v>1282058.24</v>
      </c>
      <c r="D41" s="8">
        <v>27991</v>
      </c>
      <c r="E41" s="8">
        <f t="shared" ref="E41" si="72">B41-C41-D41</f>
        <v>118995.01000000001</v>
      </c>
      <c r="F41" s="8">
        <f>ROUND($E41*0.36,2)-0.01</f>
        <v>42838.189999999995</v>
      </c>
      <c r="G41" s="8">
        <f>ROUND($E41*0.17,2)+0.01</f>
        <v>20229.16</v>
      </c>
      <c r="H41" s="8">
        <f>ROUND($E41*0.047,2)</f>
        <v>5592.77</v>
      </c>
      <c r="I41" s="8">
        <f>ROUND($E41*0.423,2)</f>
        <v>50334.89</v>
      </c>
      <c r="J41" s="14">
        <f t="shared" ref="J41" si="73">E41/K41</f>
        <v>1122.5944339622642</v>
      </c>
      <c r="K41" s="15">
        <v>106</v>
      </c>
    </row>
    <row r="42" spans="1:11" ht="15" customHeight="1" x14ac:dyDescent="0.25">
      <c r="A42" s="23">
        <f t="shared" si="4"/>
        <v>44268</v>
      </c>
      <c r="B42" s="8">
        <v>1343305.52</v>
      </c>
      <c r="C42" s="8">
        <v>1225415.8699999999</v>
      </c>
      <c r="D42" s="8">
        <v>21312</v>
      </c>
      <c r="E42" s="8">
        <f t="shared" ref="E42" si="74">B42-C42-D42</f>
        <v>96577.65000000014</v>
      </c>
      <c r="F42" s="8">
        <f>ROUND($E42*0.36,2)-0.01</f>
        <v>34767.939999999995</v>
      </c>
      <c r="G42" s="8">
        <f>ROUND($E42*0.17,2)+0.01</f>
        <v>16418.21</v>
      </c>
      <c r="H42" s="8">
        <f>ROUND($E42*0.047,2)</f>
        <v>4539.1499999999996</v>
      </c>
      <c r="I42" s="8">
        <f>ROUND($E42*0.423,2)</f>
        <v>40852.35</v>
      </c>
      <c r="J42" s="14">
        <f t="shared" ref="J42" si="75">E42/K42</f>
        <v>847.17236842105387</v>
      </c>
      <c r="K42" s="15">
        <v>114</v>
      </c>
    </row>
    <row r="43" spans="1:11" ht="15" customHeight="1" x14ac:dyDescent="0.25">
      <c r="A43" s="23">
        <f t="shared" si="4"/>
        <v>44275</v>
      </c>
      <c r="B43" s="8">
        <v>1708489.6099999999</v>
      </c>
      <c r="C43" s="8">
        <v>1640086.26</v>
      </c>
      <c r="D43" s="8">
        <v>19825</v>
      </c>
      <c r="E43" s="8">
        <f t="shared" ref="E43" si="76">B43-C43-D43</f>
        <v>48578.34999999986</v>
      </c>
      <c r="F43" s="8">
        <f>ROUND($E43*0.36,2)</f>
        <v>17488.21</v>
      </c>
      <c r="G43" s="8">
        <f>ROUND($E43*0.17,2)-0.01</f>
        <v>8258.31</v>
      </c>
      <c r="H43" s="8">
        <f>ROUND($E43*0.047,2)</f>
        <v>2283.1799999999998</v>
      </c>
      <c r="I43" s="8">
        <f>ROUND($E43*0.423,2)+0.01</f>
        <v>20548.649999999998</v>
      </c>
      <c r="J43" s="14">
        <f t="shared" ref="J43" si="77">E43/K43</f>
        <v>445.67293577981525</v>
      </c>
      <c r="K43" s="15">
        <v>109</v>
      </c>
    </row>
    <row r="44" spans="1:11" ht="15" customHeight="1" x14ac:dyDescent="0.25">
      <c r="A44" s="23">
        <f t="shared" si="4"/>
        <v>44282</v>
      </c>
      <c r="B44" s="8">
        <v>1747120.71</v>
      </c>
      <c r="C44" s="8">
        <v>1611298.3499999999</v>
      </c>
      <c r="D44" s="8">
        <v>29046</v>
      </c>
      <c r="E44" s="8">
        <f t="shared" ref="E44" si="78">B44-C44-D44</f>
        <v>106776.3600000001</v>
      </c>
      <c r="F44" s="8">
        <f>ROUND($E44*0.36,2)-0.01</f>
        <v>38439.479999999996</v>
      </c>
      <c r="G44" s="8">
        <f>ROUND($E44*0.17,2)</f>
        <v>18151.98</v>
      </c>
      <c r="H44" s="8">
        <f>ROUND($E44*0.047,2)+0.01</f>
        <v>5018.5</v>
      </c>
      <c r="I44" s="8">
        <f>ROUND($E44*0.423,2)</f>
        <v>45166.400000000001</v>
      </c>
      <c r="J44" s="14">
        <f t="shared" ref="J44" si="79">E44/K44</f>
        <v>970.69418181818276</v>
      </c>
      <c r="K44" s="15">
        <v>110</v>
      </c>
    </row>
    <row r="45" spans="1:11" ht="15" customHeight="1" x14ac:dyDescent="0.25">
      <c r="A45" s="23">
        <f t="shared" si="4"/>
        <v>44289</v>
      </c>
      <c r="B45" s="8">
        <v>2038600.5299999998</v>
      </c>
      <c r="C45" s="8">
        <v>1899858.96</v>
      </c>
      <c r="D45" s="8">
        <v>28249</v>
      </c>
      <c r="E45" s="8">
        <f t="shared" ref="E45" si="80">B45-C45-D45</f>
        <v>110492.56999999983</v>
      </c>
      <c r="F45" s="8">
        <f>ROUND($E45*0.36,2)-0.02</f>
        <v>39777.310000000005</v>
      </c>
      <c r="G45" s="8">
        <f>ROUND($E45*0.17,2)+0.01</f>
        <v>18783.75</v>
      </c>
      <c r="H45" s="8">
        <f>ROUND($E45*0.047,2)</f>
        <v>5193.1499999999996</v>
      </c>
      <c r="I45" s="8">
        <f>ROUND($E45*0.423,2)</f>
        <v>46738.36</v>
      </c>
      <c r="J45" s="14">
        <f t="shared" ref="J45" si="81">E45/K45</f>
        <v>1004.4779090909076</v>
      </c>
      <c r="K45" s="15">
        <v>110</v>
      </c>
    </row>
    <row r="46" spans="1:11" ht="15" customHeight="1" x14ac:dyDescent="0.25">
      <c r="A46" s="23">
        <f t="shared" si="4"/>
        <v>44296</v>
      </c>
      <c r="B46" s="8">
        <v>2085492.42</v>
      </c>
      <c r="C46" s="8">
        <v>2022354.3199999998</v>
      </c>
      <c r="D46" s="8">
        <v>12768</v>
      </c>
      <c r="E46" s="8">
        <f t="shared" ref="E46" si="82">B46-C46-D46</f>
        <v>50370.100000000093</v>
      </c>
      <c r="F46" s="8">
        <f>ROUND($E46*0.36,2)-0.01</f>
        <v>18133.230000000003</v>
      </c>
      <c r="G46" s="8">
        <f>ROUND($E46*0.17,2)-0.01</f>
        <v>8562.91</v>
      </c>
      <c r="H46" s="8">
        <f>ROUND($E46*0.047,2)+0.01</f>
        <v>2367.4</v>
      </c>
      <c r="I46" s="8">
        <f>ROUND($E46*0.423,2)+0.01</f>
        <v>21306.559999999998</v>
      </c>
      <c r="J46" s="14">
        <f t="shared" ref="J46" si="83">E46/K46</f>
        <v>466.38981481481568</v>
      </c>
      <c r="K46" s="15">
        <v>108</v>
      </c>
    </row>
    <row r="47" spans="1:11" ht="15" customHeight="1" x14ac:dyDescent="0.25">
      <c r="A47" s="23">
        <f t="shared" si="4"/>
        <v>44303</v>
      </c>
      <c r="B47" s="8">
        <v>1125797.04</v>
      </c>
      <c r="C47" s="8">
        <v>1014322.76</v>
      </c>
      <c r="D47" s="8">
        <v>11862</v>
      </c>
      <c r="E47" s="8">
        <f t="shared" ref="E47" si="84">B47-C47-D47</f>
        <v>99612.280000000028</v>
      </c>
      <c r="F47" s="8">
        <f>ROUND($E47*0.36,2)</f>
        <v>35860.42</v>
      </c>
      <c r="G47" s="8">
        <f>ROUND($E47*0.17,2)</f>
        <v>16934.09</v>
      </c>
      <c r="H47" s="8">
        <f>ROUND($E47*0.047,2)</f>
        <v>4681.78</v>
      </c>
      <c r="I47" s="8">
        <f>ROUND($E47*0.423,2)</f>
        <v>42135.99</v>
      </c>
      <c r="J47" s="14">
        <f t="shared" ref="J47" si="85">E47/K47</f>
        <v>913.87412844036726</v>
      </c>
      <c r="K47" s="15">
        <v>109</v>
      </c>
    </row>
    <row r="48" spans="1:11" ht="15" customHeight="1" x14ac:dyDescent="0.25">
      <c r="A48" s="23">
        <f t="shared" si="4"/>
        <v>44310</v>
      </c>
      <c r="B48" s="8">
        <v>892927.84000000008</v>
      </c>
      <c r="C48" s="8">
        <v>788755.62</v>
      </c>
      <c r="D48" s="8">
        <v>16466</v>
      </c>
      <c r="E48" s="8">
        <f t="shared" ref="E48" si="86">B48-C48-D48</f>
        <v>87706.220000000088</v>
      </c>
      <c r="F48" s="8">
        <f>ROUND($E48*0.36,2)</f>
        <v>31574.240000000002</v>
      </c>
      <c r="G48" s="8">
        <f>ROUND($E48*0.17,2)</f>
        <v>14910.06</v>
      </c>
      <c r="H48" s="8">
        <f>ROUND($E48*0.047,2)</f>
        <v>4122.1899999999996</v>
      </c>
      <c r="I48" s="8">
        <f>ROUND($E48*0.423,2)</f>
        <v>37099.730000000003</v>
      </c>
      <c r="J48" s="14">
        <f t="shared" ref="J48" si="87">E48/K48</f>
        <v>843.32903846153931</v>
      </c>
      <c r="K48" s="15">
        <v>104</v>
      </c>
    </row>
    <row r="49" spans="1:11" ht="15" customHeight="1" x14ac:dyDescent="0.25">
      <c r="A49" s="23">
        <f t="shared" si="4"/>
        <v>44317</v>
      </c>
      <c r="B49" s="8">
        <v>1410223.75</v>
      </c>
      <c r="C49" s="8">
        <v>1269905.42</v>
      </c>
      <c r="D49" s="8">
        <v>16183</v>
      </c>
      <c r="E49" s="8">
        <f t="shared" ref="E49" si="88">B49-C49-D49</f>
        <v>124135.33000000007</v>
      </c>
      <c r="F49" s="8">
        <f>ROUND($E49*0.36,2)+0.02</f>
        <v>44688.74</v>
      </c>
      <c r="G49" s="8">
        <f>ROUND($E49*0.17,2)-0.01</f>
        <v>21103</v>
      </c>
      <c r="H49" s="8">
        <f>ROUND($E49*0.047,2)-0.01</f>
        <v>5834.3499999999995</v>
      </c>
      <c r="I49" s="8">
        <f>ROUND($E49*0.423,2)</f>
        <v>52509.24</v>
      </c>
      <c r="J49" s="14">
        <f t="shared" ref="J49" si="89">E49/K49</f>
        <v>1118.3363063063071</v>
      </c>
      <c r="K49" s="15">
        <v>111</v>
      </c>
    </row>
    <row r="50" spans="1:11" ht="15" customHeight="1" x14ac:dyDescent="0.25">
      <c r="A50" s="23">
        <f>A49+7</f>
        <v>44324</v>
      </c>
      <c r="B50" s="8">
        <v>909900.59</v>
      </c>
      <c r="C50" s="8">
        <v>836095.39</v>
      </c>
      <c r="D50" s="8">
        <v>13360</v>
      </c>
      <c r="E50" s="8">
        <f t="shared" ref="E50" si="90">B50-C50-D50</f>
        <v>60445.199999999953</v>
      </c>
      <c r="F50" s="8">
        <f>ROUND($E50*0.36,2)-0.01</f>
        <v>21760.260000000002</v>
      </c>
      <c r="G50" s="8">
        <f>ROUND($E50*0.17,2)+0.01</f>
        <v>10275.69</v>
      </c>
      <c r="H50" s="8">
        <f>ROUND($E50*0.047,2)+0.01</f>
        <v>2840.9300000000003</v>
      </c>
      <c r="I50" s="8">
        <f>ROUND($E50*0.423,2)</f>
        <v>25568.32</v>
      </c>
      <c r="J50" s="14">
        <f t="shared" ref="J50" si="91">E50/K50</f>
        <v>610.55757575757525</v>
      </c>
      <c r="K50" s="15">
        <v>99</v>
      </c>
    </row>
    <row r="51" spans="1:11" ht="15" customHeight="1" x14ac:dyDescent="0.25">
      <c r="A51" s="23">
        <f>A50+7</f>
        <v>44331</v>
      </c>
      <c r="B51" s="8">
        <v>1310579.1099999999</v>
      </c>
      <c r="C51" s="8">
        <v>1170148.17</v>
      </c>
      <c r="D51" s="8">
        <v>11300</v>
      </c>
      <c r="E51" s="8">
        <f t="shared" ref="E51" si="92">B51-C51-D51</f>
        <v>129130.93999999994</v>
      </c>
      <c r="F51" s="8">
        <f>ROUND($E51*0.36,2)</f>
        <v>46487.14</v>
      </c>
      <c r="G51" s="8">
        <f>ROUND($E51*0.17,2)</f>
        <v>21952.26</v>
      </c>
      <c r="H51" s="8">
        <f>ROUND($E51*0.047,2)+0.01</f>
        <v>6069.16</v>
      </c>
      <c r="I51" s="8">
        <f>ROUND($E51*0.423,2)-0.01</f>
        <v>54622.38</v>
      </c>
      <c r="J51" s="14">
        <f t="shared" ref="J51" si="93">E51/K51</f>
        <v>1163.3418018018012</v>
      </c>
      <c r="K51" s="15">
        <v>111</v>
      </c>
    </row>
    <row r="52" spans="1:11" ht="15" customHeight="1" x14ac:dyDescent="0.25">
      <c r="A52" s="23">
        <f>A51+7</f>
        <v>44338</v>
      </c>
      <c r="B52" s="8">
        <v>1182753.9000000001</v>
      </c>
      <c r="C52" s="8">
        <v>1065832.33</v>
      </c>
      <c r="D52" s="8">
        <v>9290</v>
      </c>
      <c r="E52" s="8">
        <f t="shared" ref="E52" si="94">B52-C52-D52</f>
        <v>107631.57000000007</v>
      </c>
      <c r="F52" s="8">
        <f>ROUND($E52*0.36,2)</f>
        <v>38747.370000000003</v>
      </c>
      <c r="G52" s="8">
        <f>ROUND($E52*0.17,2)</f>
        <v>18297.37</v>
      </c>
      <c r="H52" s="8">
        <f>ROUND($E52*0.047,2)</f>
        <v>5058.68</v>
      </c>
      <c r="I52" s="8">
        <f>ROUND($E52*0.423,2)</f>
        <v>45528.15</v>
      </c>
      <c r="J52" s="14">
        <f t="shared" ref="J52" si="95">E52/K52</f>
        <v>969.65378378378432</v>
      </c>
      <c r="K52" s="15">
        <v>111</v>
      </c>
    </row>
    <row r="53" spans="1:11" ht="15" customHeight="1" x14ac:dyDescent="0.25">
      <c r="A53" s="23">
        <f>A52+7</f>
        <v>44345</v>
      </c>
      <c r="B53" s="8">
        <v>1275967.32</v>
      </c>
      <c r="C53" s="8">
        <v>1163022.1600000001</v>
      </c>
      <c r="D53" s="8">
        <v>22456</v>
      </c>
      <c r="E53" s="8">
        <f t="shared" ref="E53" si="96">B53-C53-D53</f>
        <v>90489.159999999916</v>
      </c>
      <c r="F53" s="8">
        <f>ROUND($E53*0.36,2)</f>
        <v>32576.1</v>
      </c>
      <c r="G53" s="8">
        <f>ROUND($E53*0.17,2)-0.01</f>
        <v>15383.15</v>
      </c>
      <c r="H53" s="8">
        <f>ROUND($E53*0.047,2)</f>
        <v>4252.99</v>
      </c>
      <c r="I53" s="8">
        <f>ROUND($E53*0.423,2)+0.01</f>
        <v>38276.920000000006</v>
      </c>
      <c r="J53" s="14">
        <f t="shared" ref="J53" si="97">E53/K53</f>
        <v>830.175779816513</v>
      </c>
      <c r="K53" s="15">
        <v>109</v>
      </c>
    </row>
    <row r="54" spans="1:11" ht="15" customHeight="1" x14ac:dyDescent="0.25">
      <c r="A54" s="23">
        <v>44352</v>
      </c>
      <c r="B54" s="8">
        <v>1843851.0899999999</v>
      </c>
      <c r="C54" s="8">
        <v>1648846.45</v>
      </c>
      <c r="D54" s="8">
        <v>31097</v>
      </c>
      <c r="E54" s="8">
        <f t="shared" ref="E54" si="98">B54-C54-D54</f>
        <v>163907.6399999999</v>
      </c>
      <c r="F54" s="8">
        <f>ROUND($E54*0.36,2)-0.01</f>
        <v>59006.74</v>
      </c>
      <c r="G54" s="8">
        <f>ROUND($E54*0.17,2)</f>
        <v>27864.3</v>
      </c>
      <c r="H54" s="8">
        <f>ROUND($E54*0.047,2)+0.01</f>
        <v>7703.67</v>
      </c>
      <c r="I54" s="8">
        <f>ROUND($E54*0.423,2)</f>
        <v>69332.929999999993</v>
      </c>
      <c r="J54" s="14">
        <f t="shared" ref="J54" si="99">E54/K54</f>
        <v>1531.8471028037375</v>
      </c>
      <c r="K54" s="15">
        <v>107</v>
      </c>
    </row>
    <row r="55" spans="1:11" ht="15" customHeight="1" x14ac:dyDescent="0.25">
      <c r="A55" s="23">
        <f>A54+7</f>
        <v>44359</v>
      </c>
      <c r="B55" s="8">
        <v>1244685.48</v>
      </c>
      <c r="C55" s="8">
        <v>1189009.99</v>
      </c>
      <c r="D55" s="8">
        <v>18323</v>
      </c>
      <c r="E55" s="8">
        <f t="shared" ref="E55" si="100">B55-C55-D55</f>
        <v>37352.489999999991</v>
      </c>
      <c r="F55" s="8">
        <f>ROUND($E55*0.36,2)</f>
        <v>13446.9</v>
      </c>
      <c r="G55" s="8">
        <f>ROUND($E55*0.17,2)</f>
        <v>6349.92</v>
      </c>
      <c r="H55" s="8">
        <f>ROUND($E55*0.047,2)-0.01</f>
        <v>1755.56</v>
      </c>
      <c r="I55" s="8">
        <f>ROUND($E55*0.423,2)+0.01</f>
        <v>15800.11</v>
      </c>
      <c r="J55" s="14">
        <f t="shared" ref="J55" si="101">E55/K55</f>
        <v>362.64553398058246</v>
      </c>
      <c r="K55" s="15">
        <v>103</v>
      </c>
    </row>
    <row r="56" spans="1:11" ht="15" customHeight="1" x14ac:dyDescent="0.25">
      <c r="A56" s="23">
        <f>A55+7</f>
        <v>44366</v>
      </c>
      <c r="B56" s="8">
        <v>1978866.2899999998</v>
      </c>
      <c r="C56" s="8">
        <v>1847046.54</v>
      </c>
      <c r="D56" s="8">
        <v>25140</v>
      </c>
      <c r="E56" s="8">
        <f t="shared" ref="E56" si="102">B56-C56-D56</f>
        <v>106679.74999999977</v>
      </c>
      <c r="F56" s="8">
        <f>ROUND($E56*0.36,2)-0.01</f>
        <v>38404.699999999997</v>
      </c>
      <c r="G56" s="8">
        <f>ROUND($E56*0.17,2)</f>
        <v>18135.560000000001</v>
      </c>
      <c r="H56" s="8">
        <f>ROUND($E56*0.047,2)-0.01</f>
        <v>5013.9399999999996</v>
      </c>
      <c r="I56" s="8">
        <f>ROUND($E56*0.423,2)+0.02</f>
        <v>45125.549999999996</v>
      </c>
      <c r="J56" s="14">
        <f t="shared" ref="J56" si="103">E56/K56</f>
        <v>1045.879901960782</v>
      </c>
      <c r="K56" s="15">
        <v>102</v>
      </c>
    </row>
    <row r="57" spans="1:11" ht="15" customHeight="1" x14ac:dyDescent="0.25">
      <c r="A57" s="23">
        <f>A56+7</f>
        <v>44373</v>
      </c>
      <c r="B57" s="8">
        <v>2069723.6400000001</v>
      </c>
      <c r="C57" s="8">
        <v>1852306.46</v>
      </c>
      <c r="D57" s="8">
        <v>17505</v>
      </c>
      <c r="E57" s="8">
        <f t="shared" ref="E57" si="104">B57-C57-D57</f>
        <v>199912.18000000017</v>
      </c>
      <c r="F57" s="8">
        <f>ROUND($E57*0.36,2)-0.01</f>
        <v>71968.37000000001</v>
      </c>
      <c r="G57" s="8">
        <f>ROUND($E57*0.17,2)+0.01</f>
        <v>33985.08</v>
      </c>
      <c r="H57" s="8">
        <f>ROUND($E57*0.047,2)+0.01</f>
        <v>9395.880000000001</v>
      </c>
      <c r="I57" s="8">
        <f>ROUND($E57*0.423,2)</f>
        <v>84562.85</v>
      </c>
      <c r="J57" s="14">
        <f t="shared" ref="J57" si="105">E57/K57</f>
        <v>1903.9255238095254</v>
      </c>
      <c r="K57" s="15">
        <v>105</v>
      </c>
    </row>
    <row r="58" spans="1:11" ht="15" customHeight="1" x14ac:dyDescent="0.25">
      <c r="A58" s="23" t="s">
        <v>41</v>
      </c>
      <c r="B58" s="8">
        <v>1149328.94</v>
      </c>
      <c r="C58" s="8">
        <v>1071411.71</v>
      </c>
      <c r="D58" s="8">
        <v>13340</v>
      </c>
      <c r="E58" s="8">
        <f t="shared" ref="E58" si="106">B58-C58-D58</f>
        <v>64577.229999999981</v>
      </c>
      <c r="F58" s="8">
        <f>ROUND($E58*0.36,2)</f>
        <v>23247.8</v>
      </c>
      <c r="G58" s="8">
        <f>ROUND($E58*0.17,2)</f>
        <v>10978.13</v>
      </c>
      <c r="H58" s="8">
        <f>ROUND($E58*0.047,2)</f>
        <v>3035.13</v>
      </c>
      <c r="I58" s="8">
        <f>ROUND($E58*0.423,2)</f>
        <v>27316.17</v>
      </c>
      <c r="J58" s="14">
        <f t="shared" ref="J58" si="107">E58/K58</f>
        <v>551.94213675213655</v>
      </c>
      <c r="K58" s="15">
        <v>117</v>
      </c>
    </row>
    <row r="59" spans="1:11" ht="15" customHeight="1" x14ac:dyDescent="0.25">
      <c r="J59" s="8"/>
    </row>
    <row r="60" spans="1:11" ht="15" customHeight="1" thickBot="1" x14ac:dyDescent="0.3">
      <c r="B60" s="10">
        <f t="shared" ref="B60:I60" si="108">SUM(B6:B59)</f>
        <v>88205474.430000037</v>
      </c>
      <c r="C60" s="10">
        <f t="shared" si="108"/>
        <v>81424103.859999985</v>
      </c>
      <c r="D60" s="10">
        <f t="shared" si="108"/>
        <v>1226648</v>
      </c>
      <c r="E60" s="10">
        <f t="shared" si="108"/>
        <v>5554722.570000004</v>
      </c>
      <c r="F60" s="10">
        <f t="shared" si="108"/>
        <v>1999700.0199999996</v>
      </c>
      <c r="G60" s="10">
        <f t="shared" si="108"/>
        <v>944302.91</v>
      </c>
      <c r="H60" s="10">
        <f t="shared" si="108"/>
        <v>261071.92999999996</v>
      </c>
      <c r="I60" s="10">
        <f t="shared" si="108"/>
        <v>2349647.71</v>
      </c>
      <c r="J60" s="16">
        <f>AVERAGE(J6:J59)</f>
        <v>1030.4327868097307</v>
      </c>
      <c r="K60" s="17">
        <f>AVERAGE(K6:K59)</f>
        <v>101.64150943396227</v>
      </c>
    </row>
    <row r="61" spans="1:11" ht="15" customHeight="1" thickTop="1" x14ac:dyDescent="0.25"/>
    <row r="62" spans="1:11" ht="15" customHeight="1" x14ac:dyDescent="0.25">
      <c r="A62" s="21" t="s">
        <v>35</v>
      </c>
    </row>
    <row r="63" spans="1:11" ht="15" customHeight="1" x14ac:dyDescent="0.25">
      <c r="A63" s="11" t="s">
        <v>9</v>
      </c>
    </row>
    <row r="64" spans="1:11" ht="15" customHeight="1" x14ac:dyDescent="0.25">
      <c r="A64" s="11" t="s">
        <v>39</v>
      </c>
      <c r="B64" s="11"/>
    </row>
  </sheetData>
  <mergeCells count="1">
    <mergeCell ref="A4:K4"/>
  </mergeCells>
  <printOptions horizontalCentered="1"/>
  <pageMargins left="0.25" right="0.25" top="0.75" bottom="0.5" header="0.25" footer="0"/>
  <pageSetup scale="84" orientation="landscape" r:id="rId1"/>
  <headerFooter>
    <oddHeader>&amp;C&amp;"Arial,Italic"&amp;10GREENBRIER HISTORIC RESORT VIDEO LOTTERY</oddHeader>
    <oddFooter>&amp;L&amp;"Arial,Regular"&amp;8&amp;F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Weekly Summary</vt:lpstr>
      <vt:lpstr>Table Games</vt:lpstr>
      <vt:lpstr>Video</vt:lpstr>
      <vt:lpstr>'Table Games'!Print_Area</vt:lpstr>
      <vt:lpstr>Video!Print_Area</vt:lpstr>
      <vt:lpstr>'Weekly Summary'!Print_Area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Mara Dawson</cp:lastModifiedBy>
  <cp:lastPrinted>2020-07-16T13:12:09Z</cp:lastPrinted>
  <dcterms:created xsi:type="dcterms:W3CDTF">2017-06-16T18:01:39Z</dcterms:created>
  <dcterms:modified xsi:type="dcterms:W3CDTF">2021-07-07T18:19:26Z</dcterms:modified>
</cp:coreProperties>
</file>