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889548A0-E3F0-4685-ADB0-C265DD8F973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ummary" sheetId="1" r:id="rId1"/>
    <sheet name="Video Lottery" sheetId="3" r:id="rId2"/>
    <sheet name="Table Games" sheetId="2" r:id="rId3"/>
  </sheets>
  <externalReferences>
    <externalReference r:id="rId4"/>
  </externalReferences>
  <definedNames>
    <definedName name="_xlnm.Print_Area" localSheetId="0">Summary!$A$1:$N$19</definedName>
    <definedName name="_xlnm.Print_Area" localSheetId="2">'Table Games'!$A$1:$L$16</definedName>
    <definedName name="_xlnm.Print_Area" localSheetId="1">'Video Lottery'!$A$1:$M$16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3" l="1"/>
  <c r="C11" i="2"/>
  <c r="D14" i="1" s="1"/>
  <c r="C11" i="3"/>
  <c r="G14" i="1"/>
  <c r="C14" i="1"/>
  <c r="B14" i="1"/>
  <c r="A10" i="2"/>
  <c r="A10" i="3"/>
  <c r="G13" i="1"/>
  <c r="B10" i="2"/>
  <c r="C10" i="2" s="1"/>
  <c r="B10" i="3"/>
  <c r="C10" i="3" s="1"/>
  <c r="B9" i="2"/>
  <c r="B12" i="1" s="1"/>
  <c r="B9" i="3"/>
  <c r="C9" i="3" s="1"/>
  <c r="A9" i="2"/>
  <c r="A9" i="3"/>
  <c r="G12" i="1"/>
  <c r="C8" i="3"/>
  <c r="D11" i="2" l="1"/>
  <c r="F11" i="2" s="1"/>
  <c r="D11" i="3"/>
  <c r="E11" i="3"/>
  <c r="F14" i="1" s="1"/>
  <c r="C13" i="1"/>
  <c r="D13" i="1"/>
  <c r="B13" i="1"/>
  <c r="D10" i="2"/>
  <c r="F10" i="2" s="1"/>
  <c r="D10" i="3"/>
  <c r="E10" i="3"/>
  <c r="F13" i="1" s="1"/>
  <c r="C9" i="2"/>
  <c r="D12" i="1" s="1"/>
  <c r="D9" i="3"/>
  <c r="C12" i="1"/>
  <c r="E9" i="3"/>
  <c r="A8" i="2"/>
  <c r="A8" i="3"/>
  <c r="G11" i="1"/>
  <c r="C11" i="1"/>
  <c r="B11" i="1"/>
  <c r="C8" i="2"/>
  <c r="D8" i="2" s="1"/>
  <c r="D8" i="3"/>
  <c r="C7" i="3"/>
  <c r="D7" i="3" s="1"/>
  <c r="G10" i="1"/>
  <c r="C10" i="1"/>
  <c r="B10" i="1"/>
  <c r="C7" i="2"/>
  <c r="C6" i="3"/>
  <c r="L11" i="2" l="1"/>
  <c r="K11" i="2"/>
  <c r="G11" i="2"/>
  <c r="E14" i="1"/>
  <c r="J11" i="2"/>
  <c r="I11" i="2"/>
  <c r="H11" i="2"/>
  <c r="G11" i="3"/>
  <c r="E13" i="1"/>
  <c r="G10" i="2"/>
  <c r="L10" i="2"/>
  <c r="K10" i="2"/>
  <c r="J10" i="2"/>
  <c r="I10" i="2"/>
  <c r="H10" i="2"/>
  <c r="G10" i="3"/>
  <c r="D9" i="2"/>
  <c r="F9" i="2" s="1"/>
  <c r="G9" i="3"/>
  <c r="F12" i="1"/>
  <c r="E11" i="1"/>
  <c r="D11" i="1"/>
  <c r="F8" i="2"/>
  <c r="E8" i="3"/>
  <c r="D10" i="1"/>
  <c r="D7" i="2"/>
  <c r="F7" i="2" s="1"/>
  <c r="E7" i="3"/>
  <c r="B13" i="3"/>
  <c r="L11" i="3" l="1"/>
  <c r="M14" i="1" s="1"/>
  <c r="M11" i="3"/>
  <c r="N14" i="1" s="1"/>
  <c r="K11" i="3"/>
  <c r="L14" i="1"/>
  <c r="I14" i="1"/>
  <c r="H14" i="1"/>
  <c r="I11" i="3"/>
  <c r="J14" i="1" s="1"/>
  <c r="J11" i="3"/>
  <c r="K14" i="1" s="1"/>
  <c r="I10" i="3"/>
  <c r="J13" i="1" s="1"/>
  <c r="M10" i="3"/>
  <c r="N13" i="1" s="1"/>
  <c r="L10" i="3"/>
  <c r="H10" i="3"/>
  <c r="I13" i="1" s="1"/>
  <c r="K10" i="3"/>
  <c r="L13" i="1" s="1"/>
  <c r="H13" i="1"/>
  <c r="M13" i="1"/>
  <c r="J10" i="3"/>
  <c r="K13" i="1" s="1"/>
  <c r="M9" i="3"/>
  <c r="L9" i="3"/>
  <c r="K9" i="3"/>
  <c r="L9" i="2"/>
  <c r="K9" i="2"/>
  <c r="J9" i="2"/>
  <c r="J9" i="3"/>
  <c r="H9" i="3"/>
  <c r="H9" i="2"/>
  <c r="I9" i="2"/>
  <c r="E12" i="1"/>
  <c r="G9" i="2"/>
  <c r="I9" i="3"/>
  <c r="H12" i="1"/>
  <c r="L8" i="2"/>
  <c r="K8" i="2"/>
  <c r="J8" i="2"/>
  <c r="G8" i="2"/>
  <c r="G8" i="3"/>
  <c r="I8" i="3" s="1"/>
  <c r="F11" i="1"/>
  <c r="L7" i="2"/>
  <c r="K7" i="2"/>
  <c r="J7" i="2"/>
  <c r="G7" i="2"/>
  <c r="I8" i="2"/>
  <c r="H8" i="2"/>
  <c r="E10" i="1"/>
  <c r="G7" i="3"/>
  <c r="F10" i="1"/>
  <c r="I7" i="2"/>
  <c r="H7" i="2"/>
  <c r="C6" i="2"/>
  <c r="M12" i="1" l="1"/>
  <c r="N12" i="1"/>
  <c r="J12" i="1"/>
  <c r="I12" i="1"/>
  <c r="K12" i="1"/>
  <c r="L12" i="1"/>
  <c r="K8" i="3"/>
  <c r="L11" i="1" s="1"/>
  <c r="L8" i="3"/>
  <c r="M11" i="1" s="1"/>
  <c r="M8" i="3"/>
  <c r="N11" i="1" s="1"/>
  <c r="H11" i="1"/>
  <c r="H8" i="3"/>
  <c r="I11" i="1" s="1"/>
  <c r="J11" i="1"/>
  <c r="J8" i="3"/>
  <c r="K11" i="1" s="1"/>
  <c r="J7" i="3"/>
  <c r="K10" i="1" s="1"/>
  <c r="K7" i="3"/>
  <c r="L10" i="1" s="1"/>
  <c r="H7" i="3"/>
  <c r="I10" i="1" s="1"/>
  <c r="M7" i="3"/>
  <c r="N10" i="1" s="1"/>
  <c r="L7" i="3"/>
  <c r="M10" i="1" s="1"/>
  <c r="H10" i="1"/>
  <c r="I7" i="3"/>
  <c r="J10" i="1" s="1"/>
  <c r="D6" i="3"/>
  <c r="E13" i="2" l="1"/>
  <c r="B13" i="2"/>
  <c r="G9" i="1" l="1"/>
  <c r="C9" i="1"/>
  <c r="B9" i="1"/>
  <c r="B16" i="1" s="1"/>
  <c r="E6" i="3"/>
  <c r="G6" i="3" s="1"/>
  <c r="K6" i="3" l="1"/>
  <c r="M6" i="3"/>
  <c r="L6" i="3"/>
  <c r="H6" i="3"/>
  <c r="D9" i="1"/>
  <c r="C13" i="2"/>
  <c r="F9" i="1"/>
  <c r="D6" i="2"/>
  <c r="J6" i="3"/>
  <c r="I6" i="3"/>
  <c r="D13" i="2" l="1"/>
  <c r="F6" i="2"/>
  <c r="E9" i="1"/>
  <c r="L6" i="2" l="1"/>
  <c r="L13" i="2" s="1"/>
  <c r="K6" i="2"/>
  <c r="K13" i="2" s="1"/>
  <c r="J6" i="2"/>
  <c r="J13" i="2" s="1"/>
  <c r="G6" i="2"/>
  <c r="G13" i="2" s="1"/>
  <c r="H9" i="1"/>
  <c r="F13" i="2"/>
  <c r="I6" i="2"/>
  <c r="H6" i="2"/>
  <c r="N9" i="1" l="1"/>
  <c r="K9" i="1"/>
  <c r="I13" i="2"/>
  <c r="L9" i="1"/>
  <c r="I9" i="1"/>
  <c r="J9" i="1"/>
  <c r="H13" i="2"/>
  <c r="M9" i="1"/>
  <c r="G16" i="1"/>
  <c r="C16" i="1"/>
  <c r="C13" i="3"/>
  <c r="F13" i="3"/>
  <c r="D13" i="3" l="1"/>
  <c r="F16" i="1"/>
  <c r="D16" i="1"/>
  <c r="E13" i="3" l="1"/>
  <c r="E16" i="1"/>
  <c r="M13" i="3" l="1"/>
  <c r="L13" i="3"/>
  <c r="H13" i="3"/>
  <c r="K13" i="3"/>
  <c r="J13" i="3"/>
  <c r="G13" i="3"/>
  <c r="I13" i="3"/>
  <c r="H16" i="1"/>
  <c r="M16" i="1" l="1"/>
  <c r="K16" i="1"/>
  <c r="I16" i="1"/>
  <c r="L16" i="1"/>
  <c r="J16" i="1"/>
  <c r="N16" i="1"/>
</calcChain>
</file>

<file path=xl/sharedStrings.xml><?xml version="1.0" encoding="utf-8"?>
<sst xmlns="http://schemas.openxmlformats.org/spreadsheetml/2006/main" count="59" uniqueCount="31">
  <si>
    <t>Table
Games</t>
  </si>
  <si>
    <t>Video
Lottery</t>
  </si>
  <si>
    <t>State
Share</t>
  </si>
  <si>
    <t>Excess
Lottery
Fund</t>
  </si>
  <si>
    <t>Interest</t>
  </si>
  <si>
    <t>White
Sulphur
Springs</t>
  </si>
  <si>
    <t>Municipalities
In Greenbrier
County</t>
  </si>
  <si>
    <t>All Other
Counties *</t>
  </si>
  <si>
    <t>All Other
Municipalities *</t>
  </si>
  <si>
    <t>WEST VIRGINIA LOTTERY</t>
  </si>
  <si>
    <t>Gross
Receipts</t>
  </si>
  <si>
    <t>*  To get an even distribution amount there will be cents carried forward to each month.</t>
  </si>
  <si>
    <t>Admin
Expense</t>
  </si>
  <si>
    <t>Gross
Revenue</t>
  </si>
  <si>
    <t>Net
Revenue</t>
  </si>
  <si>
    <t>Net 
Receipts</t>
  </si>
  <si>
    <t>Net
Receipts / 
Net Revenue</t>
  </si>
  <si>
    <t>GREENBRIER HISTORIC RESORT MONTHLY DISTRIBUTION SUMMARY</t>
  </si>
  <si>
    <t>Greenbrier
County</t>
  </si>
  <si>
    <t>All Other
Counties (54) *</t>
  </si>
  <si>
    <t>Municipalities
In Greenbrier
County (7) *</t>
  </si>
  <si>
    <t>All Other
Municipalities (223/221) *</t>
  </si>
  <si>
    <t>July 2024</t>
  </si>
  <si>
    <t>FY 2024</t>
  </si>
  <si>
    <t>FISCAL YEAR 2025</t>
  </si>
  <si>
    <t>August 2024</t>
  </si>
  <si>
    <t>September 2024</t>
  </si>
  <si>
    <t>October 2024</t>
  </si>
  <si>
    <t>November 2024</t>
  </si>
  <si>
    <t>FOR THE MONTH ENDING DECEMBER 31, 2024</t>
  </si>
  <si>
    <t>December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</si>
</sst>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3" fillId="0" borderId="0" xfId="0" applyFont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17" fontId="0" fillId="0" borderId="0" xfId="0" quotePrefix="1" applyNumberFormat="1"/>
    <xf numFmtId="44" fontId="0" fillId="0" borderId="0" xfId="1" applyFont="1"/>
    <xf numFmtId="44" fontId="0" fillId="0" borderId="2" xfId="1" applyFont="1" applyBorder="1"/>
    <xf numFmtId="0" fontId="5" fillId="0" borderId="0" xfId="0" applyFont="1"/>
    <xf numFmtId="0" fontId="0" fillId="0" borderId="0" xfId="0" quotePrefix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Table%20Games%20Acct\25FY%20Greenbrier%20Monthly%20Distribution%20Calculation.xlsx" TargetMode="External"/><Relationship Id="rId1" Type="http://schemas.openxmlformats.org/officeDocument/2006/relationships/externalLinkPath" Target="25FY%20Greenbrier%20Monthly%20Distribution%20Calcul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le Games"/>
      <sheetName val="Video Lottery"/>
      <sheetName val="Total"/>
      <sheetName val="Letterhead"/>
      <sheetName val="Doc Summary"/>
      <sheetName val="Distribution"/>
      <sheetName val="Greenbrier"/>
    </sheetNames>
    <sheetDataSet>
      <sheetData sheetId="0">
        <row r="5">
          <cell r="F5">
            <v>254876.25</v>
          </cell>
          <cell r="G5">
            <v>276365</v>
          </cell>
        </row>
      </sheetData>
      <sheetData sheetId="1">
        <row r="5">
          <cell r="F5">
            <v>210647.80000000005</v>
          </cell>
          <cell r="G5">
            <v>262908.17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8"/>
  <sheetViews>
    <sheetView tabSelected="1" workbookViewId="0">
      <selection activeCell="A15" sqref="A15"/>
    </sheetView>
  </sheetViews>
  <sheetFormatPr defaultRowHeight="15" customHeight="1" x14ac:dyDescent="0.2"/>
  <cols>
    <col min="1" max="1" width="16.140625" style="1" customWidth="1"/>
    <col min="2" max="3" width="14.28515625" style="1" bestFit="1" customWidth="1"/>
    <col min="4" max="4" width="14.85546875" style="1" customWidth="1"/>
    <col min="5" max="5" width="13" style="1" customWidth="1"/>
    <col min="6" max="7" width="11.7109375" style="1" customWidth="1"/>
    <col min="8" max="8" width="15.140625" style="1" customWidth="1"/>
    <col min="9" max="9" width="14.7109375" style="1" customWidth="1"/>
    <col min="10" max="10" width="13.28515625" style="1" customWidth="1"/>
    <col min="11" max="11" width="11.7109375" style="1" customWidth="1"/>
    <col min="12" max="12" width="13.7109375" style="1" bestFit="1" customWidth="1"/>
    <col min="13" max="13" width="11.7109375" style="1" customWidth="1"/>
    <col min="14" max="14" width="15.140625" style="1" bestFit="1" customWidth="1"/>
    <col min="15" max="16384" width="9.140625" style="1"/>
  </cols>
  <sheetData>
    <row r="1" spans="1:14" ht="18.75" x14ac:dyDescent="0.3">
      <c r="A1" s="9" t="s">
        <v>9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15.75" x14ac:dyDescent="0.25">
      <c r="A2" s="10" t="s">
        <v>17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.75" x14ac:dyDescent="0.25">
      <c r="A3" s="10" t="s">
        <v>29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.75" x14ac:dyDescent="0.25">
      <c r="A4" s="10" t="s">
        <v>24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7" spans="1:14" customFormat="1" ht="45" x14ac:dyDescent="0.25">
      <c r="B7" s="2" t="s">
        <v>0</v>
      </c>
      <c r="C7" s="2" t="s">
        <v>1</v>
      </c>
      <c r="D7" s="2" t="s">
        <v>2</v>
      </c>
      <c r="E7" s="2" t="s">
        <v>12</v>
      </c>
      <c r="F7" s="2" t="s">
        <v>3</v>
      </c>
      <c r="G7" s="3" t="s">
        <v>4</v>
      </c>
      <c r="H7" s="2" t="s">
        <v>16</v>
      </c>
      <c r="I7" s="2" t="s">
        <v>3</v>
      </c>
      <c r="J7" s="2" t="s">
        <v>18</v>
      </c>
      <c r="K7" s="2" t="s">
        <v>5</v>
      </c>
      <c r="L7" s="2" t="s">
        <v>20</v>
      </c>
      <c r="M7" s="2" t="s">
        <v>19</v>
      </c>
      <c r="N7" s="2" t="s">
        <v>21</v>
      </c>
    </row>
    <row r="8" spans="1:14" customFormat="1" ht="15" customHeight="1" x14ac:dyDescent="0.25"/>
    <row r="9" spans="1:14" customFormat="1" ht="15" customHeight="1" x14ac:dyDescent="0.25">
      <c r="A9" s="4" t="s">
        <v>22</v>
      </c>
      <c r="B9" s="5">
        <f>'Table Games'!B6</f>
        <v>534511.75</v>
      </c>
      <c r="C9" s="5">
        <f>'Video Lottery'!B6</f>
        <v>280610.77999999991</v>
      </c>
      <c r="D9" s="5">
        <f>'Table Games'!C6+'Video Lottery'!C6</f>
        <v>261373.40000000002</v>
      </c>
      <c r="E9" s="5">
        <f>'Table Games'!D6+'Video Lottery'!D6</f>
        <v>39206.009999999995</v>
      </c>
      <c r="F9" s="5">
        <f>'Video Lottery'!E6</f>
        <v>2525.5</v>
      </c>
      <c r="G9" s="5">
        <f>'Table Games'!E6+'Video Lottery'!F6</f>
        <v>5476.5</v>
      </c>
      <c r="H9" s="5">
        <f>'Table Games'!F6+'Video Lottery'!G6</f>
        <v>225118.39</v>
      </c>
      <c r="I9" s="5">
        <f>'Table Games'!G6+'Video Lottery'!H6</f>
        <v>193601.81</v>
      </c>
      <c r="J9" s="5">
        <f>'Table Games'!H6+'Video Lottery'!I6</f>
        <v>9004.74</v>
      </c>
      <c r="K9" s="5">
        <f>'Table Games'!I6+'Video Lottery'!J6</f>
        <v>5627.9599999999991</v>
      </c>
      <c r="L9" s="5">
        <f>'Table Games'!J6+'Video Lottery'!K6</f>
        <v>5627.9299999999994</v>
      </c>
      <c r="M9" s="5">
        <f>'Table Games'!K6+'Video Lottery'!L6</f>
        <v>5628.4199999999992</v>
      </c>
      <c r="N9" s="5">
        <f>'Table Games'!L6+'Video Lottery'!M6</f>
        <v>5628.869999999999</v>
      </c>
    </row>
    <row r="10" spans="1:14" customFormat="1" ht="15" customHeight="1" x14ac:dyDescent="0.25">
      <c r="A10" s="4" t="s">
        <v>25</v>
      </c>
      <c r="B10" s="5">
        <f>'Table Games'!B7</f>
        <v>393664.75</v>
      </c>
      <c r="C10" s="5">
        <f>'Video Lottery'!B7</f>
        <v>265285.86</v>
      </c>
      <c r="D10" s="5">
        <f>'Table Games'!C7+'Video Lottery'!C7</f>
        <v>213602.31</v>
      </c>
      <c r="E10" s="5">
        <f>'Table Games'!D7+'Video Lottery'!D7</f>
        <v>32040.34</v>
      </c>
      <c r="F10" s="5">
        <f>'Video Lottery'!E7</f>
        <v>2387.5700000000002</v>
      </c>
      <c r="G10" s="5">
        <f>'Table Games'!E7+'Video Lottery'!F7</f>
        <v>6086.0300000000007</v>
      </c>
      <c r="H10" s="5">
        <f>'Table Games'!F7+'Video Lottery'!G7</f>
        <v>185260.43</v>
      </c>
      <c r="I10" s="5">
        <f>'Table Games'!G7+'Video Lottery'!H7</f>
        <v>159323.96999999997</v>
      </c>
      <c r="J10" s="5">
        <f>'Table Games'!H7+'Video Lottery'!I7</f>
        <v>7410.42</v>
      </c>
      <c r="K10" s="5">
        <f>'Table Games'!I7+'Video Lottery'!J7</f>
        <v>4631.51</v>
      </c>
      <c r="L10" s="5">
        <f>'Table Games'!J7+'Video Lottery'!K7</f>
        <v>4631.55</v>
      </c>
      <c r="M10" s="5">
        <f>'Table Games'!K7+'Video Lottery'!L7</f>
        <v>4631.04</v>
      </c>
      <c r="N10" s="5">
        <f>'Table Games'!L7+'Video Lottery'!M7</f>
        <v>4632.16</v>
      </c>
    </row>
    <row r="11" spans="1:14" customFormat="1" ht="15" customHeight="1" x14ac:dyDescent="0.25">
      <c r="A11" s="4" t="s">
        <v>26</v>
      </c>
      <c r="B11" s="5">
        <f>'Table Games'!B8</f>
        <v>302878.5</v>
      </c>
      <c r="C11" s="5">
        <f>'Video Lottery'!B8</f>
        <v>216664.73</v>
      </c>
      <c r="D11" s="5">
        <f>'Table Games'!C8+'Video Lottery'!C8</f>
        <v>168862.83000000002</v>
      </c>
      <c r="E11" s="5">
        <f>'Table Games'!D8+'Video Lottery'!D8</f>
        <v>25329.42</v>
      </c>
      <c r="F11" s="5">
        <f>'Video Lottery'!E8</f>
        <v>1949.98</v>
      </c>
      <c r="G11" s="5">
        <f>'Table Games'!E8+'Video Lottery'!F8</f>
        <v>4312.4799999999996</v>
      </c>
      <c r="H11" s="5">
        <f>'Table Games'!F8+'Video Lottery'!G8</f>
        <v>145895.91</v>
      </c>
      <c r="I11" s="5">
        <f>'Table Games'!G8+'Video Lottery'!H8</f>
        <v>125470.47</v>
      </c>
      <c r="J11" s="5">
        <f>'Table Games'!H8+'Video Lottery'!I8</f>
        <v>5835.84</v>
      </c>
      <c r="K11" s="5">
        <f>'Table Games'!I8+'Video Lottery'!J8</f>
        <v>3647.4</v>
      </c>
      <c r="L11" s="5">
        <f>'Table Games'!J8+'Video Lottery'!K8</f>
        <v>3647.3500000000004</v>
      </c>
      <c r="M11" s="5">
        <f>'Table Games'!K8+'Video Lottery'!L8</f>
        <v>3647.7000000000003</v>
      </c>
      <c r="N11" s="5">
        <f>'Table Games'!L8+'Video Lottery'!M8</f>
        <v>3646.5</v>
      </c>
    </row>
    <row r="12" spans="1:14" customFormat="1" ht="15" customHeight="1" x14ac:dyDescent="0.25">
      <c r="A12" s="4" t="s">
        <v>27</v>
      </c>
      <c r="B12" s="5">
        <f>'Table Games'!B9</f>
        <v>254876.25</v>
      </c>
      <c r="C12" s="5">
        <f>'Video Lottery'!B9</f>
        <v>210647.80000000005</v>
      </c>
      <c r="D12" s="5">
        <f>'Table Games'!C9+'Video Lottery'!C9</f>
        <v>152296.07</v>
      </c>
      <c r="E12" s="5">
        <f>'Table Games'!D9+'Video Lottery'!D9</f>
        <v>22844.41</v>
      </c>
      <c r="F12" s="5">
        <f>'Video Lottery'!E9</f>
        <v>1895.83</v>
      </c>
      <c r="G12" s="5">
        <f>'Table Games'!E9+'Video Lottery'!F9</f>
        <v>4275.4799999999996</v>
      </c>
      <c r="H12" s="5">
        <f>'Table Games'!F9+'Video Lottery'!G9</f>
        <v>131831.31</v>
      </c>
      <c r="I12" s="5">
        <f>'Table Games'!G9+'Video Lottery'!H9</f>
        <v>113374.94</v>
      </c>
      <c r="J12" s="5">
        <f>'Table Games'!H9+'Video Lottery'!I9</f>
        <v>5273.25</v>
      </c>
      <c r="K12" s="5">
        <f>'Table Games'!I9+'Video Lottery'!J9</f>
        <v>3295.7799999999997</v>
      </c>
      <c r="L12" s="5">
        <f>'Table Games'!J9+'Video Lottery'!K9</f>
        <v>3295.81</v>
      </c>
      <c r="M12" s="5">
        <f>'Table Games'!K9+'Video Lottery'!L9</f>
        <v>3295.62</v>
      </c>
      <c r="N12" s="5">
        <f>'Table Games'!L9+'Video Lottery'!M9</f>
        <v>3295.11</v>
      </c>
    </row>
    <row r="13" spans="1:14" customFormat="1" ht="15" customHeight="1" x14ac:dyDescent="0.25">
      <c r="A13" s="4" t="s">
        <v>28</v>
      </c>
      <c r="B13" s="5">
        <f>'Table Games'!B10</f>
        <v>276365</v>
      </c>
      <c r="C13" s="5">
        <f>'Video Lottery'!B10</f>
        <v>262908.17</v>
      </c>
      <c r="D13" s="5">
        <f>'Table Games'!C10+'Video Lottery'!C10</f>
        <v>177556.40000000002</v>
      </c>
      <c r="E13" s="5">
        <f>'Table Games'!D10+'Video Lottery'!D10</f>
        <v>26633.47</v>
      </c>
      <c r="F13" s="5">
        <f>'Video Lottery'!E10</f>
        <v>2366.17</v>
      </c>
      <c r="G13" s="5">
        <f>'Table Games'!E10+'Video Lottery'!F10</f>
        <v>4422</v>
      </c>
      <c r="H13" s="5">
        <f>'Table Games'!F10+'Video Lottery'!G10</f>
        <v>152978.76</v>
      </c>
      <c r="I13" s="5">
        <f>'Table Games'!G10+'Video Lottery'!H10</f>
        <v>131561.73000000001</v>
      </c>
      <c r="J13" s="5">
        <f>'Table Games'!H10+'Video Lottery'!I10</f>
        <v>6119.15</v>
      </c>
      <c r="K13" s="5">
        <f>'Table Games'!I10+'Video Lottery'!J10</f>
        <v>3824.47</v>
      </c>
      <c r="L13" s="5">
        <f>'Table Games'!J10+'Video Lottery'!K10</f>
        <v>3824.45</v>
      </c>
      <c r="M13" s="5">
        <f>'Table Games'!K10+'Video Lottery'!L10</f>
        <v>3824.8199999999997</v>
      </c>
      <c r="N13" s="5">
        <f>'Table Games'!L10+'Video Lottery'!M10</f>
        <v>3825.5099999999998</v>
      </c>
    </row>
    <row r="14" spans="1:14" customFormat="1" ht="15" customHeight="1" x14ac:dyDescent="0.25">
      <c r="A14" s="4" t="s">
        <v>30</v>
      </c>
      <c r="B14" s="5">
        <f>'Table Games'!B11</f>
        <v>706539</v>
      </c>
      <c r="C14" s="5">
        <f>'Video Lottery'!B11</f>
        <v>405215.25</v>
      </c>
      <c r="D14" s="5">
        <f>'Table Games'!C11+'Video Lottery'!C11</f>
        <v>357839.21</v>
      </c>
      <c r="E14" s="5">
        <f>'Table Games'!D11+'Video Lottery'!D11</f>
        <v>53675.89</v>
      </c>
      <c r="F14" s="5">
        <f>'Video Lottery'!E11</f>
        <v>3646.94</v>
      </c>
      <c r="G14" s="5">
        <f>'Table Games'!E11+'Video Lottery'!F11</f>
        <v>4338.79</v>
      </c>
      <c r="H14" s="5">
        <f>'Table Games'!F11+'Video Lottery'!G11</f>
        <v>304855.17</v>
      </c>
      <c r="I14" s="5">
        <f>'Table Games'!G11+'Video Lottery'!H11</f>
        <v>262175.45</v>
      </c>
      <c r="J14" s="5">
        <f>'Table Games'!H11+'Video Lottery'!I11</f>
        <v>12194.2</v>
      </c>
      <c r="K14" s="5">
        <f>'Table Games'!I11+'Video Lottery'!J11</f>
        <v>7621.38</v>
      </c>
      <c r="L14" s="5">
        <f>'Table Games'!J11+'Video Lottery'!K11</f>
        <v>7621.39</v>
      </c>
      <c r="M14" s="5">
        <f>'Table Games'!K11+'Video Lottery'!L11</f>
        <v>7621.02</v>
      </c>
      <c r="N14" s="5">
        <f>'Table Games'!L11+'Video Lottery'!M11</f>
        <v>7622.29</v>
      </c>
    </row>
    <row r="15" spans="1:14" customFormat="1" ht="15" customHeight="1" x14ac:dyDescent="0.25"/>
    <row r="16" spans="1:14" customFormat="1" ht="15" customHeight="1" thickBot="1" x14ac:dyDescent="0.3">
      <c r="B16" s="6">
        <f t="shared" ref="B16:N16" si="0">SUM(B9:B15)</f>
        <v>2468835.25</v>
      </c>
      <c r="C16" s="6">
        <f t="shared" si="0"/>
        <v>1641332.5899999999</v>
      </c>
      <c r="D16" s="6">
        <f t="shared" si="0"/>
        <v>1331530.2200000002</v>
      </c>
      <c r="E16" s="6">
        <f t="shared" si="0"/>
        <v>199729.53999999998</v>
      </c>
      <c r="F16" s="6">
        <f t="shared" si="0"/>
        <v>14771.99</v>
      </c>
      <c r="G16" s="6">
        <f t="shared" si="0"/>
        <v>28911.279999999999</v>
      </c>
      <c r="H16" s="6">
        <f t="shared" si="0"/>
        <v>1145939.97</v>
      </c>
      <c r="I16" s="6">
        <f t="shared" si="0"/>
        <v>985508.36999999988</v>
      </c>
      <c r="J16" s="6">
        <f t="shared" si="0"/>
        <v>45837.600000000006</v>
      </c>
      <c r="K16" s="6">
        <f t="shared" si="0"/>
        <v>28648.5</v>
      </c>
      <c r="L16" s="6">
        <f t="shared" si="0"/>
        <v>28648.48</v>
      </c>
      <c r="M16" s="6">
        <f t="shared" si="0"/>
        <v>28648.62</v>
      </c>
      <c r="N16" s="6">
        <f t="shared" si="0"/>
        <v>28650.44</v>
      </c>
    </row>
    <row r="17" spans="1:1" ht="15" customHeight="1" thickTop="1" x14ac:dyDescent="0.2"/>
    <row r="18" spans="1:1" ht="15" customHeight="1" x14ac:dyDescent="0.2">
      <c r="A18" s="7" t="s">
        <v>11</v>
      </c>
    </row>
  </sheetData>
  <mergeCells count="4">
    <mergeCell ref="A1:N1"/>
    <mergeCell ref="A2:N2"/>
    <mergeCell ref="A3:N3"/>
    <mergeCell ref="A4:N4"/>
  </mergeCells>
  <pageMargins left="0.25" right="0.25" top="0.5" bottom="0.25" header="0" footer="0"/>
  <pageSetup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5"/>
  <sheetViews>
    <sheetView workbookViewId="0">
      <pane ySplit="3" topLeftCell="A4" activePane="bottomLeft" state="frozen"/>
      <selection pane="bottomLeft" activeCell="A12" sqref="A12"/>
    </sheetView>
  </sheetViews>
  <sheetFormatPr defaultRowHeight="15" customHeight="1" x14ac:dyDescent="0.25"/>
  <cols>
    <col min="1" max="1" width="15.7109375" customWidth="1"/>
    <col min="2" max="3" width="15" bestFit="1" customWidth="1"/>
    <col min="4" max="4" width="13.28515625" bestFit="1" customWidth="1"/>
    <col min="5" max="5" width="13.7109375" customWidth="1"/>
    <col min="6" max="6" width="11.7109375" customWidth="1"/>
    <col min="7" max="7" width="15" bestFit="1" customWidth="1"/>
    <col min="8" max="8" width="14.28515625" bestFit="1" customWidth="1"/>
    <col min="9" max="10" width="11.7109375" customWidth="1"/>
    <col min="11" max="11" width="13.7109375" bestFit="1" customWidth="1"/>
    <col min="12" max="12" width="11.7109375" customWidth="1"/>
    <col min="13" max="13" width="15.140625" bestFit="1" customWidth="1"/>
  </cols>
  <sheetData>
    <row r="1" spans="1:13" ht="45" x14ac:dyDescent="0.25">
      <c r="B1" s="2" t="s">
        <v>13</v>
      </c>
      <c r="C1" s="2" t="s">
        <v>2</v>
      </c>
      <c r="D1" s="2" t="s">
        <v>12</v>
      </c>
      <c r="E1" s="2" t="s">
        <v>3</v>
      </c>
      <c r="F1" s="3" t="s">
        <v>4</v>
      </c>
      <c r="G1" s="2" t="s">
        <v>14</v>
      </c>
      <c r="H1" s="2" t="s">
        <v>3</v>
      </c>
      <c r="I1" s="2" t="s">
        <v>18</v>
      </c>
      <c r="J1" s="2" t="s">
        <v>5</v>
      </c>
      <c r="K1" s="2" t="s">
        <v>6</v>
      </c>
      <c r="L1" s="2" t="s">
        <v>7</v>
      </c>
      <c r="M1" s="2" t="s">
        <v>8</v>
      </c>
    </row>
    <row r="2" spans="1:13" ht="15" customHeight="1" x14ac:dyDescent="0.25">
      <c r="A2" s="4" t="s">
        <v>23</v>
      </c>
      <c r="B2" s="5">
        <v>4017014.5500000003</v>
      </c>
      <c r="C2" s="5">
        <v>1446125.16</v>
      </c>
      <c r="D2" s="5">
        <v>216918.77</v>
      </c>
      <c r="E2" s="5">
        <v>36153.11</v>
      </c>
      <c r="F2" s="5">
        <v>35854.909999999996</v>
      </c>
      <c r="G2" s="5">
        <v>1228908.1900000002</v>
      </c>
      <c r="H2" s="5">
        <v>1056861.01</v>
      </c>
      <c r="I2" s="5">
        <v>49156.340000000004</v>
      </c>
      <c r="J2" s="5">
        <v>30722.71</v>
      </c>
      <c r="K2" s="5">
        <v>30722.7</v>
      </c>
      <c r="L2" s="5">
        <v>30722.720000000001</v>
      </c>
      <c r="M2" s="5">
        <v>30722.26</v>
      </c>
    </row>
    <row r="4" spans="1:13" ht="15" customHeight="1" x14ac:dyDescent="0.25">
      <c r="A4" s="11" t="s">
        <v>24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</row>
    <row r="6" spans="1:13" ht="15" customHeight="1" x14ac:dyDescent="0.25">
      <c r="A6" s="4" t="s">
        <v>22</v>
      </c>
      <c r="B6" s="5">
        <v>280610.77999999991</v>
      </c>
      <c r="C6" s="5">
        <f>ROUND(B6*0.36,2)-0.01</f>
        <v>101019.87000000001</v>
      </c>
      <c r="D6" s="5">
        <f t="shared" ref="D6" si="0">ROUND(C6*0.15,2)</f>
        <v>15152.98</v>
      </c>
      <c r="E6" s="5">
        <f t="shared" ref="E6:E11" si="1">ROUND($C6*0.025,2)</f>
        <v>2525.5</v>
      </c>
      <c r="F6" s="5">
        <v>2738.25</v>
      </c>
      <c r="G6" s="5">
        <f t="shared" ref="G6" si="2">C6-D6-E6+F6</f>
        <v>86079.640000000014</v>
      </c>
      <c r="H6" s="5">
        <f>ROUND($G6*0.86,2)</f>
        <v>74028.490000000005</v>
      </c>
      <c r="I6" s="5">
        <f t="shared" ref="I6:I11" si="3">ROUND($G6*0.04,2)</f>
        <v>3443.19</v>
      </c>
      <c r="J6" s="5">
        <f t="shared" ref="J6:J11" si="4">ROUND($G6*0.025,2)</f>
        <v>2151.9899999999998</v>
      </c>
      <c r="K6" s="5">
        <f>ROUND($G6*0.025,2)-0.02</f>
        <v>2151.9699999999998</v>
      </c>
      <c r="L6" s="5">
        <f>ROUND($G6*0.025,2)+0.24</f>
        <v>2152.2299999999996</v>
      </c>
      <c r="M6" s="5">
        <f>ROUND($G6*0.025,2)+0.46</f>
        <v>2152.4499999999998</v>
      </c>
    </row>
    <row r="7" spans="1:13" ht="15" customHeight="1" x14ac:dyDescent="0.25">
      <c r="A7" s="4" t="s">
        <v>25</v>
      </c>
      <c r="B7" s="5">
        <v>265285.86</v>
      </c>
      <c r="C7" s="5">
        <f>ROUND(B7*0.36,2)-0.03</f>
        <v>95502.88</v>
      </c>
      <c r="D7" s="5">
        <f t="shared" ref="D7" si="5">ROUND(C7*0.15,2)</f>
        <v>14325.43</v>
      </c>
      <c r="E7" s="5">
        <f t="shared" si="1"/>
        <v>2387.5700000000002</v>
      </c>
      <c r="F7" s="5">
        <v>3043.02</v>
      </c>
      <c r="G7" s="5">
        <f t="shared" ref="G7" si="6">C7-D7-E7+F7</f>
        <v>81832.900000000009</v>
      </c>
      <c r="H7" s="5">
        <f>ROUND($G7*0.86,2)+0.01</f>
        <v>70376.299999999988</v>
      </c>
      <c r="I7" s="5">
        <f t="shared" si="3"/>
        <v>3273.32</v>
      </c>
      <c r="J7" s="5">
        <f t="shared" si="4"/>
        <v>2045.82</v>
      </c>
      <c r="K7" s="5">
        <f>ROUND($G7*0.025,2)+0.02</f>
        <v>2045.84</v>
      </c>
      <c r="L7" s="5">
        <f>ROUND($G7*0.025,2)-0.24</f>
        <v>2045.58</v>
      </c>
      <c r="M7" s="5">
        <f>ROUND($G7*0.025,2)+0.33</f>
        <v>2046.1499999999999</v>
      </c>
    </row>
    <row r="8" spans="1:13" ht="15" customHeight="1" x14ac:dyDescent="0.25">
      <c r="A8" s="4" t="str">
        <f>Summary!A11</f>
        <v>September 2024</v>
      </c>
      <c r="B8" s="5">
        <v>216664.73</v>
      </c>
      <c r="C8" s="5">
        <f>ROUND(B8*0.36,2)-0.02</f>
        <v>77999.28</v>
      </c>
      <c r="D8" s="5">
        <f t="shared" ref="D8" si="7">ROUND(C8*0.15,2)</f>
        <v>11699.89</v>
      </c>
      <c r="E8" s="5">
        <f t="shared" si="1"/>
        <v>1949.98</v>
      </c>
      <c r="F8" s="5">
        <v>2156.2399999999998</v>
      </c>
      <c r="G8" s="5">
        <f t="shared" ref="G8" si="8">C8-D8-E8+F8</f>
        <v>66505.649999999994</v>
      </c>
      <c r="H8" s="5">
        <f>ROUND($G8*0.86,2)</f>
        <v>57194.86</v>
      </c>
      <c r="I8" s="5">
        <f t="shared" si="3"/>
        <v>2660.23</v>
      </c>
      <c r="J8" s="5">
        <f t="shared" si="4"/>
        <v>1662.64</v>
      </c>
      <c r="K8" s="5">
        <f>ROUND($G8*0.025,2)-0.02</f>
        <v>1662.6200000000001</v>
      </c>
      <c r="L8" s="5">
        <f>ROUND($G8*0.025,2)+0.15</f>
        <v>1662.7900000000002</v>
      </c>
      <c r="M8" s="5">
        <f>ROUND($G8*0.025,2)-0.45</f>
        <v>1662.19</v>
      </c>
    </row>
    <row r="9" spans="1:13" ht="15" customHeight="1" x14ac:dyDescent="0.25">
      <c r="A9" s="4" t="str">
        <f>Summary!A12</f>
        <v>October 2024</v>
      </c>
      <c r="B9" s="5">
        <f>'[1]Video Lottery'!$F$5</f>
        <v>210647.80000000005</v>
      </c>
      <c r="C9" s="5">
        <f>ROUND(B9*0.36,2)-0.02</f>
        <v>75833.19</v>
      </c>
      <c r="D9" s="5">
        <f t="shared" ref="D9" si="9">ROUND(C9*0.15,2)</f>
        <v>11374.98</v>
      </c>
      <c r="E9" s="5">
        <f t="shared" si="1"/>
        <v>1895.83</v>
      </c>
      <c r="F9" s="5">
        <v>2137.7399999999998</v>
      </c>
      <c r="G9" s="5">
        <f t="shared" ref="G9" si="10">C9-D9-E9+F9</f>
        <v>64700.12</v>
      </c>
      <c r="H9" s="5">
        <f>ROUND($G9*0.86,2)+0.02</f>
        <v>55642.119999999995</v>
      </c>
      <c r="I9" s="5">
        <f t="shared" si="3"/>
        <v>2588</v>
      </c>
      <c r="J9" s="5">
        <f t="shared" si="4"/>
        <v>1617.5</v>
      </c>
      <c r="K9" s="5">
        <f>ROUND($G9*0.025,2)+0.02</f>
        <v>1617.52</v>
      </c>
      <c r="L9" s="5">
        <f>ROUND($G9*0.025,2)-0.08</f>
        <v>1617.42</v>
      </c>
      <c r="M9" s="5">
        <f>ROUND($G9*0.025,2)-0.34</f>
        <v>1617.16</v>
      </c>
    </row>
    <row r="10" spans="1:13" ht="15" customHeight="1" x14ac:dyDescent="0.25">
      <c r="A10" s="4" t="str">
        <f>Summary!A13</f>
        <v>November 2024</v>
      </c>
      <c r="B10" s="5">
        <f>'[1]Video Lottery'!$G$5</f>
        <v>262908.17</v>
      </c>
      <c r="C10" s="5">
        <f>ROUND(B10*0.36,2)-0.04</f>
        <v>94646.900000000009</v>
      </c>
      <c r="D10" s="5">
        <f t="shared" ref="D10" si="11">ROUND(C10*0.15,2)</f>
        <v>14197.04</v>
      </c>
      <c r="E10" s="5">
        <f t="shared" si="1"/>
        <v>2366.17</v>
      </c>
      <c r="F10" s="5">
        <v>2211</v>
      </c>
      <c r="G10" s="5">
        <f t="shared" ref="G10" si="12">C10-D10-E10+F10</f>
        <v>80294.690000000017</v>
      </c>
      <c r="H10" s="5">
        <f>ROUND($G10*0.86,2)-0.01</f>
        <v>69053.42</v>
      </c>
      <c r="I10" s="5">
        <f t="shared" si="3"/>
        <v>3211.79</v>
      </c>
      <c r="J10" s="5">
        <f t="shared" si="4"/>
        <v>2007.37</v>
      </c>
      <c r="K10" s="5">
        <f>ROUND($G10*0.025,2)-0.02</f>
        <v>2007.35</v>
      </c>
      <c r="L10" s="5">
        <f>ROUND($G10*0.025,2)+0.18</f>
        <v>2007.55</v>
      </c>
      <c r="M10" s="5">
        <f>ROUND($G10*0.025,2)+0.52</f>
        <v>2007.8899999999999</v>
      </c>
    </row>
    <row r="11" spans="1:13" ht="15" customHeight="1" x14ac:dyDescent="0.25">
      <c r="A11" s="4" t="s">
        <v>30</v>
      </c>
      <c r="B11" s="5">
        <v>405215.25</v>
      </c>
      <c r="C11" s="5">
        <f>ROUND(B11*0.36,2)+0.01</f>
        <v>145877.5</v>
      </c>
      <c r="D11" s="5">
        <f t="shared" ref="D11" si="13">ROUND(C11*0.15,2)</f>
        <v>21881.63</v>
      </c>
      <c r="E11" s="5">
        <f t="shared" si="1"/>
        <v>3646.94</v>
      </c>
      <c r="F11" s="5">
        <v>2169.39</v>
      </c>
      <c r="G11" s="5">
        <f t="shared" ref="G11" si="14">C11-D11-E11+F11</f>
        <v>122518.31999999999</v>
      </c>
      <c r="H11" s="5">
        <f>ROUND($G11*0.86,2)-0.01</f>
        <v>105365.75</v>
      </c>
      <c r="I11" s="5">
        <f t="shared" si="3"/>
        <v>4900.7299999999996</v>
      </c>
      <c r="J11" s="5">
        <f t="shared" si="4"/>
        <v>3062.96</v>
      </c>
      <c r="K11" s="5">
        <f>ROUND($G11*0.025,2)+0.01</f>
        <v>3062.9700000000003</v>
      </c>
      <c r="L11" s="5">
        <f>ROUND($G11*0.025,2)-0.18</f>
        <v>3062.78</v>
      </c>
      <c r="M11" s="5">
        <f>ROUND($G11*0.025,2)+0.45</f>
        <v>3063.41</v>
      </c>
    </row>
    <row r="13" spans="1:13" ht="15" customHeight="1" thickBot="1" x14ac:dyDescent="0.3">
      <c r="B13" s="6">
        <f t="shared" ref="B13:M13" si="15">SUM(B6:B12)</f>
        <v>1641332.5899999999</v>
      </c>
      <c r="C13" s="6">
        <f t="shared" si="15"/>
        <v>590879.62000000011</v>
      </c>
      <c r="D13" s="6">
        <f t="shared" si="15"/>
        <v>88631.950000000012</v>
      </c>
      <c r="E13" s="6">
        <f t="shared" si="15"/>
        <v>14771.99</v>
      </c>
      <c r="F13" s="6">
        <f t="shared" si="15"/>
        <v>14455.64</v>
      </c>
      <c r="G13" s="6">
        <f t="shared" si="15"/>
        <v>501931.32000000007</v>
      </c>
      <c r="H13" s="6">
        <f t="shared" si="15"/>
        <v>431660.93999999994</v>
      </c>
      <c r="I13" s="6">
        <f t="shared" si="15"/>
        <v>20077.259999999998</v>
      </c>
      <c r="J13" s="6">
        <f t="shared" si="15"/>
        <v>12548.279999999999</v>
      </c>
      <c r="K13" s="6">
        <f t="shared" si="15"/>
        <v>12548.27</v>
      </c>
      <c r="L13" s="6">
        <f t="shared" si="15"/>
        <v>12548.35</v>
      </c>
      <c r="M13" s="6">
        <f t="shared" si="15"/>
        <v>12549.249999999998</v>
      </c>
    </row>
    <row r="14" spans="1:13" ht="15" customHeight="1" thickTop="1" x14ac:dyDescent="0.25"/>
    <row r="15" spans="1:13" ht="15" customHeight="1" x14ac:dyDescent="0.25">
      <c r="A15" s="7" t="s">
        <v>11</v>
      </c>
    </row>
  </sheetData>
  <mergeCells count="1">
    <mergeCell ref="A4:M4"/>
  </mergeCells>
  <pageMargins left="0.25" right="0.25" top="0.75" bottom="0.25" header="0.25" footer="0"/>
  <pageSetup scale="75" orientation="landscape" r:id="rId1"/>
  <headerFooter>
    <oddHeader>&amp;C&amp;"Arial,Italic"&amp;10GREENBRIER HISTORIC RESORT VIDEO LOTTERY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5"/>
  <sheetViews>
    <sheetView workbookViewId="0">
      <pane ySplit="3" topLeftCell="A4" activePane="bottomLeft" state="frozen"/>
      <selection pane="bottomLeft" activeCell="A12" sqref="A12"/>
    </sheetView>
  </sheetViews>
  <sheetFormatPr defaultRowHeight="15" customHeight="1" x14ac:dyDescent="0.25"/>
  <cols>
    <col min="1" max="1" width="15.7109375" customWidth="1"/>
    <col min="2" max="3" width="15" bestFit="1" customWidth="1"/>
    <col min="4" max="4" width="13.28515625" bestFit="1" customWidth="1"/>
    <col min="5" max="5" width="11.7109375" customWidth="1"/>
    <col min="6" max="6" width="14.85546875" customWidth="1"/>
    <col min="7" max="7" width="14.28515625" bestFit="1" customWidth="1"/>
    <col min="8" max="9" width="11.7109375" customWidth="1"/>
    <col min="10" max="10" width="13.7109375" bestFit="1" customWidth="1"/>
    <col min="11" max="11" width="11.7109375" customWidth="1"/>
    <col min="12" max="12" width="15.140625" bestFit="1" customWidth="1"/>
  </cols>
  <sheetData>
    <row r="1" spans="1:12" ht="45" x14ac:dyDescent="0.25">
      <c r="B1" s="2" t="s">
        <v>10</v>
      </c>
      <c r="C1" s="2" t="s">
        <v>2</v>
      </c>
      <c r="D1" s="2" t="s">
        <v>12</v>
      </c>
      <c r="E1" s="3" t="s">
        <v>4</v>
      </c>
      <c r="F1" s="2" t="s">
        <v>15</v>
      </c>
      <c r="G1" s="2" t="s">
        <v>3</v>
      </c>
      <c r="H1" s="2" t="s">
        <v>18</v>
      </c>
      <c r="I1" s="2" t="s">
        <v>5</v>
      </c>
      <c r="J1" s="2" t="s">
        <v>6</v>
      </c>
      <c r="K1" s="2" t="s">
        <v>7</v>
      </c>
      <c r="L1" s="2" t="s">
        <v>8</v>
      </c>
    </row>
    <row r="2" spans="1:12" ht="15" customHeight="1" x14ac:dyDescent="0.25">
      <c r="A2" s="4" t="s">
        <v>23</v>
      </c>
      <c r="B2" s="5">
        <v>6056562.2469999995</v>
      </c>
      <c r="C2" s="5">
        <v>1816968.68</v>
      </c>
      <c r="D2" s="5">
        <v>272545.31</v>
      </c>
      <c r="E2" s="5">
        <v>35854.909999999996</v>
      </c>
      <c r="F2" s="5">
        <v>1580278.2799999998</v>
      </c>
      <c r="G2" s="5">
        <v>1359039.26</v>
      </c>
      <c r="H2" s="5">
        <v>63211.139999999992</v>
      </c>
      <c r="I2" s="5">
        <v>39506.969999999994</v>
      </c>
      <c r="J2" s="5">
        <v>39506.97</v>
      </c>
      <c r="K2" s="5">
        <v>39506.979999999996</v>
      </c>
      <c r="L2" s="5">
        <v>39506.530000000006</v>
      </c>
    </row>
    <row r="4" spans="1:12" ht="15" customHeight="1" x14ac:dyDescent="0.25">
      <c r="A4" s="11" t="s">
        <v>24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6" spans="1:12" x14ac:dyDescent="0.25">
      <c r="A6" s="8" t="s">
        <v>22</v>
      </c>
      <c r="B6" s="5">
        <v>534511.75</v>
      </c>
      <c r="C6" s="5">
        <f>ROUND($B6*0.3,2)</f>
        <v>160353.53</v>
      </c>
      <c r="D6" s="5">
        <f t="shared" ref="D6:D11" si="0">ROUND($C6*0.15,2)</f>
        <v>24053.03</v>
      </c>
      <c r="E6" s="5">
        <v>2738.25</v>
      </c>
      <c r="F6" s="5">
        <f t="shared" ref="F6" si="1">C6-D6+E6</f>
        <v>139038.75</v>
      </c>
      <c r="G6" s="5">
        <f>ROUND($F6*0.86,2)-0.01</f>
        <v>119573.32</v>
      </c>
      <c r="H6" s="5">
        <f t="shared" ref="H6:H11" si="2">ROUND($F6*0.04,2)</f>
        <v>5561.55</v>
      </c>
      <c r="I6" s="5">
        <f t="shared" ref="I6:I11" si="3">ROUND($F6*0.025,2)</f>
        <v>3475.97</v>
      </c>
      <c r="J6" s="5">
        <f>ROUND($F6*0.025,2)-0.01</f>
        <v>3475.9599999999996</v>
      </c>
      <c r="K6" s="5">
        <f>ROUND($F6*0.025,2)+0.22</f>
        <v>3476.1899999999996</v>
      </c>
      <c r="L6" s="5">
        <f>ROUND($F6*0.025,2)+0.45</f>
        <v>3476.4199999999996</v>
      </c>
    </row>
    <row r="7" spans="1:12" ht="15" customHeight="1" x14ac:dyDescent="0.25">
      <c r="A7" s="8" t="s">
        <v>25</v>
      </c>
      <c r="B7" s="5">
        <v>393664.75</v>
      </c>
      <c r="C7" s="5">
        <f>ROUND($B7*0.3,2)</f>
        <v>118099.43</v>
      </c>
      <c r="D7" s="5">
        <f t="shared" si="0"/>
        <v>17714.91</v>
      </c>
      <c r="E7" s="5">
        <v>3043.01</v>
      </c>
      <c r="F7" s="5">
        <f t="shared" ref="F7" si="4">C7-D7+E7</f>
        <v>103427.52999999998</v>
      </c>
      <c r="G7" s="5">
        <f>ROUND($F7*0.86,2)-0.01</f>
        <v>88947.67</v>
      </c>
      <c r="H7" s="5">
        <f t="shared" si="2"/>
        <v>4137.1000000000004</v>
      </c>
      <c r="I7" s="5">
        <f t="shared" si="3"/>
        <v>2585.69</v>
      </c>
      <c r="J7" s="5">
        <f>ROUND($F7*0.025,2)+0.02</f>
        <v>2585.71</v>
      </c>
      <c r="K7" s="5">
        <f>ROUND($F7*0.025,2)-0.23</f>
        <v>2585.46</v>
      </c>
      <c r="L7" s="5">
        <f>ROUND($F7*0.025,2)+0.32</f>
        <v>2586.0100000000002</v>
      </c>
    </row>
    <row r="8" spans="1:12" ht="15" customHeight="1" x14ac:dyDescent="0.25">
      <c r="A8" s="4" t="str">
        <f>Summary!A11</f>
        <v>September 2024</v>
      </c>
      <c r="B8" s="5">
        <v>302878.5</v>
      </c>
      <c r="C8" s="5">
        <f>ROUND($B8*0.3,2)</f>
        <v>90863.55</v>
      </c>
      <c r="D8" s="5">
        <f t="shared" si="0"/>
        <v>13629.53</v>
      </c>
      <c r="E8" s="5">
        <v>2156.2399999999998</v>
      </c>
      <c r="F8" s="5">
        <f t="shared" ref="F8" si="5">C8-D8+E8</f>
        <v>79390.260000000009</v>
      </c>
      <c r="G8" s="5">
        <f>ROUND($F8*0.86,2)-0.01</f>
        <v>68275.61</v>
      </c>
      <c r="H8" s="5">
        <f t="shared" si="2"/>
        <v>3175.61</v>
      </c>
      <c r="I8" s="5">
        <f t="shared" si="3"/>
        <v>1984.76</v>
      </c>
      <c r="J8" s="5">
        <f>ROUND($F8*0.025,2)-0.03</f>
        <v>1984.73</v>
      </c>
      <c r="K8" s="5">
        <f>ROUND($F8*0.025,2)+0.15</f>
        <v>1984.91</v>
      </c>
      <c r="L8" s="5">
        <f>ROUND($F8*0.025,2)-0.45</f>
        <v>1984.31</v>
      </c>
    </row>
    <row r="9" spans="1:12" ht="15" customHeight="1" x14ac:dyDescent="0.25">
      <c r="A9" s="4" t="str">
        <f>Summary!A12</f>
        <v>October 2024</v>
      </c>
      <c r="B9" s="5">
        <f>'[1]Table Games'!$F$5</f>
        <v>254876.25</v>
      </c>
      <c r="C9" s="5">
        <f>ROUND($B9*0.3,2)</f>
        <v>76462.880000000005</v>
      </c>
      <c r="D9" s="5">
        <f t="shared" si="0"/>
        <v>11469.43</v>
      </c>
      <c r="E9" s="5">
        <v>2137.7399999999998</v>
      </c>
      <c r="F9" s="5">
        <f t="shared" ref="F9" si="6">C9-D9+E9</f>
        <v>67131.19</v>
      </c>
      <c r="G9" s="5">
        <f>ROUND($F9*0.86,2)</f>
        <v>57732.82</v>
      </c>
      <c r="H9" s="5">
        <f t="shared" si="2"/>
        <v>2685.25</v>
      </c>
      <c r="I9" s="5">
        <f t="shared" si="3"/>
        <v>1678.28</v>
      </c>
      <c r="J9" s="5">
        <f>ROUND($F9*0.025,2)+0.01</f>
        <v>1678.29</v>
      </c>
      <c r="K9" s="5">
        <f>ROUND($F9*0.025,2)-0.08</f>
        <v>1678.2</v>
      </c>
      <c r="L9" s="5">
        <f>ROUND($F9*0.025,2)-0.33</f>
        <v>1677.95</v>
      </c>
    </row>
    <row r="10" spans="1:12" ht="15" customHeight="1" x14ac:dyDescent="0.25">
      <c r="A10" s="4" t="str">
        <f>Summary!A13</f>
        <v>November 2024</v>
      </c>
      <c r="B10" s="5">
        <f>'[1]Table Games'!$G$5</f>
        <v>276365</v>
      </c>
      <c r="C10" s="5">
        <f>ROUND($B10*0.3,2)</f>
        <v>82909.5</v>
      </c>
      <c r="D10" s="5">
        <f t="shared" si="0"/>
        <v>12436.43</v>
      </c>
      <c r="E10" s="5">
        <v>2211</v>
      </c>
      <c r="F10" s="5">
        <f t="shared" ref="F10" si="7">C10-D10+E10</f>
        <v>72684.070000000007</v>
      </c>
      <c r="G10" s="5">
        <f>ROUND($F10*0.86,2)+0.01</f>
        <v>62508.310000000005</v>
      </c>
      <c r="H10" s="5">
        <f t="shared" si="2"/>
        <v>2907.36</v>
      </c>
      <c r="I10" s="5">
        <f t="shared" si="3"/>
        <v>1817.1</v>
      </c>
      <c r="J10" s="5">
        <f>ROUND($F10*0.025,2)</f>
        <v>1817.1</v>
      </c>
      <c r="K10" s="5">
        <f>ROUND($F10*0.025,2)+0.17</f>
        <v>1817.27</v>
      </c>
      <c r="L10" s="5">
        <f>ROUND($F10*0.025,2)+0.52</f>
        <v>1817.62</v>
      </c>
    </row>
    <row r="11" spans="1:12" ht="15" customHeight="1" x14ac:dyDescent="0.25">
      <c r="A11" s="4" t="s">
        <v>30</v>
      </c>
      <c r="B11" s="5">
        <v>706539</v>
      </c>
      <c r="C11" s="5">
        <f>ROUND($B11*0.3,2)+0.01</f>
        <v>211961.71000000002</v>
      </c>
      <c r="D11" s="5">
        <f t="shared" si="0"/>
        <v>31794.26</v>
      </c>
      <c r="E11" s="5">
        <v>2169.4</v>
      </c>
      <c r="F11" s="5">
        <f t="shared" ref="F11" si="8">C11-D11+E11</f>
        <v>182336.85</v>
      </c>
      <c r="G11" s="5">
        <f>ROUND($F11*0.86,2)+0.01</f>
        <v>156809.70000000001</v>
      </c>
      <c r="H11" s="5">
        <f t="shared" si="2"/>
        <v>7293.47</v>
      </c>
      <c r="I11" s="5">
        <f t="shared" si="3"/>
        <v>4558.42</v>
      </c>
      <c r="J11" s="5">
        <f>ROUND($F11*0.025,2)</f>
        <v>4558.42</v>
      </c>
      <c r="K11" s="5">
        <f>ROUND($F11*0.025,2)-0.18</f>
        <v>4558.24</v>
      </c>
      <c r="L11" s="5">
        <f>ROUND($F11*0.025,2)+0.46</f>
        <v>4558.88</v>
      </c>
    </row>
    <row r="12" spans="1:12" ht="15" customHeight="1" x14ac:dyDescent="0.25">
      <c r="A12" s="8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 ht="15" customHeight="1" thickBot="1" x14ac:dyDescent="0.3">
      <c r="B13" s="6">
        <f t="shared" ref="B13:L13" si="9">SUM(B6:B12)</f>
        <v>2468835.25</v>
      </c>
      <c r="C13" s="6">
        <f t="shared" si="9"/>
        <v>740650.59999999986</v>
      </c>
      <c r="D13" s="6">
        <f t="shared" si="9"/>
        <v>111097.58999999998</v>
      </c>
      <c r="E13" s="6">
        <f t="shared" si="9"/>
        <v>14455.64</v>
      </c>
      <c r="F13" s="6">
        <f t="shared" si="9"/>
        <v>644008.65</v>
      </c>
      <c r="G13" s="6">
        <f t="shared" si="9"/>
        <v>553847.42999999993</v>
      </c>
      <c r="H13" s="6">
        <f t="shared" si="9"/>
        <v>25760.340000000004</v>
      </c>
      <c r="I13" s="6">
        <f t="shared" si="9"/>
        <v>16100.220000000001</v>
      </c>
      <c r="J13" s="6">
        <f t="shared" si="9"/>
        <v>16100.21</v>
      </c>
      <c r="K13" s="6">
        <f t="shared" si="9"/>
        <v>16100.27</v>
      </c>
      <c r="L13" s="6">
        <f t="shared" si="9"/>
        <v>16101.190000000002</v>
      </c>
    </row>
    <row r="14" spans="1:12" ht="15" customHeight="1" thickTop="1" x14ac:dyDescent="0.25"/>
    <row r="15" spans="1:12" ht="15" customHeight="1" x14ac:dyDescent="0.25">
      <c r="A15" s="7" t="s">
        <v>11</v>
      </c>
    </row>
  </sheetData>
  <mergeCells count="1">
    <mergeCell ref="A4:L4"/>
  </mergeCells>
  <pageMargins left="0.25" right="0.25" top="0.75" bottom="0.25" header="0.25" footer="0"/>
  <pageSetup scale="81" orientation="landscape" r:id="rId1"/>
  <headerFooter>
    <oddHeader>&amp;C&amp;"Arial,Italic"&amp;10GREENBRIER HISTORIC RESORT TABLE GAMES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Summary</vt:lpstr>
      <vt:lpstr>Video Lottery</vt:lpstr>
      <vt:lpstr>Table Games</vt:lpstr>
      <vt:lpstr>Summary!Print_Area</vt:lpstr>
      <vt:lpstr>'Table Games'!Print_Area</vt:lpstr>
      <vt:lpstr>'Video Lottery'!Print_Area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Mara Dawson</cp:lastModifiedBy>
  <cp:lastPrinted>2024-05-13T19:05:34Z</cp:lastPrinted>
  <dcterms:created xsi:type="dcterms:W3CDTF">2017-06-09T17:49:43Z</dcterms:created>
  <dcterms:modified xsi:type="dcterms:W3CDTF">2025-01-09T20:01:40Z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2024-09-06T15:17:02Z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083676fa-b439-4d81-ac98-3632d5fa5581</vt:lpwstr>
  </property>
  <property fmtid="{D5CDD505-2E9C-101B-9397-08002B2CF9AE}" pid="8" name="MSIP_Label_defa4170-0d19-0005-0004-bc88714345d2_ContentBits">
    <vt:lpwstr>0</vt:lpwstr>
  </property>
</Properties>
</file>