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9BCD0FA0-CA40-41B6-868A-A2ACD2A19E6D}" xr6:coauthVersionLast="47" xr6:coauthVersionMax="47" xr10:uidLastSave="{00000000-0000-0000-0000-000000000000}"/>
  <bookViews>
    <workbookView xWindow="28680" yWindow="-165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Games'!$A$1:$L$39</definedName>
    <definedName name="_xlnm.Print_Area" localSheetId="2">Video!$A$1:$K$38</definedName>
    <definedName name="_xlnm.Print_Area" localSheetId="0">'Weekly Summary'!$A$1:$N$41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2" l="1"/>
  <c r="I33" i="1"/>
  <c r="G33" i="1"/>
  <c r="F33" i="1"/>
  <c r="H36" i="3"/>
  <c r="G36" i="3"/>
  <c r="F36" i="3"/>
  <c r="E36" i="3"/>
  <c r="D36" i="3"/>
  <c r="C36" i="3"/>
  <c r="B36" i="3"/>
  <c r="E33" i="1"/>
  <c r="J33" i="1" s="1"/>
  <c r="I35" i="2"/>
  <c r="I36" i="3" s="1"/>
  <c r="N36" i="3" l="1"/>
  <c r="J36" i="3"/>
  <c r="H33" i="1"/>
  <c r="M36" i="3" s="1"/>
  <c r="J35" i="2"/>
  <c r="K36" i="3" s="1"/>
  <c r="K35" i="2"/>
  <c r="L36" i="3" s="1"/>
  <c r="H35" i="3"/>
  <c r="G35" i="3"/>
  <c r="F35" i="3"/>
  <c r="E35" i="3"/>
  <c r="D35" i="3"/>
  <c r="C35" i="3"/>
  <c r="B35" i="3"/>
  <c r="I34" i="2"/>
  <c r="I32" i="1"/>
  <c r="E32" i="1"/>
  <c r="H34" i="3"/>
  <c r="G34" i="3"/>
  <c r="F34" i="3"/>
  <c r="E34" i="3"/>
  <c r="D34" i="3"/>
  <c r="C34" i="3"/>
  <c r="B34" i="3"/>
  <c r="E31" i="1"/>
  <c r="H31" i="1" s="1"/>
  <c r="M34" i="3" s="1"/>
  <c r="I33" i="2"/>
  <c r="K33" i="2" s="1"/>
  <c r="H33" i="3"/>
  <c r="G33" i="3"/>
  <c r="F33" i="3"/>
  <c r="E33" i="3"/>
  <c r="D33" i="3"/>
  <c r="C33" i="3"/>
  <c r="B33" i="3"/>
  <c r="E30" i="1"/>
  <c r="J30" i="1" s="1"/>
  <c r="I32" i="2"/>
  <c r="I33" i="3" s="1"/>
  <c r="J32" i="1" l="1"/>
  <c r="F32" i="1"/>
  <c r="H32" i="1"/>
  <c r="M35" i="3" s="1"/>
  <c r="G32" i="1"/>
  <c r="L35" i="3" s="1"/>
  <c r="K34" i="2"/>
  <c r="L34" i="2"/>
  <c r="I35" i="3"/>
  <c r="J35" i="3"/>
  <c r="J34" i="2"/>
  <c r="K35" i="3" s="1"/>
  <c r="N35" i="3"/>
  <c r="F31" i="1"/>
  <c r="G31" i="1"/>
  <c r="L34" i="3" s="1"/>
  <c r="I31" i="1"/>
  <c r="I34" i="3"/>
  <c r="J34" i="3"/>
  <c r="H30" i="1"/>
  <c r="M33" i="3" s="1"/>
  <c r="I30" i="1"/>
  <c r="J31" i="1"/>
  <c r="F30" i="1"/>
  <c r="G30" i="1"/>
  <c r="L33" i="2"/>
  <c r="N34" i="3" s="1"/>
  <c r="J33" i="2"/>
  <c r="L32" i="2"/>
  <c r="J33" i="3"/>
  <c r="J32" i="2"/>
  <c r="K32" i="2"/>
  <c r="H32" i="3"/>
  <c r="G32" i="3"/>
  <c r="F32" i="3"/>
  <c r="E32" i="3"/>
  <c r="D32" i="3"/>
  <c r="C32" i="3"/>
  <c r="B32" i="3"/>
  <c r="E29" i="1"/>
  <c r="J29" i="1" s="1"/>
  <c r="I31" i="2"/>
  <c r="H31" i="3"/>
  <c r="G31" i="3"/>
  <c r="F31" i="3"/>
  <c r="E31" i="3"/>
  <c r="D31" i="3"/>
  <c r="C31" i="3"/>
  <c r="B31" i="3"/>
  <c r="E28" i="1"/>
  <c r="I28" i="1" s="1"/>
  <c r="I30" i="2"/>
  <c r="I31" i="3" s="1"/>
  <c r="H30" i="3"/>
  <c r="G30" i="3"/>
  <c r="F30" i="3"/>
  <c r="E30" i="3"/>
  <c r="D30" i="3"/>
  <c r="C30" i="3"/>
  <c r="B30" i="3"/>
  <c r="E27" i="1"/>
  <c r="J27" i="1" s="1"/>
  <c r="I29" i="2"/>
  <c r="K29" i="2" s="1"/>
  <c r="H29" i="3"/>
  <c r="G29" i="3"/>
  <c r="F29" i="3"/>
  <c r="E29" i="3"/>
  <c r="D29" i="3"/>
  <c r="C29" i="3"/>
  <c r="B29" i="3"/>
  <c r="E26" i="1"/>
  <c r="G26" i="1" s="1"/>
  <c r="I28" i="2"/>
  <c r="K28" i="2" s="1"/>
  <c r="H28" i="3"/>
  <c r="G28" i="3"/>
  <c r="F28" i="3"/>
  <c r="E28" i="3"/>
  <c r="D28" i="3"/>
  <c r="C28" i="3"/>
  <c r="B28" i="3"/>
  <c r="E25" i="1"/>
  <c r="J25" i="1" s="1"/>
  <c r="I27" i="2"/>
  <c r="L27" i="2" s="1"/>
  <c r="H27" i="3"/>
  <c r="G27" i="3"/>
  <c r="F27" i="3"/>
  <c r="E27" i="3"/>
  <c r="D27" i="3"/>
  <c r="C27" i="3"/>
  <c r="B27" i="3"/>
  <c r="I26" i="2"/>
  <c r="L26" i="2" s="1"/>
  <c r="E24" i="1"/>
  <c r="J27" i="3" s="1"/>
  <c r="H26" i="3"/>
  <c r="G26" i="3"/>
  <c r="F26" i="3"/>
  <c r="E26" i="3"/>
  <c r="D26" i="3"/>
  <c r="C26" i="3"/>
  <c r="B26" i="3"/>
  <c r="E23" i="1"/>
  <c r="J23" i="1" s="1"/>
  <c r="I25" i="2"/>
  <c r="L25" i="2" s="1"/>
  <c r="K33" i="3" l="1"/>
  <c r="L33" i="3"/>
  <c r="N33" i="3"/>
  <c r="K34" i="3"/>
  <c r="L28" i="2"/>
  <c r="I29" i="1"/>
  <c r="F29" i="1"/>
  <c r="L30" i="2"/>
  <c r="I32" i="3"/>
  <c r="L31" i="2"/>
  <c r="J32" i="3"/>
  <c r="F28" i="1"/>
  <c r="G29" i="1"/>
  <c r="H29" i="1"/>
  <c r="M32" i="3" s="1"/>
  <c r="J31" i="2"/>
  <c r="K32" i="3" s="1"/>
  <c r="K31" i="2"/>
  <c r="N31" i="3"/>
  <c r="J31" i="3"/>
  <c r="J28" i="1"/>
  <c r="G28" i="1"/>
  <c r="H28" i="1"/>
  <c r="M31" i="3" s="1"/>
  <c r="J30" i="2"/>
  <c r="L29" i="2"/>
  <c r="K30" i="2"/>
  <c r="I30" i="3"/>
  <c r="F27" i="1"/>
  <c r="H27" i="1"/>
  <c r="M30" i="3" s="1"/>
  <c r="J30" i="3"/>
  <c r="L29" i="3"/>
  <c r="F26" i="1"/>
  <c r="H26" i="1"/>
  <c r="M29" i="3" s="1"/>
  <c r="G27" i="1"/>
  <c r="L30" i="3" s="1"/>
  <c r="J29" i="3"/>
  <c r="I27" i="1"/>
  <c r="I29" i="3"/>
  <c r="J29" i="2"/>
  <c r="I26" i="1"/>
  <c r="N29" i="3" s="1"/>
  <c r="J26" i="1"/>
  <c r="G25" i="1"/>
  <c r="I25" i="1"/>
  <c r="N28" i="3" s="1"/>
  <c r="J28" i="2"/>
  <c r="I28" i="3"/>
  <c r="F25" i="1"/>
  <c r="J28" i="3"/>
  <c r="F24" i="1"/>
  <c r="H25" i="1"/>
  <c r="M28" i="3" s="1"/>
  <c r="G24" i="1"/>
  <c r="H24" i="1"/>
  <c r="M27" i="3" s="1"/>
  <c r="J27" i="2"/>
  <c r="K27" i="2"/>
  <c r="I24" i="1"/>
  <c r="N27" i="3" s="1"/>
  <c r="I27" i="3"/>
  <c r="J26" i="2"/>
  <c r="K26" i="2"/>
  <c r="J24" i="1"/>
  <c r="F23" i="1"/>
  <c r="I23" i="1"/>
  <c r="N26" i="3" s="1"/>
  <c r="H23" i="1"/>
  <c r="M26" i="3" s="1"/>
  <c r="I26" i="3"/>
  <c r="G23" i="1"/>
  <c r="J26" i="3"/>
  <c r="J25" i="2"/>
  <c r="K25" i="2"/>
  <c r="H25" i="3"/>
  <c r="G25" i="3"/>
  <c r="F25" i="3"/>
  <c r="E25" i="3"/>
  <c r="D25" i="3"/>
  <c r="C25" i="3"/>
  <c r="B25" i="3"/>
  <c r="E22" i="1"/>
  <c r="I24" i="2"/>
  <c r="J24" i="2" s="1"/>
  <c r="H24" i="3"/>
  <c r="G24" i="3"/>
  <c r="F24" i="3"/>
  <c r="E24" i="3"/>
  <c r="D24" i="3"/>
  <c r="C24" i="3"/>
  <c r="B24" i="3"/>
  <c r="E21" i="1"/>
  <c r="J21" i="1" s="1"/>
  <c r="I23" i="2"/>
  <c r="K23" i="2" s="1"/>
  <c r="H23" i="3"/>
  <c r="G23" i="3"/>
  <c r="F23" i="3"/>
  <c r="E23" i="3"/>
  <c r="D23" i="3"/>
  <c r="C23" i="3"/>
  <c r="B23" i="3"/>
  <c r="E20" i="1"/>
  <c r="J20" i="1" s="1"/>
  <c r="I22" i="2"/>
  <c r="L22" i="2" s="1"/>
  <c r="H22" i="3"/>
  <c r="G22" i="3"/>
  <c r="F22" i="3"/>
  <c r="E22" i="3"/>
  <c r="D22" i="3"/>
  <c r="C22" i="3"/>
  <c r="B22" i="3"/>
  <c r="E19" i="1"/>
  <c r="J19" i="1" s="1"/>
  <c r="I21" i="2"/>
  <c r="I22" i="3" s="1"/>
  <c r="H21" i="3"/>
  <c r="G21" i="3"/>
  <c r="F21" i="3"/>
  <c r="E21" i="3"/>
  <c r="D21" i="3"/>
  <c r="C21" i="3"/>
  <c r="B21" i="3"/>
  <c r="E18" i="1"/>
  <c r="J18" i="1" s="1"/>
  <c r="I20" i="2"/>
  <c r="L20" i="2" s="1"/>
  <c r="H20" i="3"/>
  <c r="G20" i="3"/>
  <c r="F20" i="3"/>
  <c r="E20" i="3"/>
  <c r="D20" i="3"/>
  <c r="C20" i="3"/>
  <c r="B20" i="3"/>
  <c r="E17" i="1"/>
  <c r="I17" i="1" s="1"/>
  <c r="I19" i="2"/>
  <c r="L19" i="2" s="1"/>
  <c r="H19" i="3"/>
  <c r="G19" i="3"/>
  <c r="F19" i="3"/>
  <c r="E19" i="3"/>
  <c r="D19" i="3"/>
  <c r="C19" i="3"/>
  <c r="B19" i="3"/>
  <c r="E16" i="1"/>
  <c r="J16" i="1" s="1"/>
  <c r="I18" i="2"/>
  <c r="L18" i="2" s="1"/>
  <c r="H18" i="3"/>
  <c r="G18" i="3"/>
  <c r="F18" i="3"/>
  <c r="E18" i="3"/>
  <c r="D18" i="3"/>
  <c r="C18" i="3"/>
  <c r="B18" i="3"/>
  <c r="E15" i="1"/>
  <c r="J18" i="3" s="1"/>
  <c r="I17" i="2"/>
  <c r="J17" i="2" s="1"/>
  <c r="H17" i="3"/>
  <c r="G17" i="3"/>
  <c r="F17" i="3"/>
  <c r="E17" i="3"/>
  <c r="D17" i="3"/>
  <c r="C17" i="3"/>
  <c r="B17" i="3"/>
  <c r="E14" i="1"/>
  <c r="J14" i="1" s="1"/>
  <c r="I16" i="2"/>
  <c r="L16" i="2" s="1"/>
  <c r="H16" i="3"/>
  <c r="G16" i="3"/>
  <c r="F16" i="3"/>
  <c r="E16" i="3"/>
  <c r="D16" i="3"/>
  <c r="C16" i="3"/>
  <c r="B16" i="3"/>
  <c r="E13" i="1"/>
  <c r="J13" i="1" s="1"/>
  <c r="I15" i="2"/>
  <c r="J15" i="2" s="1"/>
  <c r="K31" i="3" l="1"/>
  <c r="L32" i="3"/>
  <c r="K29" i="3"/>
  <c r="N32" i="3"/>
  <c r="L31" i="3"/>
  <c r="N30" i="3"/>
  <c r="K30" i="3"/>
  <c r="K27" i="3"/>
  <c r="L28" i="3"/>
  <c r="K28" i="3"/>
  <c r="K26" i="3"/>
  <c r="L27" i="3"/>
  <c r="G21" i="1"/>
  <c r="L24" i="3" s="1"/>
  <c r="L26" i="3"/>
  <c r="J25" i="3"/>
  <c r="I22" i="1"/>
  <c r="G22" i="1"/>
  <c r="F22" i="1"/>
  <c r="K25" i="3" s="1"/>
  <c r="F21" i="1"/>
  <c r="I25" i="3"/>
  <c r="L24" i="2"/>
  <c r="J22" i="1"/>
  <c r="H22" i="1"/>
  <c r="M25" i="3" s="1"/>
  <c r="K24" i="2"/>
  <c r="I24" i="3"/>
  <c r="L23" i="2"/>
  <c r="I21" i="1"/>
  <c r="J24" i="3"/>
  <c r="F20" i="1"/>
  <c r="H21" i="1"/>
  <c r="M24" i="3" s="1"/>
  <c r="I20" i="1"/>
  <c r="N23" i="3" s="1"/>
  <c r="J23" i="2"/>
  <c r="I23" i="3"/>
  <c r="J23" i="3"/>
  <c r="G20" i="1"/>
  <c r="H20" i="1"/>
  <c r="M23" i="3" s="1"/>
  <c r="F19" i="1"/>
  <c r="I19" i="1"/>
  <c r="J22" i="2"/>
  <c r="K22" i="2"/>
  <c r="L21" i="2"/>
  <c r="H19" i="1"/>
  <c r="M22" i="3" s="1"/>
  <c r="J22" i="3"/>
  <c r="G17" i="1"/>
  <c r="F17" i="1"/>
  <c r="H17" i="1"/>
  <c r="M20" i="3" s="1"/>
  <c r="G19" i="1"/>
  <c r="F18" i="1"/>
  <c r="H18" i="1"/>
  <c r="M21" i="3" s="1"/>
  <c r="J21" i="2"/>
  <c r="K21" i="2"/>
  <c r="I21" i="3"/>
  <c r="G18" i="1"/>
  <c r="J21" i="3"/>
  <c r="J20" i="3"/>
  <c r="F16" i="1"/>
  <c r="I18" i="1"/>
  <c r="N21" i="3" s="1"/>
  <c r="H16" i="1"/>
  <c r="M19" i="3" s="1"/>
  <c r="J20" i="2"/>
  <c r="K20" i="2"/>
  <c r="N20" i="3"/>
  <c r="I20" i="3"/>
  <c r="J17" i="1"/>
  <c r="J19" i="2"/>
  <c r="K19" i="2"/>
  <c r="I19" i="3"/>
  <c r="G16" i="1"/>
  <c r="J19" i="3"/>
  <c r="I14" i="1"/>
  <c r="N17" i="3" s="1"/>
  <c r="G14" i="1"/>
  <c r="F15" i="1"/>
  <c r="K18" i="3" s="1"/>
  <c r="H15" i="1"/>
  <c r="M18" i="3" s="1"/>
  <c r="I16" i="1"/>
  <c r="N19" i="3" s="1"/>
  <c r="G15" i="1"/>
  <c r="J18" i="2"/>
  <c r="K18" i="2"/>
  <c r="L17" i="2"/>
  <c r="I18" i="3"/>
  <c r="I15" i="1"/>
  <c r="J15" i="1"/>
  <c r="J17" i="3"/>
  <c r="K17" i="2"/>
  <c r="I17" i="3"/>
  <c r="F14" i="1"/>
  <c r="H14" i="1"/>
  <c r="M17" i="3" s="1"/>
  <c r="I13" i="1"/>
  <c r="F13" i="1"/>
  <c r="K16" i="3" s="1"/>
  <c r="G13" i="1"/>
  <c r="H13" i="1"/>
  <c r="M16" i="3" s="1"/>
  <c r="J16" i="2"/>
  <c r="K16" i="2"/>
  <c r="L15" i="2"/>
  <c r="I16" i="3"/>
  <c r="J16" i="3"/>
  <c r="K15" i="2"/>
  <c r="H15" i="3"/>
  <c r="G15" i="3"/>
  <c r="F15" i="3"/>
  <c r="E15" i="3"/>
  <c r="D15" i="3"/>
  <c r="C15" i="3"/>
  <c r="B15" i="3"/>
  <c r="I14" i="2"/>
  <c r="E12" i="1"/>
  <c r="J12" i="1" s="1"/>
  <c r="N25" i="3" l="1"/>
  <c r="K20" i="3"/>
  <c r="L25" i="3"/>
  <c r="L18" i="3"/>
  <c r="K24" i="3"/>
  <c r="N22" i="3"/>
  <c r="K23" i="3"/>
  <c r="N24" i="3"/>
  <c r="L23" i="3"/>
  <c r="K19" i="3"/>
  <c r="K22" i="3"/>
  <c r="L20" i="3"/>
  <c r="L22" i="3"/>
  <c r="K21" i="3"/>
  <c r="L21" i="3"/>
  <c r="L17" i="3"/>
  <c r="L19" i="3"/>
  <c r="K17" i="3"/>
  <c r="L16" i="3"/>
  <c r="N18" i="3"/>
  <c r="N16" i="3"/>
  <c r="J14" i="2"/>
  <c r="L14" i="2"/>
  <c r="F12" i="1"/>
  <c r="H12" i="1"/>
  <c r="M15" i="3" s="1"/>
  <c r="I12" i="1"/>
  <c r="I15" i="3"/>
  <c r="J15" i="3"/>
  <c r="G12" i="1"/>
  <c r="K14" i="2"/>
  <c r="N15" i="3" l="1"/>
  <c r="K15" i="3"/>
  <c r="L15" i="3"/>
  <c r="H14" i="3"/>
  <c r="G14" i="3"/>
  <c r="F14" i="3"/>
  <c r="E14" i="3"/>
  <c r="D14" i="3"/>
  <c r="C14" i="3"/>
  <c r="B14" i="3"/>
  <c r="I13" i="2"/>
  <c r="K13" i="2" l="1"/>
  <c r="L13" i="2"/>
  <c r="I14" i="3"/>
  <c r="J13" i="2"/>
  <c r="E11" i="1"/>
  <c r="J14" i="3" s="1"/>
  <c r="G11" i="1" l="1"/>
  <c r="L14" i="3" s="1"/>
  <c r="I11" i="1"/>
  <c r="N14" i="3" s="1"/>
  <c r="F11" i="1"/>
  <c r="K14" i="3" s="1"/>
  <c r="H11" i="1"/>
  <c r="M14" i="3" s="1"/>
  <c r="J11" i="1"/>
  <c r="H13" i="3" l="1"/>
  <c r="G13" i="3"/>
  <c r="F13" i="3"/>
  <c r="E13" i="3"/>
  <c r="D13" i="3"/>
  <c r="C13" i="3"/>
  <c r="B13" i="3"/>
  <c r="E10" i="1"/>
  <c r="I12" i="2"/>
  <c r="L12" i="2" s="1"/>
  <c r="I10" i="1" l="1"/>
  <c r="N13" i="3" s="1"/>
  <c r="F10" i="1"/>
  <c r="I13" i="3"/>
  <c r="G10" i="1"/>
  <c r="J13" i="3"/>
  <c r="J10" i="1"/>
  <c r="H10" i="1"/>
  <c r="M13" i="3" s="1"/>
  <c r="J12" i="2"/>
  <c r="K12" i="2"/>
  <c r="K13" i="3" l="1"/>
  <c r="L13" i="3"/>
  <c r="H12" i="3" l="1"/>
  <c r="G12" i="3"/>
  <c r="F12" i="3"/>
  <c r="E12" i="3"/>
  <c r="D12" i="3"/>
  <c r="C12" i="3"/>
  <c r="B12" i="3"/>
  <c r="I11" i="2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E9" i="1"/>
  <c r="J9" i="1" s="1"/>
  <c r="I12" i="3" l="1"/>
  <c r="J11" i="2"/>
  <c r="L11" i="2"/>
  <c r="F9" i="1"/>
  <c r="G9" i="1"/>
  <c r="H9" i="1"/>
  <c r="M12" i="3" s="1"/>
  <c r="J12" i="3"/>
  <c r="K11" i="2"/>
  <c r="I9" i="1"/>
  <c r="K12" i="3" l="1"/>
  <c r="L12" i="3"/>
  <c r="N12" i="3"/>
  <c r="H11" i="3" l="1"/>
  <c r="G11" i="3"/>
  <c r="F11" i="3"/>
  <c r="E11" i="3"/>
  <c r="D11" i="3"/>
  <c r="C11" i="3"/>
  <c r="B11" i="3"/>
  <c r="E8" i="1"/>
  <c r="I10" i="2"/>
  <c r="K10" i="2" l="1"/>
  <c r="L10" i="2"/>
  <c r="J8" i="1"/>
  <c r="H8" i="1"/>
  <c r="M11" i="3" s="1"/>
  <c r="G8" i="1"/>
  <c r="F8" i="1"/>
  <c r="J11" i="3"/>
  <c r="I11" i="3"/>
  <c r="I8" i="1"/>
  <c r="J10" i="2"/>
  <c r="I9" i="2"/>
  <c r="J9" i="2" s="1"/>
  <c r="K11" i="3" l="1"/>
  <c r="L11" i="3"/>
  <c r="N11" i="3"/>
  <c r="I10" i="3"/>
  <c r="H10" i="3"/>
  <c r="G10" i="3"/>
  <c r="F10" i="3"/>
  <c r="E10" i="3"/>
  <c r="D10" i="3"/>
  <c r="C10" i="3"/>
  <c r="B10" i="3"/>
  <c r="L9" i="2"/>
  <c r="K9" i="2"/>
  <c r="E7" i="1"/>
  <c r="F7" i="1" s="1"/>
  <c r="G7" i="1" l="1"/>
  <c r="L10" i="3" s="1"/>
  <c r="H7" i="1"/>
  <c r="M10" i="3" s="1"/>
  <c r="I7" i="1"/>
  <c r="N10" i="3" s="1"/>
  <c r="J10" i="3"/>
  <c r="K10" i="3"/>
  <c r="J7" i="1"/>
  <c r="B37" i="2" l="1"/>
  <c r="C37" i="2"/>
  <c r="D37" i="2"/>
  <c r="B35" i="1" l="1"/>
  <c r="C9" i="3" l="1"/>
  <c r="C38" i="3" s="1"/>
  <c r="D9" i="3"/>
  <c r="D38" i="3" s="1"/>
  <c r="E9" i="3"/>
  <c r="E38" i="3" s="1"/>
  <c r="F9" i="3"/>
  <c r="F38" i="3" s="1"/>
  <c r="G9" i="3"/>
  <c r="G38" i="3" s="1"/>
  <c r="H9" i="3"/>
  <c r="H38" i="3" s="1"/>
  <c r="B9" i="3"/>
  <c r="B38" i="3" s="1"/>
  <c r="E37" i="2" l="1"/>
  <c r="F37" i="2"/>
  <c r="G37" i="2"/>
  <c r="H37" i="2"/>
  <c r="K35" i="1"/>
  <c r="C35" i="1"/>
  <c r="D35" i="1"/>
  <c r="I8" i="2"/>
  <c r="L8" i="2" s="1"/>
  <c r="I2" i="2"/>
  <c r="E6" i="1"/>
  <c r="I6" i="1" s="1"/>
  <c r="L37" i="2" l="1"/>
  <c r="I35" i="1"/>
  <c r="H6" i="1"/>
  <c r="G6" i="1"/>
  <c r="G35" i="1" s="1"/>
  <c r="F6" i="1"/>
  <c r="F35" i="1" s="1"/>
  <c r="K8" i="2"/>
  <c r="K37" i="2" s="1"/>
  <c r="J8" i="2"/>
  <c r="J37" i="2" s="1"/>
  <c r="J6" i="1"/>
  <c r="J35" i="1" s="1"/>
  <c r="I37" i="2"/>
  <c r="J9" i="3"/>
  <c r="J38" i="3" s="1"/>
  <c r="E35" i="1"/>
  <c r="I9" i="3"/>
  <c r="I38" i="3" s="1"/>
  <c r="N9" i="3" l="1"/>
  <c r="N38" i="3" s="1"/>
  <c r="M9" i="3"/>
  <c r="M38" i="3" s="1"/>
  <c r="H35" i="1"/>
  <c r="K9" i="3"/>
  <c r="K38" i="3" s="1"/>
  <c r="L9" i="3"/>
  <c r="L38" i="3" s="1"/>
</calcChain>
</file>

<file path=xl/sharedStrings.xml><?xml version="1.0" encoding="utf-8"?>
<sst xmlns="http://schemas.openxmlformats.org/spreadsheetml/2006/main" count="49" uniqueCount="35">
  <si>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</si>
  <si>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</si>
  <si>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</si>
  <si>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</si>
  <si>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</si>
  <si>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</si>
  <si>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</si>
  <si>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</si>
  <si>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</si>
  <si>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</si>
  <si>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</si>
  <si>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</si>
  <si>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</si>
  <si>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</si>
  <si>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</si>
  <si>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</si>
  <si>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</si>
  <si>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</si>
  <si>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</si>
  <si>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</si>
  <si>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</si>
  <si>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</si>
  <si>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</si>
  <si>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</si>
  <si>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</si>
  <si>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</si>
  <si>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</si>
  <si>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</si>
  <si>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</si>
  <si>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</si>
  <si>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>7/6/2024 *</t>
  </si>
  <si>
    <t xml:space="preserve">  *  Represents 6 days to start the fiscal year.</t>
  </si>
  <si>
    <t>FISCAL YEAR 2025</t>
  </si>
  <si>
    <t>FY2024</t>
  </si>
  <si>
    <t xml:space="preserve"> FOR THE WEEK ENDING JANUARY 11,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</si>
</sst>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1"/>
  <sheetViews>
    <sheetView tabSelected="1" zoomScaleNormal="100" workbookViewId="0">
      <pane ySplit="7" topLeftCell="A14" activePane="bottomLeft" state="frozen"/>
      <selection pane="bottomLeft" activeCell="A4" sqref="A4:N4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">
        <v>30</v>
      </c>
      <c r="B9" s="6">
        <f>'Table Games'!B8</f>
        <v>133739.5</v>
      </c>
      <c r="C9" s="6">
        <f>'Table Games'!C8</f>
        <v>6326</v>
      </c>
      <c r="D9" s="6">
        <f>'Table Games'!D8</f>
        <v>0</v>
      </c>
      <c r="E9" s="6">
        <f>'Table Games'!E8</f>
        <v>0</v>
      </c>
      <c r="F9" s="6">
        <f>'Table Games'!F8</f>
        <v>15961</v>
      </c>
      <c r="G9" s="6">
        <f>'Table Games'!G8</f>
        <v>-15470</v>
      </c>
      <c r="H9" s="6">
        <f>'Table Games'!H8</f>
        <v>27597</v>
      </c>
      <c r="I9" s="6">
        <f>'Table Games'!I8</f>
        <v>168153.5</v>
      </c>
      <c r="J9" s="6">
        <f>Video!E6</f>
        <v>58500.859999999986</v>
      </c>
      <c r="K9" s="6">
        <f>'Table Games'!J8+Video!F6</f>
        <v>71506.39</v>
      </c>
      <c r="L9" s="6">
        <f>'Table Games'!K8+Video!G6</f>
        <v>18352.82</v>
      </c>
      <c r="M9" s="6">
        <f>Video!H6</f>
        <v>2749.5299999999997</v>
      </c>
      <c r="N9" s="6">
        <f>'Table Games'!L8+Video!I6</f>
        <v>134045.62</v>
      </c>
    </row>
    <row r="10" spans="1:14" ht="15" customHeight="1" x14ac:dyDescent="0.25">
      <c r="A10" s="10">
        <v>45486</v>
      </c>
      <c r="B10" s="6">
        <f>'Table Games'!B9</f>
        <v>85973</v>
      </c>
      <c r="C10" s="6">
        <f>'Table Games'!C9</f>
        <v>24977</v>
      </c>
      <c r="D10" s="6">
        <f>'Table Games'!D9</f>
        <v>0</v>
      </c>
      <c r="E10" s="6">
        <f>'Table Games'!E9</f>
        <v>0</v>
      </c>
      <c r="F10" s="6">
        <f>'Table Games'!F9</f>
        <v>5024</v>
      </c>
      <c r="G10" s="6">
        <f>'Table Games'!G9</f>
        <v>0</v>
      </c>
      <c r="H10" s="6">
        <f>'Table Games'!H9</f>
        <v>3040</v>
      </c>
      <c r="I10" s="6">
        <f>'Table Games'!I9</f>
        <v>119014</v>
      </c>
      <c r="J10" s="6">
        <f>Video!E7</f>
        <v>36672.789999999921</v>
      </c>
      <c r="K10" s="6">
        <f>'Table Games'!J9+Video!F7</f>
        <v>48906.39</v>
      </c>
      <c r="L10" s="6">
        <f>'Table Games'!K9+Video!G7</f>
        <v>12185.09</v>
      </c>
      <c r="M10" s="6">
        <f>Video!H7</f>
        <v>1723.62</v>
      </c>
      <c r="N10" s="6">
        <f>'Table Games'!L9+Video!I7</f>
        <v>92871.69</v>
      </c>
    </row>
    <row r="11" spans="1:14" ht="15" customHeight="1" x14ac:dyDescent="0.25">
      <c r="A11" s="10">
        <f t="shared" ref="A11:A36" si="0">A10+7</f>
        <v>45493</v>
      </c>
      <c r="B11" s="6">
        <f>'Table Games'!B10</f>
        <v>77511.5</v>
      </c>
      <c r="C11" s="6">
        <f>'Table Games'!C10</f>
        <v>-13636</v>
      </c>
      <c r="D11" s="6">
        <f>'Table Games'!D10</f>
        <v>-3533.75</v>
      </c>
      <c r="E11" s="6">
        <f>'Table Games'!E10</f>
        <v>0</v>
      </c>
      <c r="F11" s="6">
        <f>'Table Games'!F10</f>
        <v>4808</v>
      </c>
      <c r="G11" s="6">
        <f>'Table Games'!G10</f>
        <v>0</v>
      </c>
      <c r="H11" s="6">
        <f>'Table Games'!H10</f>
        <v>13014</v>
      </c>
      <c r="I11" s="6">
        <f>'Table Games'!I10</f>
        <v>78163.75</v>
      </c>
      <c r="J11" s="6">
        <f>Video!E8</f>
        <v>76741.550000000047</v>
      </c>
      <c r="K11" s="6">
        <f>'Table Games'!J10+Video!F8</f>
        <v>51076.07</v>
      </c>
      <c r="L11" s="6">
        <f>'Table Games'!K10+Video!G8</f>
        <v>16954.259999999998</v>
      </c>
      <c r="M11" s="6">
        <f>Video!H8</f>
        <v>3606.86</v>
      </c>
      <c r="N11" s="6">
        <f>'Table Games'!L10+Video!I8</f>
        <v>83268.11</v>
      </c>
    </row>
    <row r="12" spans="1:14" ht="15" customHeight="1" x14ac:dyDescent="0.25">
      <c r="A12" s="10">
        <f t="shared" si="0"/>
        <v>45500</v>
      </c>
      <c r="B12" s="6">
        <f>'Table Games'!B11</f>
        <v>110577.5</v>
      </c>
      <c r="C12" s="6">
        <f>'Table Games'!C11</f>
        <v>11675</v>
      </c>
      <c r="D12" s="6">
        <f>'Table Games'!D11</f>
        <v>0</v>
      </c>
      <c r="E12" s="6">
        <f>'Table Games'!E11</f>
        <v>0</v>
      </c>
      <c r="F12" s="6">
        <f>'Table Games'!F11</f>
        <v>15493</v>
      </c>
      <c r="G12" s="6">
        <f>'Table Games'!G11</f>
        <v>0</v>
      </c>
      <c r="H12" s="6">
        <f>'Table Games'!H11</f>
        <v>-471</v>
      </c>
      <c r="I12" s="6">
        <f>'Table Games'!I11</f>
        <v>137274.5</v>
      </c>
      <c r="J12" s="6">
        <f>Video!E9</f>
        <v>88563.37</v>
      </c>
      <c r="K12" s="6">
        <f>'Table Games'!J11+Video!F9</f>
        <v>73065.17</v>
      </c>
      <c r="L12" s="6">
        <f>'Table Games'!K11+Video!G9</f>
        <v>21919.489999999998</v>
      </c>
      <c r="M12" s="6">
        <f>Video!H9</f>
        <v>4162.4799999999996</v>
      </c>
      <c r="N12" s="6">
        <f>'Table Games'!L11+Video!I9</f>
        <v>126690.73</v>
      </c>
    </row>
    <row r="13" spans="1:14" ht="15" customHeight="1" x14ac:dyDescent="0.25">
      <c r="A13" s="10">
        <f t="shared" si="0"/>
        <v>45507</v>
      </c>
      <c r="B13" s="6">
        <f>'Table Games'!B12</f>
        <v>-70487</v>
      </c>
      <c r="C13" s="6">
        <f>'Table Games'!C12</f>
        <v>8075</v>
      </c>
      <c r="D13" s="6">
        <f>'Table Games'!D12</f>
        <v>0</v>
      </c>
      <c r="E13" s="6">
        <f>'Table Games'!E12</f>
        <v>0</v>
      </c>
      <c r="F13" s="6">
        <f>'Table Games'!F12</f>
        <v>11703</v>
      </c>
      <c r="G13" s="6">
        <f>'Table Games'!G12</f>
        <v>0</v>
      </c>
      <c r="H13" s="6">
        <f>'Table Games'!H12</f>
        <v>-1326</v>
      </c>
      <c r="I13" s="6">
        <f>'Table Games'!I12</f>
        <v>-52035</v>
      </c>
      <c r="J13" s="6">
        <f>Video!E10</f>
        <v>40305.890000000014</v>
      </c>
      <c r="K13" s="6">
        <f>'Table Games'!J12+Video!F10</f>
        <v>-1100.3899999999994</v>
      </c>
      <c r="L13" s="6">
        <f>'Table Games'!K12+Video!G10</f>
        <v>4250.25</v>
      </c>
      <c r="M13" s="6">
        <f>Video!H10</f>
        <v>1894.38</v>
      </c>
      <c r="N13" s="6">
        <f>'Table Games'!L12+Video!I10</f>
        <v>-16773.350000000002</v>
      </c>
    </row>
    <row r="14" spans="1:14" ht="15" customHeight="1" x14ac:dyDescent="0.25">
      <c r="A14" s="10">
        <f t="shared" si="0"/>
        <v>45514</v>
      </c>
      <c r="B14" s="6">
        <f>'Table Games'!B13</f>
        <v>-3005.5</v>
      </c>
      <c r="C14" s="6">
        <f>'Table Games'!C13</f>
        <v>8990</v>
      </c>
      <c r="D14" s="6">
        <f>'Table Games'!D13</f>
        <v>0</v>
      </c>
      <c r="E14" s="6">
        <f>'Table Games'!E13</f>
        <v>0</v>
      </c>
      <c r="F14" s="6">
        <f>'Table Games'!F13</f>
        <v>16450</v>
      </c>
      <c r="G14" s="6">
        <f>'Table Games'!G13</f>
        <v>0</v>
      </c>
      <c r="H14" s="6">
        <f>'Table Games'!H13</f>
        <v>12698</v>
      </c>
      <c r="I14" s="6">
        <f>'Table Games'!I13</f>
        <v>35132.5</v>
      </c>
      <c r="J14" s="6">
        <f>Video!E11</f>
        <v>90079.019999999786</v>
      </c>
      <c r="K14" s="6">
        <f>'Table Games'!J13+Video!F11</f>
        <v>42968.2</v>
      </c>
      <c r="L14" s="6">
        <f>'Table Games'!K13+Video!G11</f>
        <v>17070.07</v>
      </c>
      <c r="M14" s="6">
        <f>Video!H11</f>
        <v>4233.71</v>
      </c>
      <c r="N14" s="6">
        <f>'Table Games'!L13+Video!I11</f>
        <v>60939.54</v>
      </c>
    </row>
    <row r="15" spans="1:14" ht="15" customHeight="1" x14ac:dyDescent="0.25">
      <c r="A15" s="10">
        <f t="shared" si="0"/>
        <v>45521</v>
      </c>
      <c r="B15" s="6">
        <f>'Table Games'!B14</f>
        <v>116241</v>
      </c>
      <c r="C15" s="6">
        <f>'Table Games'!C14</f>
        <v>28743</v>
      </c>
      <c r="D15" s="6">
        <f>'Table Games'!D14</f>
        <v>26503.75</v>
      </c>
      <c r="E15" s="6">
        <f>'Table Games'!E14</f>
        <v>0</v>
      </c>
      <c r="F15" s="6">
        <f>'Table Games'!F14</f>
        <v>-18083</v>
      </c>
      <c r="G15" s="6">
        <f>'Table Games'!G14</f>
        <v>150</v>
      </c>
      <c r="H15" s="6">
        <f>'Table Games'!H14</f>
        <v>7216</v>
      </c>
      <c r="I15" s="6">
        <f>'Table Games'!I14</f>
        <v>160770.75</v>
      </c>
      <c r="J15" s="6">
        <f>Video!E12</f>
        <v>29528.020000000019</v>
      </c>
      <c r="K15" s="6">
        <f>'Table Games'!J14+Video!F12</f>
        <v>58861.29</v>
      </c>
      <c r="L15" s="6">
        <f>'Table Games'!K14+Video!G12</f>
        <v>13058.3</v>
      </c>
      <c r="M15" s="6">
        <f>Video!H12</f>
        <v>1387.83</v>
      </c>
      <c r="N15" s="6">
        <f>'Table Games'!L14+Video!I12</f>
        <v>116991.35</v>
      </c>
    </row>
    <row r="16" spans="1:14" ht="15" customHeight="1" x14ac:dyDescent="0.25">
      <c r="A16" s="10">
        <f t="shared" si="0"/>
        <v>45528</v>
      </c>
      <c r="B16" s="6">
        <f>'Table Games'!B15</f>
        <v>246018</v>
      </c>
      <c r="C16" s="6">
        <f>'Table Games'!C15</f>
        <v>2067</v>
      </c>
      <c r="D16" s="6">
        <f>'Table Games'!D15</f>
        <v>1015</v>
      </c>
      <c r="E16" s="6">
        <f>'Table Games'!E15</f>
        <v>0</v>
      </c>
      <c r="F16" s="6">
        <f>'Table Games'!F15</f>
        <v>2770</v>
      </c>
      <c r="G16" s="6">
        <f>'Table Games'!G15</f>
        <v>1050</v>
      </c>
      <c r="H16" s="6">
        <f>'Table Games'!H15</f>
        <v>8858</v>
      </c>
      <c r="I16" s="6">
        <f>'Table Games'!I15</f>
        <v>261778</v>
      </c>
      <c r="J16" s="6">
        <f>Video!E13</f>
        <v>77303.739999999991</v>
      </c>
      <c r="K16" s="6">
        <f>'Table Games'!J15+Video!F13</f>
        <v>106362.73999999999</v>
      </c>
      <c r="L16" s="6">
        <f>'Table Games'!K15+Video!G13</f>
        <v>26230.53</v>
      </c>
      <c r="M16" s="6">
        <f>Video!H13</f>
        <v>3633.27</v>
      </c>
      <c r="N16" s="6">
        <f>'Table Games'!L15+Video!I13</f>
        <v>202855.2</v>
      </c>
    </row>
    <row r="17" spans="1:14" ht="15" customHeight="1" x14ac:dyDescent="0.25">
      <c r="A17" s="10">
        <f t="shared" si="0"/>
        <v>45535</v>
      </c>
      <c r="B17" s="6">
        <f>'Table Games'!B16</f>
        <v>15999.5</v>
      </c>
      <c r="C17" s="6">
        <f>'Table Games'!C16</f>
        <v>-8401</v>
      </c>
      <c r="D17" s="6">
        <f>'Table Games'!D16</f>
        <v>0</v>
      </c>
      <c r="E17" s="6">
        <f>'Table Games'!E16</f>
        <v>0</v>
      </c>
      <c r="F17" s="6">
        <f>'Table Games'!F16</f>
        <v>5446</v>
      </c>
      <c r="G17" s="6">
        <f>'Table Games'!G16</f>
        <v>1098</v>
      </c>
      <c r="H17" s="6">
        <f>'Table Games'!H16</f>
        <v>5782</v>
      </c>
      <c r="I17" s="6">
        <f>'Table Games'!I16</f>
        <v>19924.5</v>
      </c>
      <c r="J17" s="6">
        <f>Video!E14</f>
        <v>48201.400000000023</v>
      </c>
      <c r="K17" s="6">
        <f>'Table Games'!J16+Video!F14</f>
        <v>23329.85</v>
      </c>
      <c r="L17" s="6">
        <f>'Table Games'!K16+Video!G14</f>
        <v>9190.4599999999991</v>
      </c>
      <c r="M17" s="6">
        <f>Video!H14</f>
        <v>2265.4699999999998</v>
      </c>
      <c r="N17" s="6">
        <f>'Table Games'!L16+Video!I14</f>
        <v>33340.119999999995</v>
      </c>
    </row>
    <row r="18" spans="1:14" ht="15" customHeight="1" x14ac:dyDescent="0.25">
      <c r="A18" s="10">
        <f t="shared" si="0"/>
        <v>45542</v>
      </c>
      <c r="B18" s="6">
        <f>'Table Games'!B17</f>
        <v>40906</v>
      </c>
      <c r="C18" s="6">
        <f>'Table Games'!C17</f>
        <v>5066</v>
      </c>
      <c r="D18" s="6">
        <f>'Table Games'!D17</f>
        <v>0</v>
      </c>
      <c r="E18" s="6">
        <f>'Table Games'!E17</f>
        <v>0</v>
      </c>
      <c r="F18" s="6">
        <f>'Table Games'!F17</f>
        <v>5384</v>
      </c>
      <c r="G18" s="6">
        <f>'Table Games'!G17</f>
        <v>0</v>
      </c>
      <c r="H18" s="6">
        <f>'Table Games'!H17</f>
        <v>10655</v>
      </c>
      <c r="I18" s="6">
        <f>'Table Games'!I17</f>
        <v>62011</v>
      </c>
      <c r="J18" s="6">
        <f>Video!E15</f>
        <v>53244.009999999893</v>
      </c>
      <c r="K18" s="6">
        <f>'Table Games'!J17+Video!F15</f>
        <v>37771.160000000003</v>
      </c>
      <c r="L18" s="6">
        <f>'Table Games'!K17+Video!G15</f>
        <v>12152.02</v>
      </c>
      <c r="M18" s="6">
        <f>Video!H15</f>
        <v>2502.4599999999996</v>
      </c>
      <c r="N18" s="6">
        <f>'Table Games'!L17+Video!I15</f>
        <v>62829.37</v>
      </c>
    </row>
    <row r="19" spans="1:14" ht="15" customHeight="1" x14ac:dyDescent="0.25">
      <c r="A19" s="10">
        <f t="shared" si="0"/>
        <v>45549</v>
      </c>
      <c r="B19" s="6">
        <f>'Table Games'!B18</f>
        <v>22408</v>
      </c>
      <c r="C19" s="6">
        <f>'Table Games'!C18</f>
        <v>-1214</v>
      </c>
      <c r="D19" s="6">
        <f>'Table Games'!D18</f>
        <v>0</v>
      </c>
      <c r="E19" s="6">
        <f>'Table Games'!E18</f>
        <v>0</v>
      </c>
      <c r="F19" s="6">
        <f>'Table Games'!F18</f>
        <v>10536</v>
      </c>
      <c r="G19" s="6">
        <f>'Table Games'!G18</f>
        <v>0</v>
      </c>
      <c r="H19" s="6">
        <f>'Table Games'!H18</f>
        <v>2526.9969999999994</v>
      </c>
      <c r="I19" s="6">
        <f>'Table Games'!I18</f>
        <v>34256.997000000003</v>
      </c>
      <c r="J19" s="6">
        <f>Video!E16</f>
        <v>45307.570000000065</v>
      </c>
      <c r="K19" s="6">
        <f>'Table Games'!J18+Video!F16</f>
        <v>26587.809999999998</v>
      </c>
      <c r="L19" s="6">
        <f>'Table Games'!K18+Video!G16</f>
        <v>9415.14</v>
      </c>
      <c r="M19" s="6">
        <f>Video!H16</f>
        <v>2129.4700000000003</v>
      </c>
      <c r="N19" s="6">
        <f>'Table Games'!L18+Video!I16</f>
        <v>41432.149999999994</v>
      </c>
    </row>
    <row r="20" spans="1:14" ht="15" customHeight="1" x14ac:dyDescent="0.25">
      <c r="A20" s="10">
        <f t="shared" si="0"/>
        <v>45556</v>
      </c>
      <c r="B20" s="6">
        <f>'Table Games'!B19</f>
        <v>107344.5</v>
      </c>
      <c r="C20" s="6">
        <f>'Table Games'!C19</f>
        <v>3944</v>
      </c>
      <c r="D20" s="6">
        <f>'Table Games'!D19</f>
        <v>0</v>
      </c>
      <c r="E20" s="6">
        <f>'Table Games'!E19</f>
        <v>0</v>
      </c>
      <c r="F20" s="6">
        <f>'Table Games'!F19</f>
        <v>6086</v>
      </c>
      <c r="G20" s="6">
        <f>'Table Games'!G19</f>
        <v>0</v>
      </c>
      <c r="H20" s="6">
        <f>'Table Games'!H19</f>
        <v>9465</v>
      </c>
      <c r="I20" s="6">
        <f>'Table Games'!I19</f>
        <v>126839.5</v>
      </c>
      <c r="J20" s="6">
        <f>Video!E17</f>
        <v>102598.19999999995</v>
      </c>
      <c r="K20" s="6">
        <f>'Table Games'!J19+Video!F17</f>
        <v>74987.199999999997</v>
      </c>
      <c r="L20" s="6">
        <f>'Table Games'!K19+Video!G17</f>
        <v>23783.679999999997</v>
      </c>
      <c r="M20" s="6">
        <f>Video!H17</f>
        <v>4822.1099999999997</v>
      </c>
      <c r="N20" s="6">
        <f>'Table Games'!L19+Video!I17</f>
        <v>125844.70999999999</v>
      </c>
    </row>
    <row r="21" spans="1:14" ht="15" customHeight="1" x14ac:dyDescent="0.25">
      <c r="A21" s="10">
        <f t="shared" si="0"/>
        <v>45563</v>
      </c>
      <c r="B21" s="6">
        <f>'Table Games'!B20</f>
        <v>14050.5</v>
      </c>
      <c r="C21" s="6">
        <f>'Table Games'!C20</f>
        <v>4560</v>
      </c>
      <c r="D21" s="6">
        <f>'Table Games'!D20</f>
        <v>0</v>
      </c>
      <c r="E21" s="6">
        <f>'Table Games'!E20</f>
        <v>0</v>
      </c>
      <c r="F21" s="6">
        <f>'Table Games'!F20</f>
        <v>12135</v>
      </c>
      <c r="G21" s="6">
        <f>'Table Games'!G20</f>
        <v>0</v>
      </c>
      <c r="H21" s="6">
        <f>'Table Games'!H20</f>
        <v>1065</v>
      </c>
      <c r="I21" s="6">
        <f>'Table Games'!I20</f>
        <v>31810.5</v>
      </c>
      <c r="J21" s="6">
        <f>Video!E18</f>
        <v>18610.589999999967</v>
      </c>
      <c r="K21" s="6">
        <f>'Table Games'!J20+Video!F18</f>
        <v>16242.95</v>
      </c>
      <c r="L21" s="6">
        <f>'Table Games'!K20+Video!G18</f>
        <v>4754.33</v>
      </c>
      <c r="M21" s="6">
        <f>Video!H18</f>
        <v>874.71</v>
      </c>
      <c r="N21" s="6">
        <f>'Table Games'!L20+Video!I18</f>
        <v>28549.100000000002</v>
      </c>
    </row>
    <row r="22" spans="1:14" ht="15" customHeight="1" x14ac:dyDescent="0.25">
      <c r="A22" s="10">
        <f t="shared" si="0"/>
        <v>45570</v>
      </c>
      <c r="B22" s="6">
        <f>'Table Games'!B21</f>
        <v>94564</v>
      </c>
      <c r="C22" s="6">
        <f>'Table Games'!C21</f>
        <v>19440</v>
      </c>
      <c r="D22" s="6">
        <f>'Table Games'!D21</f>
        <v>-7923.75</v>
      </c>
      <c r="E22" s="6">
        <f>'Table Games'!E21</f>
        <v>0</v>
      </c>
      <c r="F22" s="6">
        <f>'Table Games'!F21</f>
        <v>7491</v>
      </c>
      <c r="G22" s="6">
        <f>'Table Games'!G21</f>
        <v>-4210</v>
      </c>
      <c r="H22" s="6">
        <f>'Table Games'!H21</f>
        <v>0</v>
      </c>
      <c r="I22" s="6">
        <f>'Table Games'!I21</f>
        <v>109361.25</v>
      </c>
      <c r="J22" s="6">
        <f>Video!E19</f>
        <v>14912.45000000007</v>
      </c>
      <c r="K22" s="6">
        <f>'Table Games'!J21+Video!F19</f>
        <v>38176.85</v>
      </c>
      <c r="L22" s="6">
        <f>'Table Games'!K21+Video!G19</f>
        <v>8003.18</v>
      </c>
      <c r="M22" s="6">
        <f>Video!H19</f>
        <v>700.89</v>
      </c>
      <c r="N22" s="6">
        <f>'Table Games'!L21+Video!I19</f>
        <v>77392.78</v>
      </c>
    </row>
    <row r="23" spans="1:14" ht="15" customHeight="1" x14ac:dyDescent="0.25">
      <c r="A23" s="10">
        <f t="shared" si="0"/>
        <v>45577</v>
      </c>
      <c r="B23" s="6">
        <f>'Table Games'!B22</f>
        <v>42620.5</v>
      </c>
      <c r="C23" s="6">
        <f>'Table Games'!C22</f>
        <v>-47307</v>
      </c>
      <c r="D23" s="6">
        <f>'Table Games'!D22</f>
        <v>0</v>
      </c>
      <c r="E23" s="6">
        <f>'Table Games'!E22</f>
        <v>0</v>
      </c>
      <c r="F23" s="6">
        <f>'Table Games'!F22</f>
        <v>17634</v>
      </c>
      <c r="G23" s="6">
        <f>'Table Games'!G22</f>
        <v>0</v>
      </c>
      <c r="H23" s="6">
        <f>'Table Games'!H22</f>
        <v>0</v>
      </c>
      <c r="I23" s="6">
        <f>'Table Games'!I22</f>
        <v>12947.5</v>
      </c>
      <c r="J23" s="6">
        <f>Video!E20</f>
        <v>56663.689999999944</v>
      </c>
      <c r="K23" s="6">
        <f>'Table Games'!J22+Video!F20</f>
        <v>24283.170000000002</v>
      </c>
      <c r="L23" s="6">
        <f>'Table Games'!K22+Video!G20</f>
        <v>10280.209999999999</v>
      </c>
      <c r="M23" s="6">
        <f>Video!H20</f>
        <v>2663.19</v>
      </c>
      <c r="N23" s="6">
        <f>'Table Games'!L22+Video!I20</f>
        <v>32384.62</v>
      </c>
    </row>
    <row r="24" spans="1:14" ht="15" customHeight="1" x14ac:dyDescent="0.25">
      <c r="A24" s="10">
        <f t="shared" si="0"/>
        <v>45584</v>
      </c>
      <c r="B24" s="6">
        <f>'Table Games'!B23</f>
        <v>67845.5</v>
      </c>
      <c r="C24" s="6">
        <f>'Table Games'!C23</f>
        <v>9124</v>
      </c>
      <c r="D24" s="6">
        <f>'Table Games'!D23</f>
        <v>0</v>
      </c>
      <c r="E24" s="6">
        <f>'Table Games'!E23</f>
        <v>160</v>
      </c>
      <c r="F24" s="6">
        <f>'Table Games'!F23</f>
        <v>1410</v>
      </c>
      <c r="G24" s="6">
        <f>'Table Games'!G23</f>
        <v>390</v>
      </c>
      <c r="H24" s="6">
        <f>'Table Games'!H23</f>
        <v>0</v>
      </c>
      <c r="I24" s="6">
        <f>'Table Games'!I23</f>
        <v>78929.5</v>
      </c>
      <c r="J24" s="6">
        <f>Video!E21</f>
        <v>28517.380000000121</v>
      </c>
      <c r="K24" s="6">
        <f>'Table Games'!J23+Video!F21</f>
        <v>33945.1</v>
      </c>
      <c r="L24" s="6">
        <f>'Table Games'!K23+Video!G21</f>
        <v>8794.44</v>
      </c>
      <c r="M24" s="6">
        <f>Video!H21</f>
        <v>1340.32</v>
      </c>
      <c r="N24" s="6">
        <f>'Table Games'!L23+Video!I21</f>
        <v>63367.02</v>
      </c>
    </row>
    <row r="25" spans="1:14" ht="15" customHeight="1" x14ac:dyDescent="0.25">
      <c r="A25" s="10">
        <f t="shared" si="0"/>
        <v>45591</v>
      </c>
      <c r="B25" s="6">
        <f>'Table Games'!B24</f>
        <v>40929</v>
      </c>
      <c r="C25" s="6">
        <f>'Table Games'!C24</f>
        <v>7118</v>
      </c>
      <c r="D25" s="6">
        <f>'Table Games'!D24</f>
        <v>0</v>
      </c>
      <c r="E25" s="6">
        <f>'Table Games'!E24</f>
        <v>110</v>
      </c>
      <c r="F25" s="6">
        <f>'Table Games'!F24</f>
        <v>25683</v>
      </c>
      <c r="G25" s="6">
        <f>'Table Games'!G24</f>
        <v>0</v>
      </c>
      <c r="H25" s="6">
        <f>'Table Games'!H24</f>
        <v>0</v>
      </c>
      <c r="I25" s="6">
        <f>'Table Games'!I24</f>
        <v>73840</v>
      </c>
      <c r="J25" s="6">
        <f>Video!E22</f>
        <v>74359.279999999912</v>
      </c>
      <c r="K25" s="6">
        <f>'Table Games'!J24+Video!F22</f>
        <v>48921.35</v>
      </c>
      <c r="L25" s="6">
        <f>'Table Games'!K24+Video!G22</f>
        <v>16333.07</v>
      </c>
      <c r="M25" s="6">
        <f>Video!H22</f>
        <v>3494.89</v>
      </c>
      <c r="N25" s="6">
        <f>'Table Games'!L24+Video!I22</f>
        <v>79449.97</v>
      </c>
    </row>
    <row r="26" spans="1:14" ht="15" customHeight="1" x14ac:dyDescent="0.25">
      <c r="A26" s="10">
        <f t="shared" si="0"/>
        <v>45598</v>
      </c>
      <c r="B26" s="6">
        <f>'Table Games'!B25</f>
        <v>56250.5</v>
      </c>
      <c r="C26" s="6">
        <f>'Table Games'!C25</f>
        <v>2928</v>
      </c>
      <c r="D26" s="6">
        <f>'Table Games'!D25</f>
        <v>0</v>
      </c>
      <c r="E26" s="6">
        <f>'Table Games'!E25</f>
        <v>130</v>
      </c>
      <c r="F26" s="6">
        <f>'Table Games'!F25</f>
        <v>16036</v>
      </c>
      <c r="G26" s="6">
        <f>'Table Games'!G25</f>
        <v>0</v>
      </c>
      <c r="H26" s="6">
        <f>'Table Games'!H25</f>
        <v>0</v>
      </c>
      <c r="I26" s="6">
        <f>'Table Games'!I25</f>
        <v>75344.5</v>
      </c>
      <c r="J26" s="6">
        <f>Video!E23</f>
        <v>126856.93000000017</v>
      </c>
      <c r="K26" s="6">
        <f>'Table Games'!J25+Video!F23</f>
        <v>68271.820000000007</v>
      </c>
      <c r="L26" s="6">
        <f>'Table Games'!K25+Video!G23</f>
        <v>25332.91</v>
      </c>
      <c r="M26" s="6">
        <f>Video!H23</f>
        <v>5962.29</v>
      </c>
      <c r="N26" s="6">
        <f>'Table Games'!L25+Video!I23</f>
        <v>102634.41</v>
      </c>
    </row>
    <row r="27" spans="1:14" ht="15" customHeight="1" x14ac:dyDescent="0.25">
      <c r="A27" s="10">
        <f t="shared" si="0"/>
        <v>45605</v>
      </c>
      <c r="B27" s="6">
        <f>'Table Games'!B26</f>
        <v>103385.5</v>
      </c>
      <c r="C27" s="6">
        <f>'Table Games'!C26</f>
        <v>804</v>
      </c>
      <c r="D27" s="6">
        <f>'Table Games'!D26</f>
        <v>0</v>
      </c>
      <c r="E27" s="6">
        <f>'Table Games'!E26</f>
        <v>100</v>
      </c>
      <c r="F27" s="6">
        <f>'Table Games'!F26</f>
        <v>17437</v>
      </c>
      <c r="G27" s="6">
        <f>'Table Games'!G26</f>
        <v>0</v>
      </c>
      <c r="H27" s="6">
        <f>'Table Games'!H26</f>
        <v>0</v>
      </c>
      <c r="I27" s="6">
        <f>'Table Games'!I26</f>
        <v>121726.5</v>
      </c>
      <c r="J27" s="6">
        <f>Video!E24</f>
        <v>1632.8299999998417</v>
      </c>
      <c r="K27" s="6">
        <f>'Table Games'!J26+Video!F24</f>
        <v>37105.759999999995</v>
      </c>
      <c r="L27" s="6">
        <f>'Table Games'!K26+Video!G24</f>
        <v>6363.92</v>
      </c>
      <c r="M27" s="6">
        <f>Video!H24</f>
        <v>76.739999999999995</v>
      </c>
      <c r="N27" s="6">
        <f>'Table Games'!L26+Video!I24</f>
        <v>79812.91</v>
      </c>
    </row>
    <row r="28" spans="1:14" ht="15" customHeight="1" x14ac:dyDescent="0.25">
      <c r="A28" s="10">
        <f t="shared" si="0"/>
        <v>45612</v>
      </c>
      <c r="B28" s="6">
        <f>'Table Games'!B27</f>
        <v>34983.5</v>
      </c>
      <c r="C28" s="6">
        <f>'Table Games'!C27</f>
        <v>11297</v>
      </c>
      <c r="D28" s="6">
        <f>'Table Games'!D27</f>
        <v>0</v>
      </c>
      <c r="E28" s="6">
        <f>'Table Games'!E27</f>
        <v>130</v>
      </c>
      <c r="F28" s="6">
        <f>'Table Games'!F27</f>
        <v>7392</v>
      </c>
      <c r="G28" s="6">
        <f>'Table Games'!G27</f>
        <v>0</v>
      </c>
      <c r="H28" s="6">
        <f>'Table Games'!H27</f>
        <v>0</v>
      </c>
      <c r="I28" s="6">
        <f>'Table Games'!I27</f>
        <v>53802.5</v>
      </c>
      <c r="J28" s="6">
        <f>Video!E25</f>
        <v>31800.22000000003</v>
      </c>
      <c r="K28" s="6">
        <f>'Table Games'!J27+Video!F25</f>
        <v>27588.83</v>
      </c>
      <c r="L28" s="6">
        <f>'Table Games'!K27+Video!G25</f>
        <v>8096.18</v>
      </c>
      <c r="M28" s="6">
        <f>Video!H25</f>
        <v>1494.61</v>
      </c>
      <c r="N28" s="6">
        <f>'Table Games'!L27+Video!I25</f>
        <v>48423.099999999991</v>
      </c>
    </row>
    <row r="29" spans="1:14" ht="15" customHeight="1" x14ac:dyDescent="0.25">
      <c r="A29" s="10">
        <f t="shared" si="0"/>
        <v>45619</v>
      </c>
      <c r="B29" s="6">
        <f>'Table Games'!B28</f>
        <v>38332.5</v>
      </c>
      <c r="C29" s="6">
        <f>'Table Games'!C28</f>
        <v>17347</v>
      </c>
      <c r="D29" s="6">
        <f>'Table Games'!D28</f>
        <v>0</v>
      </c>
      <c r="E29" s="6">
        <f>'Table Games'!E28</f>
        <v>130</v>
      </c>
      <c r="F29" s="6">
        <f>'Table Games'!F28</f>
        <v>-5202</v>
      </c>
      <c r="G29" s="6">
        <f>'Table Games'!G28</f>
        <v>0</v>
      </c>
      <c r="H29" s="6">
        <f>'Table Games'!H28</f>
        <v>4445</v>
      </c>
      <c r="I29" s="6">
        <f>'Table Games'!I28</f>
        <v>55052.5</v>
      </c>
      <c r="J29" s="6">
        <f>Video!E26</f>
        <v>98391.150000000067</v>
      </c>
      <c r="K29" s="6">
        <f>'Table Games'!J28+Video!F26</f>
        <v>51936.549999999996</v>
      </c>
      <c r="L29" s="6">
        <f>'Table Games'!K28+Video!G26</f>
        <v>19479.13</v>
      </c>
      <c r="M29" s="6">
        <f>Video!H26</f>
        <v>4624.3900000000003</v>
      </c>
      <c r="N29" s="6">
        <f>'Table Games'!L28+Video!I26</f>
        <v>77403.579999999987</v>
      </c>
    </row>
    <row r="30" spans="1:14" ht="15" customHeight="1" x14ac:dyDescent="0.25">
      <c r="A30" s="10">
        <f t="shared" si="0"/>
        <v>45626</v>
      </c>
      <c r="B30" s="6">
        <f>'Table Games'!B29</f>
        <v>-6815.5</v>
      </c>
      <c r="C30" s="6">
        <f>'Table Games'!C29</f>
        <v>-11721</v>
      </c>
      <c r="D30" s="6">
        <f>'Table Games'!D29</f>
        <v>0</v>
      </c>
      <c r="E30" s="6">
        <f>'Table Games'!E29</f>
        <v>90</v>
      </c>
      <c r="F30" s="6">
        <f>'Table Games'!F29</f>
        <v>5060</v>
      </c>
      <c r="G30" s="6">
        <f>'Table Games'!G29</f>
        <v>0</v>
      </c>
      <c r="H30" s="6">
        <f>'Table Games'!H29</f>
        <v>11584</v>
      </c>
      <c r="I30" s="6">
        <f>'Table Games'!I29</f>
        <v>-1802.5</v>
      </c>
      <c r="J30" s="6">
        <f>Video!E27</f>
        <v>37326.399999999907</v>
      </c>
      <c r="K30" s="6">
        <f>'Table Games'!J29+Video!F27</f>
        <v>12896.75</v>
      </c>
      <c r="L30" s="6">
        <f>'Table Games'!K29+Video!G27</f>
        <v>6255.36</v>
      </c>
      <c r="M30" s="6">
        <f>Video!H27</f>
        <v>1754.34</v>
      </c>
      <c r="N30" s="6">
        <f>'Table Games'!L29+Video!I27</f>
        <v>14617.449999999999</v>
      </c>
    </row>
    <row r="31" spans="1:14" ht="15" customHeight="1" x14ac:dyDescent="0.25">
      <c r="A31" s="10">
        <f t="shared" si="0"/>
        <v>45633</v>
      </c>
      <c r="B31" s="6">
        <f>'Table Games'!B30</f>
        <v>39607.5</v>
      </c>
      <c r="C31" s="6">
        <f>'Table Games'!C30</f>
        <v>9668</v>
      </c>
      <c r="D31" s="6">
        <f>'Table Games'!D30</f>
        <v>0</v>
      </c>
      <c r="E31" s="6">
        <f>'Table Games'!E30</f>
        <v>130</v>
      </c>
      <c r="F31" s="6">
        <f>'Table Games'!F30</f>
        <v>6554</v>
      </c>
      <c r="G31" s="6">
        <f>'Table Games'!G30</f>
        <v>0</v>
      </c>
      <c r="H31" s="6">
        <f>'Table Games'!H30</f>
        <v>4066</v>
      </c>
      <c r="I31" s="6">
        <f>'Table Games'!I30</f>
        <v>60025.5</v>
      </c>
      <c r="J31" s="6">
        <f>Video!E28</f>
        <v>66868.430000000051</v>
      </c>
      <c r="K31" s="6">
        <f>'Table Games'!J30+Video!F28</f>
        <v>42080.29</v>
      </c>
      <c r="L31" s="6">
        <f>'Table Games'!K30+Video!G28</f>
        <v>14368.91</v>
      </c>
      <c r="M31" s="6">
        <f>Video!H28</f>
        <v>3142.82</v>
      </c>
      <c r="N31" s="6">
        <f>'Table Games'!L30+Video!I28</f>
        <v>67301.91</v>
      </c>
    </row>
    <row r="32" spans="1:14" ht="15" customHeight="1" x14ac:dyDescent="0.25">
      <c r="A32" s="10">
        <f t="shared" si="0"/>
        <v>45640</v>
      </c>
      <c r="B32" s="6">
        <f>'Table Games'!B31</f>
        <v>-6936.5</v>
      </c>
      <c r="C32" s="6">
        <f>'Table Games'!C31</f>
        <v>28043</v>
      </c>
      <c r="D32" s="6">
        <f>'Table Games'!D31</f>
        <v>0</v>
      </c>
      <c r="E32" s="6">
        <f>'Table Games'!E31</f>
        <v>0</v>
      </c>
      <c r="F32" s="6">
        <f>'Table Games'!F31</f>
        <v>10034</v>
      </c>
      <c r="G32" s="6">
        <f>'Table Games'!G31</f>
        <v>0</v>
      </c>
      <c r="H32" s="6">
        <f>'Table Games'!H31</f>
        <v>2144</v>
      </c>
      <c r="I32" s="6">
        <f>'Table Games'!I31</f>
        <v>33284.5</v>
      </c>
      <c r="J32" s="6">
        <f>Video!E29</f>
        <v>62575.360000000102</v>
      </c>
      <c r="K32" s="6">
        <f>'Table Games'!J31+Video!F29</f>
        <v>32512.47</v>
      </c>
      <c r="L32" s="6">
        <f>'Table Games'!K31+Video!G29</f>
        <v>12302.039999999999</v>
      </c>
      <c r="M32" s="6">
        <f>Video!H29</f>
        <v>2941.04</v>
      </c>
      <c r="N32" s="6">
        <f>'Table Games'!L31+Video!I29</f>
        <v>48104.31</v>
      </c>
    </row>
    <row r="33" spans="1:14" ht="15" customHeight="1" x14ac:dyDescent="0.25">
      <c r="A33" s="10">
        <f t="shared" si="0"/>
        <v>45647</v>
      </c>
      <c r="B33" s="6">
        <f>'Table Games'!B32</f>
        <v>286327</v>
      </c>
      <c r="C33" s="6">
        <f>'Table Games'!C32</f>
        <v>26688</v>
      </c>
      <c r="D33" s="6">
        <f>'Table Games'!D32</f>
        <v>0</v>
      </c>
      <c r="E33" s="6">
        <f>'Table Games'!E32</f>
        <v>0</v>
      </c>
      <c r="F33" s="6">
        <f>'Table Games'!F32</f>
        <v>17707</v>
      </c>
      <c r="G33" s="6">
        <f>'Table Games'!G32</f>
        <v>400</v>
      </c>
      <c r="H33" s="6">
        <f>'Table Games'!H32</f>
        <v>7919</v>
      </c>
      <c r="I33" s="6">
        <f>'Table Games'!I32</f>
        <v>339041</v>
      </c>
      <c r="J33" s="6">
        <f>Video!E30</f>
        <v>97303.979999999981</v>
      </c>
      <c r="K33" s="6">
        <f>'Table Games'!J32+Video!F30</f>
        <v>136741.74</v>
      </c>
      <c r="L33" s="6">
        <f>'Table Games'!K32+Video!G30</f>
        <v>33493.72</v>
      </c>
      <c r="M33" s="6">
        <f>Video!H30</f>
        <v>4573.28</v>
      </c>
      <c r="N33" s="6">
        <f>'Table Games'!L32+Video!I30</f>
        <v>261536.24</v>
      </c>
    </row>
    <row r="34" spans="1:14" ht="15" customHeight="1" x14ac:dyDescent="0.25">
      <c r="A34" s="10">
        <f t="shared" si="0"/>
        <v>45654</v>
      </c>
      <c r="B34" s="6">
        <f>'Table Games'!B33</f>
        <v>126858</v>
      </c>
      <c r="C34" s="6">
        <f>'Table Games'!C33</f>
        <v>27726</v>
      </c>
      <c r="D34" s="6">
        <f>'Table Games'!D33</f>
        <v>0</v>
      </c>
      <c r="E34" s="6">
        <f>'Table Games'!E33</f>
        <v>0</v>
      </c>
      <c r="F34" s="6">
        <f>'Table Games'!F33</f>
        <v>-46849</v>
      </c>
      <c r="G34" s="6">
        <f>'Table Games'!G33</f>
        <v>0</v>
      </c>
      <c r="H34" s="6">
        <f>'Table Games'!H33</f>
        <v>13077</v>
      </c>
      <c r="I34" s="6">
        <f>'Table Games'!I33</f>
        <v>120812</v>
      </c>
      <c r="J34" s="6">
        <f>Video!E31</f>
        <v>62666.679999999935</v>
      </c>
      <c r="K34" s="6">
        <f>'Table Games'!J33+Video!F31</f>
        <v>58803.61</v>
      </c>
      <c r="L34" s="6">
        <f>'Table Games'!K33+Video!G31</f>
        <v>16693.93</v>
      </c>
      <c r="M34" s="6">
        <f>Video!H31</f>
        <v>2945.34</v>
      </c>
      <c r="N34" s="6">
        <f>'Table Games'!L33+Video!I31</f>
        <v>105035.8</v>
      </c>
    </row>
    <row r="35" spans="1:14" ht="15" customHeight="1" x14ac:dyDescent="0.25">
      <c r="A35" s="10">
        <f t="shared" si="0"/>
        <v>45661</v>
      </c>
      <c r="B35" s="6">
        <f>'Table Games'!B34</f>
        <v>131367.5</v>
      </c>
      <c r="C35" s="6">
        <f>'Table Games'!C34</f>
        <v>33238</v>
      </c>
      <c r="D35" s="6">
        <f>'Table Games'!D34</f>
        <v>-17023.75</v>
      </c>
      <c r="E35" s="6">
        <f>'Table Games'!E34</f>
        <v>0</v>
      </c>
      <c r="F35" s="6">
        <f>'Table Games'!F34</f>
        <v>18723</v>
      </c>
      <c r="G35" s="6">
        <f>'Table Games'!G34</f>
        <v>22125</v>
      </c>
      <c r="H35" s="6">
        <f>'Table Games'!H34</f>
        <v>12005</v>
      </c>
      <c r="I35" s="6">
        <f>'Table Games'!I34</f>
        <v>200434.75</v>
      </c>
      <c r="J35" s="6">
        <f>Video!E32</f>
        <v>154952.19000000018</v>
      </c>
      <c r="K35" s="6">
        <f>'Table Games'!J34+Video!F32</f>
        <v>115913.20999999999</v>
      </c>
      <c r="L35" s="6">
        <f>'Table Games'!K34+Video!G32</f>
        <v>36363.599999999999</v>
      </c>
      <c r="M35" s="6">
        <f>Video!H32</f>
        <v>7282.77</v>
      </c>
      <c r="N35" s="6">
        <f>'Table Games'!L34+Video!I32</f>
        <v>195827.36</v>
      </c>
    </row>
    <row r="36" spans="1:14" ht="15" customHeight="1" x14ac:dyDescent="0.25">
      <c r="A36" s="10">
        <f t="shared" si="0"/>
        <v>45668</v>
      </c>
      <c r="B36" s="6">
        <f>'Table Games'!B35</f>
        <v>-4659.5</v>
      </c>
      <c r="C36" s="6">
        <f>'Table Games'!C35</f>
        <v>1111</v>
      </c>
      <c r="D36" s="6">
        <f>'Table Games'!D35</f>
        <v>0</v>
      </c>
      <c r="E36" s="6">
        <f>'Table Games'!E35</f>
        <v>0</v>
      </c>
      <c r="F36" s="6">
        <f>'Table Games'!F35</f>
        <v>-2387</v>
      </c>
      <c r="G36" s="6">
        <f>'Table Games'!G35</f>
        <v>0</v>
      </c>
      <c r="H36" s="6">
        <f>'Table Games'!H35</f>
        <v>1809</v>
      </c>
      <c r="I36" s="6">
        <f>'Table Games'!I35</f>
        <v>-4126.5</v>
      </c>
      <c r="J36" s="6">
        <f>Video!E33</f>
        <v>14963.109999999986</v>
      </c>
      <c r="K36" s="6">
        <f>'Table Games'!J35+Video!F33</f>
        <v>4148.75</v>
      </c>
      <c r="L36" s="6">
        <f>'Table Games'!K35+Video!G33</f>
        <v>2337.39</v>
      </c>
      <c r="M36" s="6">
        <f>Video!H33</f>
        <v>703.27</v>
      </c>
      <c r="N36" s="6">
        <f>'Table Games'!L35+Video!I33</f>
        <v>3647.2000000000003</v>
      </c>
    </row>
    <row r="37" spans="1:14" ht="15" customHeight="1" x14ac:dyDescent="0.25">
      <c r="A37" s="10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ht="15" customHeight="1" thickBot="1" x14ac:dyDescent="0.3">
      <c r="B38" s="7">
        <f t="shared" ref="B38:N38" si="1">SUM(B9:B37)</f>
        <v>1941936</v>
      </c>
      <c r="C38" s="7">
        <f t="shared" si="1"/>
        <v>216676</v>
      </c>
      <c r="D38" s="7">
        <f t="shared" si="1"/>
        <v>-962.5</v>
      </c>
      <c r="E38" s="7">
        <f t="shared" si="1"/>
        <v>980</v>
      </c>
      <c r="F38" s="7">
        <f t="shared" si="1"/>
        <v>190436</v>
      </c>
      <c r="G38" s="7">
        <f t="shared" si="1"/>
        <v>5533</v>
      </c>
      <c r="H38" s="7">
        <f t="shared" si="1"/>
        <v>157168.997</v>
      </c>
      <c r="I38" s="7">
        <f t="shared" si="1"/>
        <v>2511767.497</v>
      </c>
      <c r="J38" s="7">
        <f t="shared" si="1"/>
        <v>1695447.0899999999</v>
      </c>
      <c r="K38" s="7">
        <f t="shared" si="1"/>
        <v>1363891.0799999998</v>
      </c>
      <c r="L38" s="7">
        <f t="shared" si="1"/>
        <v>413814.42999999988</v>
      </c>
      <c r="M38" s="7">
        <f t="shared" si="1"/>
        <v>79686.080000000002</v>
      </c>
      <c r="N38" s="7">
        <f t="shared" si="1"/>
        <v>2349823</v>
      </c>
    </row>
    <row r="39" spans="1:14" ht="15" customHeight="1" thickTop="1" x14ac:dyDescent="0.25"/>
    <row r="40" spans="1:14" ht="15" customHeight="1" x14ac:dyDescent="0.25">
      <c r="A40" s="15" t="s">
        <v>31</v>
      </c>
    </row>
    <row r="41" spans="1:14" ht="15" customHeight="1" x14ac:dyDescent="0.25">
      <c r="A41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7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9"/>
  <sheetViews>
    <sheetView zoomScaleNormal="100" workbookViewId="0">
      <pane ySplit="5" topLeftCell="A12" activePane="bottomLeft" state="frozen"/>
      <selection pane="bottomLeft" activeCell="A36" sqref="A36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22</v>
      </c>
      <c r="C2" s="9">
        <v>2</v>
      </c>
      <c r="D2" s="4">
        <v>1</v>
      </c>
      <c r="E2" s="4"/>
      <c r="F2" s="4">
        <v>2</v>
      </c>
      <c r="G2" s="4">
        <v>1</v>
      </c>
      <c r="H2" s="4">
        <v>2</v>
      </c>
      <c r="I2" s="4">
        <f>SUM(B2:H2)</f>
        <v>30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33</v>
      </c>
      <c r="B4" s="14">
        <v>4331221.9969999995</v>
      </c>
      <c r="C4" s="14">
        <v>735138</v>
      </c>
      <c r="D4" s="14">
        <v>6904.25</v>
      </c>
      <c r="E4" s="14">
        <v>2095</v>
      </c>
      <c r="F4" s="14">
        <v>535505</v>
      </c>
      <c r="G4" s="14">
        <v>9561</v>
      </c>
      <c r="H4" s="14">
        <v>436137</v>
      </c>
      <c r="I4" s="14">
        <v>6056562.2470000004</v>
      </c>
      <c r="J4" s="14">
        <v>1816968.6800000009</v>
      </c>
      <c r="K4" s="14">
        <v>302828.21999999997</v>
      </c>
      <c r="L4" s="14">
        <v>3936765.3499999996</v>
      </c>
    </row>
    <row r="6" spans="1:12" ht="15" customHeight="1" x14ac:dyDescent="0.25">
      <c r="A6" s="19" t="s">
        <v>32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">
        <v>30</v>
      </c>
      <c r="B8" s="6">
        <v>133739.5</v>
      </c>
      <c r="C8" s="6">
        <v>6326</v>
      </c>
      <c r="D8" s="6">
        <v>0</v>
      </c>
      <c r="E8" s="6">
        <v>0</v>
      </c>
      <c r="F8" s="6">
        <v>15961</v>
      </c>
      <c r="G8" s="6">
        <v>-15470</v>
      </c>
      <c r="H8" s="6">
        <v>27597</v>
      </c>
      <c r="I8" s="6">
        <f t="shared" ref="I8" si="0">SUM(B8:H8)</f>
        <v>168153.5</v>
      </c>
      <c r="J8" s="6">
        <f t="shared" ref="J8:J10" si="1">ROUND($I8*0.3,2)</f>
        <v>50446.05</v>
      </c>
      <c r="K8" s="6">
        <f t="shared" ref="K8:K35" si="2">ROUND($I8*0.05,2)</f>
        <v>8407.68</v>
      </c>
      <c r="L8" s="6">
        <f>ROUND($I8*0.65,2)-0.01</f>
        <v>109299.77</v>
      </c>
    </row>
    <row r="9" spans="1:12" ht="15" customHeight="1" x14ac:dyDescent="0.25">
      <c r="A9" s="10">
        <v>45486</v>
      </c>
      <c r="B9" s="6">
        <v>85973</v>
      </c>
      <c r="C9" s="6">
        <v>24977</v>
      </c>
      <c r="D9" s="6">
        <v>0</v>
      </c>
      <c r="E9" s="6">
        <v>0</v>
      </c>
      <c r="F9" s="6">
        <v>5024</v>
      </c>
      <c r="G9" s="6">
        <v>0</v>
      </c>
      <c r="H9" s="6">
        <v>3040</v>
      </c>
      <c r="I9" s="6">
        <f t="shared" ref="I9" si="3">SUM(B9:H9)</f>
        <v>119014</v>
      </c>
      <c r="J9" s="6">
        <f t="shared" si="1"/>
        <v>35704.199999999997</v>
      </c>
      <c r="K9" s="6">
        <f t="shared" si="2"/>
        <v>5950.7</v>
      </c>
      <c r="L9" s="6">
        <f>ROUND($I9*0.65,2)</f>
        <v>77359.100000000006</v>
      </c>
    </row>
    <row r="10" spans="1:12" ht="15" customHeight="1" x14ac:dyDescent="0.25">
      <c r="A10" s="10">
        <f t="shared" ref="A10:A35" si="4">A9+7</f>
        <v>45493</v>
      </c>
      <c r="B10" s="6">
        <v>77511.5</v>
      </c>
      <c r="C10" s="6">
        <v>-13636</v>
      </c>
      <c r="D10" s="6">
        <v>-3533.75</v>
      </c>
      <c r="E10" s="6">
        <v>0</v>
      </c>
      <c r="F10" s="6">
        <v>4808</v>
      </c>
      <c r="G10" s="6">
        <v>0</v>
      </c>
      <c r="H10" s="6">
        <v>13014</v>
      </c>
      <c r="I10" s="6">
        <f t="shared" ref="I10" si="5">SUM(B10:H10)</f>
        <v>78163.75</v>
      </c>
      <c r="J10" s="6">
        <f t="shared" si="1"/>
        <v>23449.13</v>
      </c>
      <c r="K10" s="6">
        <f t="shared" si="2"/>
        <v>3908.19</v>
      </c>
      <c r="L10" s="6">
        <f>ROUND($I10*0.65,2)-0.01</f>
        <v>50806.43</v>
      </c>
    </row>
    <row r="11" spans="1:12" ht="15" customHeight="1" x14ac:dyDescent="0.25">
      <c r="A11" s="10">
        <f t="shared" si="4"/>
        <v>45500</v>
      </c>
      <c r="B11" s="6">
        <v>110577.5</v>
      </c>
      <c r="C11" s="6">
        <v>11675</v>
      </c>
      <c r="D11" s="6">
        <v>0</v>
      </c>
      <c r="E11" s="6">
        <v>0</v>
      </c>
      <c r="F11" s="6">
        <v>15493</v>
      </c>
      <c r="G11" s="6">
        <v>0</v>
      </c>
      <c r="H11" s="6">
        <v>-471</v>
      </c>
      <c r="I11" s="6">
        <f t="shared" ref="I11" si="6">SUM(B11:H11)</f>
        <v>137274.5</v>
      </c>
      <c r="J11" s="6">
        <f t="shared" ref="J11:J35" si="7">ROUND($I11*0.3,2)</f>
        <v>41182.35</v>
      </c>
      <c r="K11" s="6">
        <f t="shared" si="2"/>
        <v>6863.73</v>
      </c>
      <c r="L11" s="6">
        <f>ROUND($I11*0.65,2)-0.01</f>
        <v>89228.42</v>
      </c>
    </row>
    <row r="12" spans="1:12" ht="15" customHeight="1" x14ac:dyDescent="0.25">
      <c r="A12" s="10">
        <f t="shared" si="4"/>
        <v>45507</v>
      </c>
      <c r="B12" s="6">
        <v>-70487</v>
      </c>
      <c r="C12" s="6">
        <v>8075</v>
      </c>
      <c r="D12" s="6">
        <v>0</v>
      </c>
      <c r="E12" s="6">
        <v>0</v>
      </c>
      <c r="F12" s="6">
        <v>11703</v>
      </c>
      <c r="G12" s="6">
        <v>0</v>
      </c>
      <c r="H12" s="6">
        <v>-1326</v>
      </c>
      <c r="I12" s="6">
        <f t="shared" ref="I12" si="8">SUM(B12:H12)</f>
        <v>-52035</v>
      </c>
      <c r="J12" s="6">
        <f t="shared" si="7"/>
        <v>-15610.5</v>
      </c>
      <c r="K12" s="6">
        <f t="shared" si="2"/>
        <v>-2601.75</v>
      </c>
      <c r="L12" s="6">
        <f>ROUND($I12*0.65,2)</f>
        <v>-33822.75</v>
      </c>
    </row>
    <row r="13" spans="1:12" ht="15" customHeight="1" x14ac:dyDescent="0.25">
      <c r="A13" s="10">
        <f t="shared" si="4"/>
        <v>45514</v>
      </c>
      <c r="B13" s="6">
        <v>-3005.5</v>
      </c>
      <c r="C13" s="6">
        <v>8990</v>
      </c>
      <c r="D13" s="6">
        <v>0</v>
      </c>
      <c r="E13" s="6">
        <v>0</v>
      </c>
      <c r="F13" s="6">
        <v>16450</v>
      </c>
      <c r="G13" s="6">
        <v>0</v>
      </c>
      <c r="H13" s="6">
        <v>12698</v>
      </c>
      <c r="I13" s="6">
        <f t="shared" ref="I13" si="9">SUM(B13:H13)</f>
        <v>35132.5</v>
      </c>
      <c r="J13" s="6">
        <f t="shared" si="7"/>
        <v>10539.75</v>
      </c>
      <c r="K13" s="6">
        <f t="shared" si="2"/>
        <v>1756.63</v>
      </c>
      <c r="L13" s="6">
        <f>ROUND($I13*0.65,2)-0.01</f>
        <v>22836.120000000003</v>
      </c>
    </row>
    <row r="14" spans="1:12" ht="15" customHeight="1" x14ac:dyDescent="0.25">
      <c r="A14" s="10">
        <f t="shared" si="4"/>
        <v>45521</v>
      </c>
      <c r="B14" s="6">
        <v>116241</v>
      </c>
      <c r="C14" s="6">
        <v>28743</v>
      </c>
      <c r="D14" s="6">
        <v>26503.75</v>
      </c>
      <c r="E14" s="6">
        <v>0</v>
      </c>
      <c r="F14" s="6">
        <v>-18083</v>
      </c>
      <c r="G14" s="6">
        <v>150</v>
      </c>
      <c r="H14" s="6">
        <v>7216</v>
      </c>
      <c r="I14" s="6">
        <f t="shared" ref="I14" si="10">SUM(B14:H14)</f>
        <v>160770.75</v>
      </c>
      <c r="J14" s="6">
        <f t="shared" si="7"/>
        <v>48231.23</v>
      </c>
      <c r="K14" s="6">
        <f t="shared" si="2"/>
        <v>8038.54</v>
      </c>
      <c r="L14" s="6">
        <f>ROUND($I14*0.65,2)-0.01</f>
        <v>104500.98000000001</v>
      </c>
    </row>
    <row r="15" spans="1:12" ht="15" customHeight="1" x14ac:dyDescent="0.25">
      <c r="A15" s="10">
        <f t="shared" si="4"/>
        <v>45528</v>
      </c>
      <c r="B15" s="6">
        <v>246018</v>
      </c>
      <c r="C15" s="6">
        <v>2067</v>
      </c>
      <c r="D15" s="6">
        <v>1015</v>
      </c>
      <c r="E15" s="6">
        <v>0</v>
      </c>
      <c r="F15" s="6">
        <v>2770</v>
      </c>
      <c r="G15" s="6">
        <v>1050</v>
      </c>
      <c r="H15" s="6">
        <v>8858</v>
      </c>
      <c r="I15" s="6">
        <f t="shared" ref="I15" si="11">SUM(B15:H15)</f>
        <v>261778</v>
      </c>
      <c r="J15" s="6">
        <f t="shared" si="7"/>
        <v>78533.399999999994</v>
      </c>
      <c r="K15" s="6">
        <f t="shared" si="2"/>
        <v>13088.9</v>
      </c>
      <c r="L15" s="6">
        <f>ROUND($I15*0.65,2)</f>
        <v>170155.7</v>
      </c>
    </row>
    <row r="16" spans="1:12" ht="15" customHeight="1" x14ac:dyDescent="0.25">
      <c r="A16" s="10">
        <f t="shared" si="4"/>
        <v>45535</v>
      </c>
      <c r="B16" s="6">
        <v>15999.5</v>
      </c>
      <c r="C16" s="6">
        <v>-8401</v>
      </c>
      <c r="D16" s="6">
        <v>0</v>
      </c>
      <c r="E16" s="6">
        <v>0</v>
      </c>
      <c r="F16" s="6">
        <v>5446</v>
      </c>
      <c r="G16" s="6">
        <v>1098</v>
      </c>
      <c r="H16" s="6">
        <v>5782</v>
      </c>
      <c r="I16" s="6">
        <f t="shared" ref="I16" si="12">SUM(B16:H16)</f>
        <v>19924.5</v>
      </c>
      <c r="J16" s="6">
        <f t="shared" si="7"/>
        <v>5977.35</v>
      </c>
      <c r="K16" s="6">
        <f t="shared" si="2"/>
        <v>996.23</v>
      </c>
      <c r="L16" s="6">
        <f>ROUND($I16*0.65,2)-0.01</f>
        <v>12950.92</v>
      </c>
    </row>
    <row r="17" spans="1:12" ht="15" customHeight="1" x14ac:dyDescent="0.25">
      <c r="A17" s="10">
        <f t="shared" si="4"/>
        <v>45542</v>
      </c>
      <c r="B17" s="6">
        <v>40906</v>
      </c>
      <c r="C17" s="6">
        <v>5066</v>
      </c>
      <c r="D17" s="6">
        <v>0</v>
      </c>
      <c r="E17" s="6">
        <v>0</v>
      </c>
      <c r="F17" s="6">
        <v>5384</v>
      </c>
      <c r="G17" s="6">
        <v>0</v>
      </c>
      <c r="H17" s="6">
        <v>10655</v>
      </c>
      <c r="I17" s="6">
        <f t="shared" ref="I17" si="13">SUM(B17:H17)</f>
        <v>62011</v>
      </c>
      <c r="J17" s="6">
        <f t="shared" si="7"/>
        <v>18603.3</v>
      </c>
      <c r="K17" s="6">
        <f t="shared" si="2"/>
        <v>3100.55</v>
      </c>
      <c r="L17" s="6">
        <f>ROUND($I17*0.65,2)</f>
        <v>40307.15</v>
      </c>
    </row>
    <row r="18" spans="1:12" ht="15" customHeight="1" x14ac:dyDescent="0.25">
      <c r="A18" s="10">
        <f t="shared" si="4"/>
        <v>45549</v>
      </c>
      <c r="B18" s="6">
        <v>22408</v>
      </c>
      <c r="C18" s="6">
        <v>-1214</v>
      </c>
      <c r="D18" s="6">
        <v>0</v>
      </c>
      <c r="E18" s="6">
        <v>0</v>
      </c>
      <c r="F18" s="6">
        <v>10536</v>
      </c>
      <c r="G18" s="6">
        <v>0</v>
      </c>
      <c r="H18" s="6">
        <v>2526.9969999999994</v>
      </c>
      <c r="I18" s="6">
        <f t="shared" ref="I18" si="14">SUM(B18:H18)</f>
        <v>34256.997000000003</v>
      </c>
      <c r="J18" s="6">
        <f t="shared" si="7"/>
        <v>10277.1</v>
      </c>
      <c r="K18" s="6">
        <f t="shared" si="2"/>
        <v>1712.85</v>
      </c>
      <c r="L18" s="6">
        <f>ROUND($I18*0.65,2)</f>
        <v>22267.05</v>
      </c>
    </row>
    <row r="19" spans="1:12" ht="15" customHeight="1" x14ac:dyDescent="0.25">
      <c r="A19" s="10">
        <f t="shared" si="4"/>
        <v>45556</v>
      </c>
      <c r="B19" s="6">
        <v>107344.5</v>
      </c>
      <c r="C19" s="6">
        <v>3944</v>
      </c>
      <c r="D19" s="6">
        <v>0</v>
      </c>
      <c r="E19" s="6">
        <v>0</v>
      </c>
      <c r="F19" s="6">
        <v>6086</v>
      </c>
      <c r="G19" s="6">
        <v>0</v>
      </c>
      <c r="H19" s="6">
        <v>9465</v>
      </c>
      <c r="I19" s="6">
        <f t="shared" ref="I19" si="15">SUM(B19:H19)</f>
        <v>126839.5</v>
      </c>
      <c r="J19" s="6">
        <f t="shared" si="7"/>
        <v>38051.85</v>
      </c>
      <c r="K19" s="6">
        <f t="shared" si="2"/>
        <v>6341.98</v>
      </c>
      <c r="L19" s="6">
        <f>ROUND($I19*0.65,2)-0.01</f>
        <v>82445.67</v>
      </c>
    </row>
    <row r="20" spans="1:12" ht="15" customHeight="1" x14ac:dyDescent="0.25">
      <c r="A20" s="10">
        <f t="shared" si="4"/>
        <v>45563</v>
      </c>
      <c r="B20" s="6">
        <v>14050.5</v>
      </c>
      <c r="C20" s="6">
        <v>4560</v>
      </c>
      <c r="D20" s="6">
        <v>0</v>
      </c>
      <c r="E20" s="6">
        <v>0</v>
      </c>
      <c r="F20" s="6">
        <v>12135</v>
      </c>
      <c r="G20" s="6">
        <v>0</v>
      </c>
      <c r="H20" s="6">
        <v>1065</v>
      </c>
      <c r="I20" s="6">
        <f t="shared" ref="I20" si="16">SUM(B20:H20)</f>
        <v>31810.5</v>
      </c>
      <c r="J20" s="6">
        <f t="shared" si="7"/>
        <v>9543.15</v>
      </c>
      <c r="K20" s="6">
        <f t="shared" si="2"/>
        <v>1590.53</v>
      </c>
      <c r="L20" s="6">
        <f>ROUND($I20*0.65,2)-0.01</f>
        <v>20676.820000000003</v>
      </c>
    </row>
    <row r="21" spans="1:12" ht="15" customHeight="1" x14ac:dyDescent="0.25">
      <c r="A21" s="10">
        <f t="shared" si="4"/>
        <v>45570</v>
      </c>
      <c r="B21" s="6">
        <v>94564</v>
      </c>
      <c r="C21" s="6">
        <v>19440</v>
      </c>
      <c r="D21" s="6">
        <v>-7923.75</v>
      </c>
      <c r="E21" s="6">
        <v>0</v>
      </c>
      <c r="F21" s="6">
        <v>7491</v>
      </c>
      <c r="G21" s="6">
        <v>-4210</v>
      </c>
      <c r="H21" s="6">
        <v>0</v>
      </c>
      <c r="I21" s="6">
        <f t="shared" ref="I21" si="17">SUM(B21:H21)</f>
        <v>109361.25</v>
      </c>
      <c r="J21" s="6">
        <f t="shared" si="7"/>
        <v>32808.379999999997</v>
      </c>
      <c r="K21" s="6">
        <f t="shared" si="2"/>
        <v>5468.06</v>
      </c>
      <c r="L21" s="6">
        <f>ROUND($I21*0.65,2)</f>
        <v>71084.81</v>
      </c>
    </row>
    <row r="22" spans="1:12" ht="15" customHeight="1" x14ac:dyDescent="0.25">
      <c r="A22" s="10">
        <f t="shared" si="4"/>
        <v>45577</v>
      </c>
      <c r="B22" s="6">
        <v>42620.5</v>
      </c>
      <c r="C22" s="6">
        <v>-47307</v>
      </c>
      <c r="D22" s="6">
        <v>0</v>
      </c>
      <c r="E22" s="6">
        <v>0</v>
      </c>
      <c r="F22" s="6">
        <v>17634</v>
      </c>
      <c r="G22" s="6">
        <v>0</v>
      </c>
      <c r="H22" s="6">
        <v>0</v>
      </c>
      <c r="I22" s="6">
        <f t="shared" ref="I22" si="18">SUM(B22:H22)</f>
        <v>12947.5</v>
      </c>
      <c r="J22" s="6">
        <f t="shared" si="7"/>
        <v>3884.25</v>
      </c>
      <c r="K22" s="6">
        <f t="shared" si="2"/>
        <v>647.38</v>
      </c>
      <c r="L22" s="6">
        <f>ROUND($I22*0.65,2)-0.01</f>
        <v>8415.869999999999</v>
      </c>
    </row>
    <row r="23" spans="1:12" ht="15" customHeight="1" x14ac:dyDescent="0.25">
      <c r="A23" s="10">
        <f t="shared" si="4"/>
        <v>45584</v>
      </c>
      <c r="B23" s="6">
        <v>67845.5</v>
      </c>
      <c r="C23" s="6">
        <v>9124</v>
      </c>
      <c r="D23" s="6">
        <v>0</v>
      </c>
      <c r="E23" s="6">
        <v>160</v>
      </c>
      <c r="F23" s="6">
        <v>1410</v>
      </c>
      <c r="G23" s="6">
        <v>390</v>
      </c>
      <c r="H23" s="6">
        <v>0</v>
      </c>
      <c r="I23" s="6">
        <f t="shared" ref="I23" si="19">SUM(B23:H23)</f>
        <v>78929.5</v>
      </c>
      <c r="J23" s="6">
        <f t="shared" si="7"/>
        <v>23678.85</v>
      </c>
      <c r="K23" s="6">
        <f t="shared" si="2"/>
        <v>3946.48</v>
      </c>
      <c r="L23" s="6">
        <f>ROUND($I23*0.65,2)-0.01</f>
        <v>51304.17</v>
      </c>
    </row>
    <row r="24" spans="1:12" ht="15" customHeight="1" x14ac:dyDescent="0.25">
      <c r="A24" s="10">
        <f t="shared" si="4"/>
        <v>45591</v>
      </c>
      <c r="B24" s="6">
        <v>40929</v>
      </c>
      <c r="C24" s="6">
        <v>7118</v>
      </c>
      <c r="D24" s="6">
        <v>0</v>
      </c>
      <c r="E24" s="6">
        <v>110</v>
      </c>
      <c r="F24" s="6">
        <v>25683</v>
      </c>
      <c r="G24" s="6">
        <v>0</v>
      </c>
      <c r="H24" s="6">
        <v>0</v>
      </c>
      <c r="I24" s="6">
        <f t="shared" ref="I24" si="20">SUM(B24:H24)</f>
        <v>73840</v>
      </c>
      <c r="J24" s="6">
        <f t="shared" si="7"/>
        <v>22152</v>
      </c>
      <c r="K24" s="6">
        <f t="shared" si="2"/>
        <v>3692</v>
      </c>
      <c r="L24" s="6">
        <f>ROUND($I24*0.65,2)</f>
        <v>47996</v>
      </c>
    </row>
    <row r="25" spans="1:12" ht="15" customHeight="1" x14ac:dyDescent="0.25">
      <c r="A25" s="10">
        <f t="shared" si="4"/>
        <v>45598</v>
      </c>
      <c r="B25" s="6">
        <v>56250.5</v>
      </c>
      <c r="C25" s="6">
        <v>2928</v>
      </c>
      <c r="D25" s="6">
        <v>0</v>
      </c>
      <c r="E25" s="6">
        <v>130</v>
      </c>
      <c r="F25" s="6">
        <v>16036</v>
      </c>
      <c r="G25" s="6">
        <v>0</v>
      </c>
      <c r="H25" s="6">
        <v>0</v>
      </c>
      <c r="I25" s="6">
        <f t="shared" ref="I25" si="21">SUM(B25:H25)</f>
        <v>75344.5</v>
      </c>
      <c r="J25" s="6">
        <f t="shared" si="7"/>
        <v>22603.35</v>
      </c>
      <c r="K25" s="6">
        <f t="shared" si="2"/>
        <v>3767.23</v>
      </c>
      <c r="L25" s="6">
        <f>ROUND($I25*0.65,2)-0.01</f>
        <v>48973.919999999998</v>
      </c>
    </row>
    <row r="26" spans="1:12" ht="15" customHeight="1" x14ac:dyDescent="0.25">
      <c r="A26" s="10">
        <f t="shared" si="4"/>
        <v>45605</v>
      </c>
      <c r="B26" s="6">
        <v>103385.5</v>
      </c>
      <c r="C26" s="6">
        <v>804</v>
      </c>
      <c r="D26" s="6">
        <v>0</v>
      </c>
      <c r="E26" s="6">
        <v>100</v>
      </c>
      <c r="F26" s="6">
        <v>17437</v>
      </c>
      <c r="G26" s="6">
        <v>0</v>
      </c>
      <c r="H26" s="6">
        <v>0</v>
      </c>
      <c r="I26" s="6">
        <f t="shared" ref="I26" si="22">SUM(B26:H26)</f>
        <v>121726.5</v>
      </c>
      <c r="J26" s="6">
        <f t="shared" si="7"/>
        <v>36517.949999999997</v>
      </c>
      <c r="K26" s="6">
        <f t="shared" si="2"/>
        <v>6086.33</v>
      </c>
      <c r="L26" s="6">
        <f>ROUND($I26*0.65,2)-0.01</f>
        <v>79122.22</v>
      </c>
    </row>
    <row r="27" spans="1:12" ht="15" customHeight="1" x14ac:dyDescent="0.25">
      <c r="A27" s="10">
        <f t="shared" si="4"/>
        <v>45612</v>
      </c>
      <c r="B27" s="6">
        <v>34983.5</v>
      </c>
      <c r="C27" s="6">
        <v>11297</v>
      </c>
      <c r="D27" s="6">
        <v>0</v>
      </c>
      <c r="E27" s="6">
        <v>130</v>
      </c>
      <c r="F27" s="6">
        <v>7392</v>
      </c>
      <c r="G27" s="6">
        <v>0</v>
      </c>
      <c r="H27" s="6">
        <v>0</v>
      </c>
      <c r="I27" s="6">
        <f t="shared" ref="I27" si="23">SUM(B27:H27)</f>
        <v>53802.5</v>
      </c>
      <c r="J27" s="6">
        <f t="shared" si="7"/>
        <v>16140.75</v>
      </c>
      <c r="K27" s="6">
        <f t="shared" si="2"/>
        <v>2690.13</v>
      </c>
      <c r="L27" s="6">
        <f>ROUND($I27*0.65,2)-0.01</f>
        <v>34971.619999999995</v>
      </c>
    </row>
    <row r="28" spans="1:12" ht="15" customHeight="1" x14ac:dyDescent="0.25">
      <c r="A28" s="10">
        <f t="shared" si="4"/>
        <v>45619</v>
      </c>
      <c r="B28" s="6">
        <v>38332.5</v>
      </c>
      <c r="C28" s="6">
        <v>17347</v>
      </c>
      <c r="D28" s="6">
        <v>0</v>
      </c>
      <c r="E28" s="6">
        <v>130</v>
      </c>
      <c r="F28" s="6">
        <v>-5202</v>
      </c>
      <c r="G28" s="6">
        <v>0</v>
      </c>
      <c r="H28" s="6">
        <v>4445</v>
      </c>
      <c r="I28" s="6">
        <f t="shared" ref="I28" si="24">SUM(B28:H28)</f>
        <v>55052.5</v>
      </c>
      <c r="J28" s="6">
        <f t="shared" si="7"/>
        <v>16515.75</v>
      </c>
      <c r="K28" s="6">
        <f t="shared" si="2"/>
        <v>2752.63</v>
      </c>
      <c r="L28" s="6">
        <f>ROUND($I28*0.65,2)-0.01</f>
        <v>35784.119999999995</v>
      </c>
    </row>
    <row r="29" spans="1:12" ht="15" customHeight="1" x14ac:dyDescent="0.25">
      <c r="A29" s="10">
        <f t="shared" si="4"/>
        <v>45626</v>
      </c>
      <c r="B29" s="6">
        <v>-6815.5</v>
      </c>
      <c r="C29" s="6">
        <v>-11721</v>
      </c>
      <c r="D29" s="6">
        <v>0</v>
      </c>
      <c r="E29" s="6">
        <v>90</v>
      </c>
      <c r="F29" s="6">
        <v>5060</v>
      </c>
      <c r="G29" s="6">
        <v>0</v>
      </c>
      <c r="H29" s="6">
        <v>11584</v>
      </c>
      <c r="I29" s="6">
        <f t="shared" ref="I29" si="25">SUM(B29:H29)</f>
        <v>-1802.5</v>
      </c>
      <c r="J29" s="6">
        <f t="shared" si="7"/>
        <v>-540.75</v>
      </c>
      <c r="K29" s="6">
        <f t="shared" si="2"/>
        <v>-90.13</v>
      </c>
      <c r="L29" s="6">
        <f>ROUND($I29*0.65,2)+0.01</f>
        <v>-1171.6200000000001</v>
      </c>
    </row>
    <row r="30" spans="1:12" ht="15" customHeight="1" x14ac:dyDescent="0.25">
      <c r="A30" s="10">
        <f t="shared" si="4"/>
        <v>45633</v>
      </c>
      <c r="B30" s="6">
        <v>39607.5</v>
      </c>
      <c r="C30" s="6">
        <v>9668</v>
      </c>
      <c r="D30" s="6">
        <v>0</v>
      </c>
      <c r="E30" s="6">
        <v>130</v>
      </c>
      <c r="F30" s="6">
        <v>6554</v>
      </c>
      <c r="G30" s="6">
        <v>0</v>
      </c>
      <c r="H30" s="6">
        <v>4066</v>
      </c>
      <c r="I30" s="6">
        <f t="shared" ref="I30" si="26">SUM(B30:H30)</f>
        <v>60025.5</v>
      </c>
      <c r="J30" s="6">
        <f t="shared" si="7"/>
        <v>18007.650000000001</v>
      </c>
      <c r="K30" s="6">
        <f t="shared" si="2"/>
        <v>3001.28</v>
      </c>
      <c r="L30" s="6">
        <f>ROUND($I30*0.65,2)-0.01</f>
        <v>39016.57</v>
      </c>
    </row>
    <row r="31" spans="1:12" ht="15" customHeight="1" x14ac:dyDescent="0.25">
      <c r="A31" s="10">
        <f t="shared" si="4"/>
        <v>45640</v>
      </c>
      <c r="B31" s="6">
        <v>-6936.5</v>
      </c>
      <c r="C31" s="6">
        <v>28043</v>
      </c>
      <c r="D31" s="6">
        <v>0</v>
      </c>
      <c r="E31" s="6">
        <v>0</v>
      </c>
      <c r="F31" s="6">
        <v>10034</v>
      </c>
      <c r="G31" s="6">
        <v>0</v>
      </c>
      <c r="H31" s="6">
        <v>2144</v>
      </c>
      <c r="I31" s="6">
        <f t="shared" ref="I31" si="27">SUM(B31:H31)</f>
        <v>33284.5</v>
      </c>
      <c r="J31" s="6">
        <f t="shared" si="7"/>
        <v>9985.35</v>
      </c>
      <c r="K31" s="6">
        <f t="shared" si="2"/>
        <v>1664.23</v>
      </c>
      <c r="L31" s="6">
        <f>ROUND($I31*0.65,2)-0.01</f>
        <v>21634.920000000002</v>
      </c>
    </row>
    <row r="32" spans="1:12" ht="15" customHeight="1" x14ac:dyDescent="0.25">
      <c r="A32" s="10">
        <f t="shared" si="4"/>
        <v>45647</v>
      </c>
      <c r="B32" s="6">
        <v>286327</v>
      </c>
      <c r="C32" s="6">
        <v>26688</v>
      </c>
      <c r="D32" s="6">
        <v>0</v>
      </c>
      <c r="E32" s="6">
        <v>0</v>
      </c>
      <c r="F32" s="6">
        <v>17707</v>
      </c>
      <c r="G32" s="6">
        <v>400</v>
      </c>
      <c r="H32" s="6">
        <v>7919</v>
      </c>
      <c r="I32" s="6">
        <f t="shared" ref="I32" si="28">SUM(B32:H32)</f>
        <v>339041</v>
      </c>
      <c r="J32" s="6">
        <f t="shared" si="7"/>
        <v>101712.3</v>
      </c>
      <c r="K32" s="6">
        <f t="shared" si="2"/>
        <v>16952.05</v>
      </c>
      <c r="L32" s="6">
        <f>ROUND($I32*0.65,2)</f>
        <v>220376.65</v>
      </c>
    </row>
    <row r="33" spans="1:12" ht="15" customHeight="1" x14ac:dyDescent="0.25">
      <c r="A33" s="10">
        <f t="shared" si="4"/>
        <v>45654</v>
      </c>
      <c r="B33" s="6">
        <v>126858</v>
      </c>
      <c r="C33" s="6">
        <v>27726</v>
      </c>
      <c r="D33" s="6">
        <v>0</v>
      </c>
      <c r="E33" s="6">
        <v>0</v>
      </c>
      <c r="F33" s="6">
        <v>-46849</v>
      </c>
      <c r="G33" s="6">
        <v>0</v>
      </c>
      <c r="H33" s="6">
        <v>13077</v>
      </c>
      <c r="I33" s="6">
        <f t="shared" ref="I33" si="29">SUM(B33:H33)</f>
        <v>120812</v>
      </c>
      <c r="J33" s="6">
        <f t="shared" si="7"/>
        <v>36243.599999999999</v>
      </c>
      <c r="K33" s="6">
        <f t="shared" si="2"/>
        <v>6040.6</v>
      </c>
      <c r="L33" s="6">
        <f>ROUND($I33*0.65,2)</f>
        <v>78527.8</v>
      </c>
    </row>
    <row r="34" spans="1:12" ht="15" customHeight="1" x14ac:dyDescent="0.25">
      <c r="A34" s="10">
        <f t="shared" si="4"/>
        <v>45661</v>
      </c>
      <c r="B34" s="6">
        <v>131367.5</v>
      </c>
      <c r="C34" s="6">
        <v>33238</v>
      </c>
      <c r="D34" s="6">
        <v>-17023.75</v>
      </c>
      <c r="E34" s="6">
        <v>0</v>
      </c>
      <c r="F34" s="6">
        <v>18723</v>
      </c>
      <c r="G34" s="6">
        <v>22125</v>
      </c>
      <c r="H34" s="6">
        <v>12005</v>
      </c>
      <c r="I34" s="6">
        <f t="shared" ref="I34" si="30">SUM(B34:H34)</f>
        <v>200434.75</v>
      </c>
      <c r="J34" s="6">
        <f t="shared" si="7"/>
        <v>60130.43</v>
      </c>
      <c r="K34" s="6">
        <f t="shared" si="2"/>
        <v>10021.74</v>
      </c>
      <c r="L34" s="6">
        <f>ROUND($I34*0.65,2)-0.01</f>
        <v>130282.58</v>
      </c>
    </row>
    <row r="35" spans="1:12" ht="15" customHeight="1" x14ac:dyDescent="0.25">
      <c r="A35" s="10">
        <f t="shared" si="4"/>
        <v>45668</v>
      </c>
      <c r="B35" s="6">
        <v>-4659.5</v>
      </c>
      <c r="C35" s="6">
        <v>1111</v>
      </c>
      <c r="D35" s="6">
        <v>0</v>
      </c>
      <c r="E35" s="6">
        <v>0</v>
      </c>
      <c r="F35" s="6">
        <v>-2387</v>
      </c>
      <c r="G35" s="6">
        <v>0</v>
      </c>
      <c r="H35" s="6">
        <v>1809</v>
      </c>
      <c r="I35" s="6">
        <f t="shared" ref="I35" si="31">SUM(B35:H35)</f>
        <v>-4126.5</v>
      </c>
      <c r="J35" s="6">
        <f t="shared" si="7"/>
        <v>-1237.95</v>
      </c>
      <c r="K35" s="6">
        <f t="shared" si="2"/>
        <v>-206.33</v>
      </c>
      <c r="L35" s="6">
        <f>ROUND($I35*0.65,2)+0.01</f>
        <v>-2682.22</v>
      </c>
    </row>
    <row r="36" spans="1:12" ht="15" customHeight="1" x14ac:dyDescent="0.25">
      <c r="A36" s="10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1:12" ht="15" customHeight="1" thickBot="1" x14ac:dyDescent="0.3">
      <c r="B37" s="7">
        <f t="shared" ref="B37:L37" si="32">SUM(B8:B36)</f>
        <v>1941936</v>
      </c>
      <c r="C37" s="7">
        <f t="shared" si="32"/>
        <v>216676</v>
      </c>
      <c r="D37" s="7">
        <f t="shared" si="32"/>
        <v>-962.5</v>
      </c>
      <c r="E37" s="7">
        <f t="shared" si="32"/>
        <v>980</v>
      </c>
      <c r="F37" s="7">
        <f t="shared" si="32"/>
        <v>190436</v>
      </c>
      <c r="G37" s="7">
        <f t="shared" si="32"/>
        <v>5533</v>
      </c>
      <c r="H37" s="7">
        <f t="shared" si="32"/>
        <v>157168.997</v>
      </c>
      <c r="I37" s="7">
        <f t="shared" si="32"/>
        <v>2511767.497</v>
      </c>
      <c r="J37" s="7">
        <f t="shared" si="32"/>
        <v>753530.27</v>
      </c>
      <c r="K37" s="7">
        <f t="shared" si="32"/>
        <v>125588.44000000002</v>
      </c>
      <c r="L37" s="7">
        <f t="shared" si="32"/>
        <v>1632648.7900000003</v>
      </c>
    </row>
    <row r="38" spans="1:12" ht="15" customHeight="1" thickTop="1" x14ac:dyDescent="0.25"/>
    <row r="39" spans="1:12" ht="15" customHeight="1" x14ac:dyDescent="0.25">
      <c r="A39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8"/>
  <sheetViews>
    <sheetView zoomScaleNormal="100" workbookViewId="0">
      <pane ySplit="3" topLeftCell="A9" activePane="bottomLeft" state="frozen"/>
      <selection pane="bottomLeft" activeCell="A34" sqref="A34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33</v>
      </c>
      <c r="B2" s="14">
        <v>54665875.810000002</v>
      </c>
      <c r="C2" s="14">
        <v>49678505.260000005</v>
      </c>
      <c r="D2" s="14">
        <v>970356</v>
      </c>
      <c r="E2" s="14">
        <v>4017014.5500000012</v>
      </c>
      <c r="F2" s="14">
        <v>1446125.16</v>
      </c>
      <c r="G2" s="14">
        <v>682892.52000000014</v>
      </c>
      <c r="H2" s="14">
        <v>188799.68000000002</v>
      </c>
      <c r="I2" s="14">
        <v>1699197.1900000002</v>
      </c>
      <c r="J2" s="14">
        <v>616.75</v>
      </c>
      <c r="K2" s="9">
        <v>119</v>
      </c>
    </row>
    <row r="4" spans="1:11" ht="15" customHeight="1" x14ac:dyDescent="0.25">
      <c r="A4" s="19" t="s">
        <v>32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30</v>
      </c>
      <c r="B6" s="6">
        <v>896542.18</v>
      </c>
      <c r="C6" s="6">
        <v>827255.32000000007</v>
      </c>
      <c r="D6" s="6">
        <v>10786</v>
      </c>
      <c r="E6" s="6">
        <f t="shared" ref="E6" si="0">B6-C6-D6</f>
        <v>58500.859999999986</v>
      </c>
      <c r="F6" s="6">
        <f>ROUND($E6*0.36,2)+0.03</f>
        <v>21060.34</v>
      </c>
      <c r="G6" s="6">
        <f>ROUND($E6*0.17,2)-0.01</f>
        <v>9945.14</v>
      </c>
      <c r="H6" s="6">
        <f>ROUND($E6*0.047,2)-0.01</f>
        <v>2749.5299999999997</v>
      </c>
      <c r="I6" s="6">
        <f>ROUND($E6*0.423,2)-0.01</f>
        <v>24745.850000000002</v>
      </c>
      <c r="J6" s="11">
        <f t="shared" ref="J6" si="1">E6/K6</f>
        <v>504.31775862068952</v>
      </c>
      <c r="K6" s="9">
        <v>116</v>
      </c>
    </row>
    <row r="7" spans="1:11" ht="15" customHeight="1" x14ac:dyDescent="0.25">
      <c r="A7" s="10">
        <v>45486</v>
      </c>
      <c r="B7" s="6">
        <v>772674.57</v>
      </c>
      <c r="C7" s="6">
        <v>724611.78</v>
      </c>
      <c r="D7" s="6">
        <v>11390</v>
      </c>
      <c r="E7" s="6">
        <f t="shared" ref="E7" si="2">B7-C7-D7</f>
        <v>36672.789999999921</v>
      </c>
      <c r="F7" s="6">
        <f>ROUND($E7*0.36,2)-0.01</f>
        <v>13202.19</v>
      </c>
      <c r="G7" s="6">
        <f>ROUND($E7*0.17,2)+0.02</f>
        <v>6234.39</v>
      </c>
      <c r="H7" s="6">
        <f>ROUND($E7*0.047,2)</f>
        <v>1723.62</v>
      </c>
      <c r="I7" s="6">
        <f>ROUND($E7*0.423,2)</f>
        <v>15512.59</v>
      </c>
      <c r="J7" s="11">
        <f t="shared" ref="J7" si="3">E7/K7</f>
        <v>370.43222222222141</v>
      </c>
      <c r="K7" s="9">
        <v>99</v>
      </c>
    </row>
    <row r="8" spans="1:11" ht="15" customHeight="1" x14ac:dyDescent="0.25">
      <c r="A8" s="10">
        <f t="shared" ref="A8:A22" si="4">A7+7</f>
        <v>45493</v>
      </c>
      <c r="B8" s="6">
        <v>659885.71</v>
      </c>
      <c r="C8" s="6">
        <v>569139.15999999992</v>
      </c>
      <c r="D8" s="6">
        <v>14005</v>
      </c>
      <c r="E8" s="6">
        <f t="shared" ref="E8" si="5">B8-C8-D8</f>
        <v>76741.550000000047</v>
      </c>
      <c r="F8" s="6">
        <f>ROUND($E8*0.36,2)-0.02</f>
        <v>27626.94</v>
      </c>
      <c r="G8" s="6">
        <f>ROUND($E8*0.17,2)+0.01</f>
        <v>13046.07</v>
      </c>
      <c r="H8" s="6">
        <f>ROUND($E8*0.047,2)+0.01</f>
        <v>3606.86</v>
      </c>
      <c r="I8" s="6">
        <f>ROUND($E8*0.423,2)</f>
        <v>32461.68</v>
      </c>
      <c r="J8" s="11">
        <f t="shared" ref="J8" si="6">E8/K8</f>
        <v>745.06359223301013</v>
      </c>
      <c r="K8" s="9">
        <v>103</v>
      </c>
    </row>
    <row r="9" spans="1:11" ht="15" customHeight="1" x14ac:dyDescent="0.25">
      <c r="A9" s="10">
        <f t="shared" si="4"/>
        <v>45500</v>
      </c>
      <c r="B9" s="6">
        <v>870499.79</v>
      </c>
      <c r="C9" s="6">
        <v>768561.42</v>
      </c>
      <c r="D9" s="6">
        <v>13375</v>
      </c>
      <c r="E9" s="6">
        <f t="shared" ref="E9" si="7">B9-C9-D9</f>
        <v>88563.37</v>
      </c>
      <c r="F9" s="6">
        <f>ROUND($E9*0.36,2)+0.01</f>
        <v>31882.82</v>
      </c>
      <c r="G9" s="6">
        <f>ROUND($E9*0.17,2)-0.01</f>
        <v>15055.76</v>
      </c>
      <c r="H9" s="6">
        <f>ROUND($E9*0.047,2)</f>
        <v>4162.4799999999996</v>
      </c>
      <c r="I9" s="6">
        <f>ROUND($E9*0.423,2)</f>
        <v>37462.31</v>
      </c>
      <c r="J9" s="11">
        <f t="shared" ref="J9" si="8">E9/K9</f>
        <v>776.87166666666667</v>
      </c>
      <c r="K9" s="9">
        <v>114</v>
      </c>
    </row>
    <row r="10" spans="1:11" ht="15" customHeight="1" x14ac:dyDescent="0.25">
      <c r="A10" s="10">
        <f t="shared" si="4"/>
        <v>45507</v>
      </c>
      <c r="B10" s="6">
        <v>706525.75</v>
      </c>
      <c r="C10" s="6">
        <v>652824.86</v>
      </c>
      <c r="D10" s="6">
        <v>13395</v>
      </c>
      <c r="E10" s="6">
        <f t="shared" ref="E10" si="9">B10-C10-D10</f>
        <v>40305.890000000014</v>
      </c>
      <c r="F10" s="6">
        <f>ROUND($E10*0.36,2)-0.01</f>
        <v>14510.11</v>
      </c>
      <c r="G10" s="6">
        <f>ROUND($E10*0.17,2)</f>
        <v>6852</v>
      </c>
      <c r="H10" s="6">
        <f>ROUND($E10*0.047,2)</f>
        <v>1894.38</v>
      </c>
      <c r="I10" s="6">
        <f>ROUND($E10*0.423,2)+0.01</f>
        <v>17049.399999999998</v>
      </c>
      <c r="J10" s="11">
        <f t="shared" ref="J10" si="10">E10/K10</f>
        <v>399.0682178217823</v>
      </c>
      <c r="K10" s="9">
        <v>101</v>
      </c>
    </row>
    <row r="11" spans="1:11" ht="15" customHeight="1" x14ac:dyDescent="0.25">
      <c r="A11" s="10">
        <f t="shared" si="4"/>
        <v>45514</v>
      </c>
      <c r="B11" s="6">
        <v>1495364.38</v>
      </c>
      <c r="C11" s="6">
        <v>1390700.36</v>
      </c>
      <c r="D11" s="6">
        <v>14585</v>
      </c>
      <c r="E11" s="6">
        <f t="shared" ref="E11" si="11">B11-C11-D11</f>
        <v>90079.019999999786</v>
      </c>
      <c r="F11" s="6">
        <f>ROUND($E11*0.36,2)</f>
        <v>32428.45</v>
      </c>
      <c r="G11" s="6">
        <f>ROUND($E11*0.17,2)+0.01</f>
        <v>15313.44</v>
      </c>
      <c r="H11" s="6">
        <f>ROUND($E11*0.047,2)</f>
        <v>4233.71</v>
      </c>
      <c r="I11" s="6">
        <f>ROUND($E11*0.423,2)-0.01</f>
        <v>38103.42</v>
      </c>
      <c r="J11" s="11">
        <f t="shared" ref="J11" si="12">E11/K11</f>
        <v>797.15946902654673</v>
      </c>
      <c r="K11" s="9">
        <v>113</v>
      </c>
    </row>
    <row r="12" spans="1:11" ht="15" customHeight="1" x14ac:dyDescent="0.25">
      <c r="A12" s="10">
        <f t="shared" si="4"/>
        <v>45521</v>
      </c>
      <c r="B12" s="6">
        <v>956870.07000000007</v>
      </c>
      <c r="C12" s="6">
        <v>918780.05</v>
      </c>
      <c r="D12" s="6">
        <v>8562</v>
      </c>
      <c r="E12" s="6">
        <f t="shared" ref="E12" si="13">B12-C12-D12</f>
        <v>29528.020000000019</v>
      </c>
      <c r="F12" s="6">
        <f>ROUND($E12*0.36,2)-0.03</f>
        <v>10630.06</v>
      </c>
      <c r="G12" s="6">
        <f>ROUND($E12*0.17,2)</f>
        <v>5019.76</v>
      </c>
      <c r="H12" s="6">
        <f>ROUND($E12*0.047,2)+0.01</f>
        <v>1387.83</v>
      </c>
      <c r="I12" s="6">
        <f>ROUND($E12*0.423,2)+0.02</f>
        <v>12490.37</v>
      </c>
      <c r="J12" s="11">
        <f t="shared" ref="J12" si="14">E12/K12</f>
        <v>320.95673913043498</v>
      </c>
      <c r="K12" s="9">
        <v>92</v>
      </c>
    </row>
    <row r="13" spans="1:11" ht="15" customHeight="1" x14ac:dyDescent="0.25">
      <c r="A13" s="10">
        <f t="shared" si="4"/>
        <v>45528</v>
      </c>
      <c r="B13" s="6">
        <v>819181.52</v>
      </c>
      <c r="C13" s="6">
        <v>727857.78</v>
      </c>
      <c r="D13" s="6">
        <v>14020</v>
      </c>
      <c r="E13" s="6">
        <f t="shared" ref="E13" si="15">B13-C13-D13</f>
        <v>77303.739999999991</v>
      </c>
      <c r="F13" s="6">
        <f>ROUND($E13*0.36,2)-0.01</f>
        <v>27829.34</v>
      </c>
      <c r="G13" s="6">
        <f>ROUND($E13*0.17,2)-0.01</f>
        <v>13141.63</v>
      </c>
      <c r="H13" s="6">
        <f>ROUND($E13*0.047,2)-0.01</f>
        <v>3633.27</v>
      </c>
      <c r="I13" s="6">
        <f>ROUND($E13*0.423,2)+0.02</f>
        <v>32699.5</v>
      </c>
      <c r="J13" s="11">
        <f t="shared" ref="J13" si="16">E13/K13</f>
        <v>750.52174757281546</v>
      </c>
      <c r="K13" s="9">
        <v>103</v>
      </c>
    </row>
    <row r="14" spans="1:11" ht="15" customHeight="1" x14ac:dyDescent="0.25">
      <c r="A14" s="10">
        <f t="shared" si="4"/>
        <v>45535</v>
      </c>
      <c r="B14" s="6">
        <v>807271.50999999989</v>
      </c>
      <c r="C14" s="6">
        <v>753980.10999999987</v>
      </c>
      <c r="D14" s="6">
        <v>5090</v>
      </c>
      <c r="E14" s="6">
        <f t="shared" ref="E14" si="17">B14-C14-D14</f>
        <v>48201.400000000023</v>
      </c>
      <c r="F14" s="6">
        <f>ROUND($E14*0.36,2)</f>
        <v>17352.5</v>
      </c>
      <c r="G14" s="6">
        <f>ROUND($E14*0.17,2)-0.01</f>
        <v>8194.23</v>
      </c>
      <c r="H14" s="6">
        <f>ROUND($E14*0.047,2)</f>
        <v>2265.4699999999998</v>
      </c>
      <c r="I14" s="6">
        <f>ROUND($E14*0.423,2)+0.01</f>
        <v>20389.199999999997</v>
      </c>
      <c r="J14" s="11">
        <f t="shared" ref="J14" si="18">E14/K14</f>
        <v>415.52931034482776</v>
      </c>
      <c r="K14" s="9">
        <v>116</v>
      </c>
    </row>
    <row r="15" spans="1:11" ht="15" customHeight="1" x14ac:dyDescent="0.25">
      <c r="A15" s="10">
        <f t="shared" si="4"/>
        <v>45542</v>
      </c>
      <c r="B15" s="6">
        <v>941660.37999999989</v>
      </c>
      <c r="C15" s="6">
        <v>873660.37</v>
      </c>
      <c r="D15" s="6">
        <v>14756</v>
      </c>
      <c r="E15" s="6">
        <f t="shared" ref="E15" si="19">B15-C15-D15</f>
        <v>53244.009999999893</v>
      </c>
      <c r="F15" s="6">
        <f>ROUND($E15*0.36,2)+0.02</f>
        <v>19167.86</v>
      </c>
      <c r="G15" s="6">
        <f>ROUND($E15*0.17,2)-0.01</f>
        <v>9051.4699999999993</v>
      </c>
      <c r="H15" s="6">
        <f>ROUND($E15*0.047,2)-0.01</f>
        <v>2502.4599999999996</v>
      </c>
      <c r="I15" s="6">
        <f>ROUND($E15*0.423,2)</f>
        <v>22522.22</v>
      </c>
      <c r="J15" s="11">
        <f t="shared" ref="J15" si="20">E15/K15</f>
        <v>493.00009259259161</v>
      </c>
      <c r="K15" s="9">
        <v>108</v>
      </c>
    </row>
    <row r="16" spans="1:11" ht="15" customHeight="1" x14ac:dyDescent="0.25">
      <c r="A16" s="10">
        <f t="shared" si="4"/>
        <v>45549</v>
      </c>
      <c r="B16" s="6">
        <v>1048330.16</v>
      </c>
      <c r="C16" s="6">
        <v>995338.59</v>
      </c>
      <c r="D16" s="6">
        <v>7684</v>
      </c>
      <c r="E16" s="6">
        <f t="shared" ref="E16" si="21">B16-C16-D16</f>
        <v>45307.570000000065</v>
      </c>
      <c r="F16" s="6">
        <f>ROUND($E16*0.36,2)-0.02</f>
        <v>16310.71</v>
      </c>
      <c r="G16" s="6">
        <f>ROUND($E16*0.17,2)</f>
        <v>7702.29</v>
      </c>
      <c r="H16" s="6">
        <f>ROUND($E16*0.047,2)+0.01</f>
        <v>2129.4700000000003</v>
      </c>
      <c r="I16" s="6">
        <f>ROUND($E16*0.423,2)</f>
        <v>19165.099999999999</v>
      </c>
      <c r="J16" s="11">
        <f t="shared" ref="J16" si="22">E16/K16</f>
        <v>439.87932038835015</v>
      </c>
      <c r="K16" s="9">
        <v>103</v>
      </c>
    </row>
    <row r="17" spans="1:11" ht="15" customHeight="1" x14ac:dyDescent="0.25">
      <c r="A17" s="10">
        <f t="shared" si="4"/>
        <v>45556</v>
      </c>
      <c r="B17" s="6">
        <v>737267.5</v>
      </c>
      <c r="C17" s="6">
        <v>622909.30000000005</v>
      </c>
      <c r="D17" s="6">
        <v>11760</v>
      </c>
      <c r="E17" s="6">
        <f t="shared" ref="E17" si="23">B17-C17-D17</f>
        <v>102598.19999999995</v>
      </c>
      <c r="F17" s="6">
        <f>ROUND($E17*0.36,2)</f>
        <v>36935.35</v>
      </c>
      <c r="G17" s="6">
        <f>ROUND($E17*0.17,2)+0.01</f>
        <v>17441.699999999997</v>
      </c>
      <c r="H17" s="6">
        <f>ROUND($E17*0.047,2)-0.01</f>
        <v>4822.1099999999997</v>
      </c>
      <c r="I17" s="6">
        <f>ROUND($E17*0.423,2)</f>
        <v>43399.040000000001</v>
      </c>
      <c r="J17" s="11">
        <f t="shared" ref="J17" si="24">E17/K17</f>
        <v>899.98421052631534</v>
      </c>
      <c r="K17" s="9">
        <v>114</v>
      </c>
    </row>
    <row r="18" spans="1:11" ht="15" customHeight="1" x14ac:dyDescent="0.25">
      <c r="A18" s="10">
        <f t="shared" si="4"/>
        <v>45563</v>
      </c>
      <c r="B18" s="6">
        <v>376569.04000000004</v>
      </c>
      <c r="C18" s="6">
        <v>351398.45000000007</v>
      </c>
      <c r="D18" s="6">
        <v>6560</v>
      </c>
      <c r="E18" s="6">
        <f t="shared" ref="E18" si="25">B18-C18-D18</f>
        <v>18610.589999999967</v>
      </c>
      <c r="F18" s="6">
        <f>ROUND($E18*0.36,2)-0.01</f>
        <v>6699.8</v>
      </c>
      <c r="G18" s="6">
        <f>ROUND($E18*0.17,2)</f>
        <v>3163.8</v>
      </c>
      <c r="H18" s="6">
        <f>ROUND($E18*0.047,2)+0.01</f>
        <v>874.71</v>
      </c>
      <c r="I18" s="6">
        <f>ROUND($E18*0.423,2)</f>
        <v>7872.28</v>
      </c>
      <c r="J18" s="11">
        <f t="shared" ref="J18" si="26">E18/K18</f>
        <v>195.9009473684207</v>
      </c>
      <c r="K18" s="9">
        <v>95</v>
      </c>
    </row>
    <row r="19" spans="1:11" ht="15" customHeight="1" x14ac:dyDescent="0.25">
      <c r="A19" s="10">
        <f t="shared" si="4"/>
        <v>45570</v>
      </c>
      <c r="B19" s="6">
        <v>583167.92000000004</v>
      </c>
      <c r="C19" s="6">
        <v>557519.47</v>
      </c>
      <c r="D19" s="6">
        <v>10736</v>
      </c>
      <c r="E19" s="6">
        <f t="shared" ref="E19" si="27">B19-C19-D19</f>
        <v>14912.45000000007</v>
      </c>
      <c r="F19" s="6">
        <f>ROUND($E19*0.36,2)-0.01</f>
        <v>5368.4699999999993</v>
      </c>
      <c r="G19" s="6">
        <f>ROUND($E19*0.17,2)</f>
        <v>2535.12</v>
      </c>
      <c r="H19" s="6">
        <f>ROUND($E19*0.047,2)</f>
        <v>700.89</v>
      </c>
      <c r="I19" s="6">
        <f>ROUND($E19*0.423,2)</f>
        <v>6307.97</v>
      </c>
      <c r="J19" s="11">
        <f t="shared" ref="J19" si="28">E19/K19</f>
        <v>146.20049019607913</v>
      </c>
      <c r="K19" s="9">
        <v>102</v>
      </c>
    </row>
    <row r="20" spans="1:11" ht="15" customHeight="1" x14ac:dyDescent="0.25">
      <c r="A20" s="10">
        <f t="shared" si="4"/>
        <v>45577</v>
      </c>
      <c r="B20" s="6">
        <v>748855.47</v>
      </c>
      <c r="C20" s="6">
        <v>680882.78</v>
      </c>
      <c r="D20" s="6">
        <v>11309</v>
      </c>
      <c r="E20" s="6">
        <f t="shared" ref="E20" si="29">B20-C20-D20</f>
        <v>56663.689999999944</v>
      </c>
      <c r="F20" s="6">
        <f>ROUND($E20*0.36,2)-0.01</f>
        <v>20398.920000000002</v>
      </c>
      <c r="G20" s="6">
        <f>ROUND($E20*0.17,2)</f>
        <v>9632.83</v>
      </c>
      <c r="H20" s="6">
        <f>ROUND($E20*0.047,2)</f>
        <v>2663.19</v>
      </c>
      <c r="I20" s="6">
        <f>ROUND($E20*0.423,2)+0.01</f>
        <v>23968.75</v>
      </c>
      <c r="J20" s="11">
        <f t="shared" ref="J20" si="30">E20/K20</f>
        <v>524.6637962962958</v>
      </c>
      <c r="K20" s="9">
        <v>108</v>
      </c>
    </row>
    <row r="21" spans="1:11" ht="15" customHeight="1" x14ac:dyDescent="0.25">
      <c r="A21" s="10">
        <f t="shared" si="4"/>
        <v>45584</v>
      </c>
      <c r="B21" s="6">
        <v>768788.5</v>
      </c>
      <c r="C21" s="6">
        <v>727275.11999999988</v>
      </c>
      <c r="D21" s="6">
        <v>12996</v>
      </c>
      <c r="E21" s="6">
        <f t="shared" ref="E21" si="31">B21-C21-D21</f>
        <v>28517.380000000121</v>
      </c>
      <c r="F21" s="6">
        <f>ROUND($E21*0.36,2)-0.01</f>
        <v>10266.25</v>
      </c>
      <c r="G21" s="6">
        <f>ROUND($E21*0.17,2)+0.01</f>
        <v>4847.96</v>
      </c>
      <c r="H21" s="6">
        <f>ROUND($E21*0.047,2)</f>
        <v>1340.32</v>
      </c>
      <c r="I21" s="6">
        <f>ROUND($E21*0.423,2)</f>
        <v>12062.85</v>
      </c>
      <c r="J21" s="11">
        <f t="shared" ref="J21" si="32">E21/K21</f>
        <v>239.64184873949682</v>
      </c>
      <c r="K21" s="9">
        <v>119</v>
      </c>
    </row>
    <row r="22" spans="1:11" ht="15" customHeight="1" x14ac:dyDescent="0.25">
      <c r="A22" s="10">
        <f t="shared" si="4"/>
        <v>45591</v>
      </c>
      <c r="B22" s="6">
        <v>1027884.7999999999</v>
      </c>
      <c r="C22" s="6">
        <v>939607.52</v>
      </c>
      <c r="D22" s="6">
        <v>13918</v>
      </c>
      <c r="E22" s="6">
        <f t="shared" ref="E22" si="33">B22-C22-D22</f>
        <v>74359.279999999912</v>
      </c>
      <c r="F22" s="6">
        <f>ROUND($E22*0.36,2)+0.01</f>
        <v>26769.35</v>
      </c>
      <c r="G22" s="6">
        <f>ROUND($E22*0.17,2)-0.01</f>
        <v>12641.07</v>
      </c>
      <c r="H22" s="6">
        <f>ROUND($E22*0.047,2)</f>
        <v>3494.89</v>
      </c>
      <c r="I22" s="6">
        <f>ROUND($E22*0.423,2)-0.01</f>
        <v>31453.97</v>
      </c>
      <c r="J22" s="11">
        <f t="shared" ref="J22" si="34">E22/K22</f>
        <v>614.53950413223072</v>
      </c>
      <c r="K22" s="9">
        <v>121</v>
      </c>
    </row>
    <row r="23" spans="1:11" ht="15" customHeight="1" x14ac:dyDescent="0.25">
      <c r="A23" s="10">
        <f t="shared" ref="A23:A33" si="35">A22+7</f>
        <v>45598</v>
      </c>
      <c r="B23" s="6">
        <v>1237822.46</v>
      </c>
      <c r="C23" s="6">
        <v>1081970.5299999998</v>
      </c>
      <c r="D23" s="6">
        <v>28995</v>
      </c>
      <c r="E23" s="6">
        <f t="shared" ref="E23" si="36">B23-C23-D23</f>
        <v>126856.93000000017</v>
      </c>
      <c r="F23" s="6">
        <f>ROUND($E23*0.36,2)-0.02</f>
        <v>45668.47</v>
      </c>
      <c r="G23" s="6">
        <f>ROUND($E23*0.17,2)</f>
        <v>21565.68</v>
      </c>
      <c r="H23" s="6">
        <f>ROUND($E23*0.047,2)+0.01</f>
        <v>5962.29</v>
      </c>
      <c r="I23" s="6">
        <f>ROUND($E23*0.423,2)+0.01</f>
        <v>53660.490000000005</v>
      </c>
      <c r="J23" s="11">
        <f t="shared" ref="J23" si="37">E23/K23</f>
        <v>1163.8250458715611</v>
      </c>
      <c r="K23" s="9">
        <v>109</v>
      </c>
    </row>
    <row r="24" spans="1:11" ht="15" customHeight="1" x14ac:dyDescent="0.25">
      <c r="A24" s="10">
        <f t="shared" si="35"/>
        <v>45605</v>
      </c>
      <c r="B24" s="6">
        <v>948403.21</v>
      </c>
      <c r="C24" s="6">
        <v>935490.38000000012</v>
      </c>
      <c r="D24" s="6">
        <v>11280</v>
      </c>
      <c r="E24" s="6">
        <f t="shared" ref="E24" si="38">B24-C24-D24</f>
        <v>1632.8299999998417</v>
      </c>
      <c r="F24" s="6">
        <f>ROUND($E24*0.36,2)-0.01</f>
        <v>587.81000000000006</v>
      </c>
      <c r="G24" s="6">
        <f>ROUND($E24*0.17,2)+0.01</f>
        <v>277.58999999999997</v>
      </c>
      <c r="H24" s="6">
        <f>ROUND($E24*0.047,2)</f>
        <v>76.739999999999995</v>
      </c>
      <c r="I24" s="6">
        <f>ROUND($E24*0.423,2)</f>
        <v>690.69</v>
      </c>
      <c r="J24" s="11">
        <f t="shared" ref="J24" si="39">E24/K24</f>
        <v>14.449823008848156</v>
      </c>
      <c r="K24" s="9">
        <v>113</v>
      </c>
    </row>
    <row r="25" spans="1:11" ht="15" customHeight="1" x14ac:dyDescent="0.25">
      <c r="A25" s="10">
        <f t="shared" si="35"/>
        <v>45612</v>
      </c>
      <c r="B25" s="6">
        <v>520994.77</v>
      </c>
      <c r="C25" s="6">
        <v>479931.55</v>
      </c>
      <c r="D25" s="6">
        <v>9263</v>
      </c>
      <c r="E25" s="6">
        <f t="shared" ref="E25" si="40">B25-C25-D25</f>
        <v>31800.22000000003</v>
      </c>
      <c r="F25" s="6">
        <f>ROUND($E25*0.36,2)</f>
        <v>11448.08</v>
      </c>
      <c r="G25" s="6">
        <f>ROUND($E25*0.17,2)+0.01</f>
        <v>5406.05</v>
      </c>
      <c r="H25" s="6">
        <f>ROUND($E25*0.047,2)</f>
        <v>1494.61</v>
      </c>
      <c r="I25" s="6">
        <f>ROUND($E25*0.423,2)-0.01</f>
        <v>13451.48</v>
      </c>
      <c r="J25" s="11">
        <f t="shared" ref="J25" si="41">E25/K25</f>
        <v>321.21434343434373</v>
      </c>
      <c r="K25" s="9">
        <v>99</v>
      </c>
    </row>
    <row r="26" spans="1:11" ht="15" customHeight="1" x14ac:dyDescent="0.25">
      <c r="A26" s="10">
        <f t="shared" si="35"/>
        <v>45619</v>
      </c>
      <c r="B26" s="6">
        <v>1117432.3500000001</v>
      </c>
      <c r="C26" s="6">
        <v>1001106.4</v>
      </c>
      <c r="D26" s="6">
        <v>17934.8</v>
      </c>
      <c r="E26" s="6">
        <f t="shared" ref="E26" si="42">B26-C26-D26</f>
        <v>98391.150000000067</v>
      </c>
      <c r="F26" s="6">
        <f>ROUND($E26*0.36,2)-0.01</f>
        <v>35420.799999999996</v>
      </c>
      <c r="G26" s="6">
        <f>ROUND($E26*0.17,2)</f>
        <v>16726.5</v>
      </c>
      <c r="H26" s="6">
        <f>ROUND($E26*0.047,2)+0.01</f>
        <v>4624.3900000000003</v>
      </c>
      <c r="I26" s="6">
        <f>ROUND($E26*0.423,2)</f>
        <v>41619.46</v>
      </c>
      <c r="J26" s="11">
        <f t="shared" ref="J26" si="43">E26/K26</f>
        <v>855.57521739130493</v>
      </c>
      <c r="K26" s="9">
        <v>115</v>
      </c>
    </row>
    <row r="27" spans="1:11" ht="15" customHeight="1" x14ac:dyDescent="0.25">
      <c r="A27" s="10">
        <f t="shared" si="35"/>
        <v>45626</v>
      </c>
      <c r="B27" s="6">
        <v>1323692.3199999998</v>
      </c>
      <c r="C27" s="6">
        <v>1274959.92</v>
      </c>
      <c r="D27" s="6">
        <v>11406</v>
      </c>
      <c r="E27" s="6">
        <f t="shared" ref="E27" si="44">B27-C27-D27</f>
        <v>37326.399999999907</v>
      </c>
      <c r="F27" s="6">
        <f>ROUND($E27*0.36,2)</f>
        <v>13437.5</v>
      </c>
      <c r="G27" s="6">
        <f>ROUND($E27*0.17,2)</f>
        <v>6345.49</v>
      </c>
      <c r="H27" s="6">
        <f>ROUND($E27*0.047,2)</f>
        <v>1754.34</v>
      </c>
      <c r="I27" s="6">
        <f>ROUND($E27*0.423,2)</f>
        <v>15789.07</v>
      </c>
      <c r="J27" s="11">
        <f t="shared" ref="J27" si="45">E27/K27</f>
        <v>345.61481481481394</v>
      </c>
      <c r="K27" s="9">
        <v>108</v>
      </c>
    </row>
    <row r="28" spans="1:11" ht="15" customHeight="1" x14ac:dyDescent="0.25">
      <c r="A28" s="10">
        <f t="shared" si="35"/>
        <v>45633</v>
      </c>
      <c r="B28" s="6">
        <v>974768.57000000007</v>
      </c>
      <c r="C28" s="6">
        <v>879198.14</v>
      </c>
      <c r="D28" s="6">
        <v>28702</v>
      </c>
      <c r="E28" s="6">
        <f t="shared" ref="E28" si="46">B28-C28-D28</f>
        <v>66868.430000000051</v>
      </c>
      <c r="F28" s="6">
        <f>ROUND($E28*0.36,2)+0.01</f>
        <v>24072.639999999999</v>
      </c>
      <c r="G28" s="6">
        <f>ROUND($E28*0.17,2)</f>
        <v>11367.63</v>
      </c>
      <c r="H28" s="6">
        <f>ROUND($E28*0.047,2)</f>
        <v>3142.82</v>
      </c>
      <c r="I28" s="6">
        <f>ROUND($E28*0.423,2)-0.01</f>
        <v>28285.34</v>
      </c>
      <c r="J28" s="11">
        <f t="shared" ref="J28" si="47">E28/K28</f>
        <v>543.64577235772401</v>
      </c>
      <c r="K28" s="9">
        <v>123</v>
      </c>
    </row>
    <row r="29" spans="1:11" ht="15" customHeight="1" x14ac:dyDescent="0.25">
      <c r="A29" s="10">
        <f t="shared" si="35"/>
        <v>45640</v>
      </c>
      <c r="B29" s="6">
        <v>834353.84000000008</v>
      </c>
      <c r="C29" s="6">
        <v>727947.48</v>
      </c>
      <c r="D29" s="6">
        <v>43831</v>
      </c>
      <c r="E29" s="6">
        <f t="shared" ref="E29" si="48">B29-C29-D29</f>
        <v>62575.360000000102</v>
      </c>
      <c r="F29" s="6">
        <f>ROUND($E29*0.36,2)-0.01</f>
        <v>22527.120000000003</v>
      </c>
      <c r="G29" s="6">
        <f>ROUND($E29*0.17,2)</f>
        <v>10637.81</v>
      </c>
      <c r="H29" s="6">
        <f>ROUND($E29*0.047,2)</f>
        <v>2941.04</v>
      </c>
      <c r="I29" s="6">
        <f>ROUND($E29*0.423,2)+0.01</f>
        <v>26469.39</v>
      </c>
      <c r="J29" s="11">
        <f t="shared" ref="J29" si="49">E29/K29</f>
        <v>500.60288000000082</v>
      </c>
      <c r="K29" s="9">
        <v>125</v>
      </c>
    </row>
    <row r="30" spans="1:11" ht="15" customHeight="1" x14ac:dyDescent="0.25">
      <c r="A30" s="10">
        <f t="shared" si="35"/>
        <v>45647</v>
      </c>
      <c r="B30" s="6">
        <v>1288580.69</v>
      </c>
      <c r="C30" s="6">
        <v>1146133.71</v>
      </c>
      <c r="D30" s="6">
        <v>45143</v>
      </c>
      <c r="E30" s="6">
        <f t="shared" ref="E30" si="50">B30-C30-D30</f>
        <v>97303.979999999981</v>
      </c>
      <c r="F30" s="6">
        <f>ROUND($E30*0.36,2)+0.01</f>
        <v>35029.440000000002</v>
      </c>
      <c r="G30" s="6">
        <f>ROUND($E30*0.17,2)-0.01</f>
        <v>16541.670000000002</v>
      </c>
      <c r="H30" s="6">
        <f>ROUND($E30*0.047,2)-0.01</f>
        <v>4573.28</v>
      </c>
      <c r="I30" s="6">
        <f>ROUND($E30*0.423,2)+0.01</f>
        <v>41159.590000000004</v>
      </c>
      <c r="J30" s="11">
        <f t="shared" ref="J30" si="51">E30/K30</f>
        <v>778.43183999999985</v>
      </c>
      <c r="K30" s="9">
        <v>125</v>
      </c>
    </row>
    <row r="31" spans="1:11" ht="15" customHeight="1" x14ac:dyDescent="0.25">
      <c r="A31" s="10">
        <f t="shared" si="35"/>
        <v>45654</v>
      </c>
      <c r="B31" s="6">
        <v>1521434.16</v>
      </c>
      <c r="C31" s="6">
        <v>1422975.48</v>
      </c>
      <c r="D31" s="6">
        <v>35792</v>
      </c>
      <c r="E31" s="6">
        <f t="shared" ref="E31" si="52">B31-C31-D31</f>
        <v>62666.679999999935</v>
      </c>
      <c r="F31" s="6">
        <f>ROUND($E31*0.36,2)+0.01</f>
        <v>22560.01</v>
      </c>
      <c r="G31" s="6">
        <f>ROUND($E31*0.17,2)-0.01</f>
        <v>10653.33</v>
      </c>
      <c r="H31" s="6">
        <f>ROUND($E31*0.047,2)+0.01</f>
        <v>2945.34</v>
      </c>
      <c r="I31" s="6">
        <f>ROUND($E31*0.423,2)-0.01</f>
        <v>26508</v>
      </c>
      <c r="J31" s="11">
        <f t="shared" ref="J31" si="53">E31/K31</f>
        <v>659.6492631578941</v>
      </c>
      <c r="K31" s="9">
        <v>95</v>
      </c>
    </row>
    <row r="32" spans="1:11" ht="15" customHeight="1" x14ac:dyDescent="0.25">
      <c r="A32" s="10">
        <f t="shared" si="35"/>
        <v>45661</v>
      </c>
      <c r="B32" s="6">
        <v>1805349.73</v>
      </c>
      <c r="C32" s="6">
        <v>1621388.5399999998</v>
      </c>
      <c r="D32" s="6">
        <v>29009</v>
      </c>
      <c r="E32" s="6">
        <f t="shared" ref="E32" si="54">B32-C32-D32</f>
        <v>154952.19000000018</v>
      </c>
      <c r="F32" s="6">
        <f>ROUND($E32*0.36,2)-0.01</f>
        <v>55782.78</v>
      </c>
      <c r="G32" s="6">
        <f>ROUND($E32*0.17,2)-0.01</f>
        <v>26341.86</v>
      </c>
      <c r="H32" s="6">
        <f>ROUND($E32*0.047,2)+0.02</f>
        <v>7282.77</v>
      </c>
      <c r="I32" s="6">
        <f>ROUND($E32*0.423,2)</f>
        <v>65544.78</v>
      </c>
      <c r="J32" s="11">
        <f t="shared" ref="J32" si="55">E32/K32</f>
        <v>1220.0959842519699</v>
      </c>
      <c r="K32" s="9">
        <v>127</v>
      </c>
    </row>
    <row r="33" spans="1:11" ht="15" customHeight="1" x14ac:dyDescent="0.25">
      <c r="A33" s="10">
        <f t="shared" si="35"/>
        <v>45668</v>
      </c>
      <c r="B33" s="6">
        <v>382611.3</v>
      </c>
      <c r="C33" s="6">
        <v>366598.19</v>
      </c>
      <c r="D33" s="6">
        <v>1050</v>
      </c>
      <c r="E33" s="6">
        <f t="shared" ref="E33" si="56">B33-C33-D33</f>
        <v>14963.109999999986</v>
      </c>
      <c r="F33" s="6">
        <f>ROUND($E33*0.36,2)-0.02</f>
        <v>5386.7</v>
      </c>
      <c r="G33" s="6">
        <f>ROUND($E33*0.17,2)-0.01</f>
        <v>2543.7199999999998</v>
      </c>
      <c r="H33" s="6">
        <f>ROUND($E33*0.047,2)</f>
        <v>703.27</v>
      </c>
      <c r="I33" s="6">
        <f>ROUND($E33*0.423,2)+0.02</f>
        <v>6329.42</v>
      </c>
      <c r="J33" s="11">
        <f t="shared" ref="J33" si="57">E33/K33</f>
        <v>223.32999999999979</v>
      </c>
      <c r="K33" s="9">
        <v>67</v>
      </c>
    </row>
    <row r="34" spans="1:11" ht="15" customHeight="1" x14ac:dyDescent="0.25">
      <c r="A34" s="10"/>
      <c r="B34" s="6"/>
      <c r="C34" s="6"/>
      <c r="D34" s="6"/>
      <c r="E34" s="6"/>
      <c r="F34" s="6"/>
      <c r="G34" s="6"/>
      <c r="H34" s="6"/>
      <c r="I34" s="6"/>
      <c r="J34" s="11"/>
      <c r="K34" s="9"/>
    </row>
    <row r="35" spans="1:11" ht="15" customHeight="1" thickBot="1" x14ac:dyDescent="0.3">
      <c r="B35" s="7">
        <f t="shared" ref="B35:I35" si="58">SUM(B6:B34)</f>
        <v>26172782.650000006</v>
      </c>
      <c r="C35" s="7">
        <f t="shared" si="58"/>
        <v>24020002.760000002</v>
      </c>
      <c r="D35" s="7">
        <f t="shared" si="58"/>
        <v>457332.8</v>
      </c>
      <c r="E35" s="7">
        <f t="shared" si="58"/>
        <v>1695447.0899999999</v>
      </c>
      <c r="F35" s="7">
        <f t="shared" si="58"/>
        <v>610360.80999999994</v>
      </c>
      <c r="G35" s="7">
        <f t="shared" si="58"/>
        <v>288225.98999999993</v>
      </c>
      <c r="H35" s="7">
        <f t="shared" si="58"/>
        <v>79686.080000000002</v>
      </c>
      <c r="I35" s="7">
        <f t="shared" si="58"/>
        <v>717174.21000000008</v>
      </c>
      <c r="J35" s="12">
        <f>AVERAGE(J6:J34)</f>
        <v>545.0059256488297</v>
      </c>
      <c r="K35" s="13">
        <f>AVERAGE(K6:K34)</f>
        <v>108.32142857142857</v>
      </c>
    </row>
    <row r="36" spans="1:11" ht="15" customHeight="1" thickTop="1" x14ac:dyDescent="0.25"/>
    <row r="37" spans="1:11" ht="15" customHeight="1" x14ac:dyDescent="0.25">
      <c r="A37" s="15" t="s">
        <v>31</v>
      </c>
    </row>
    <row r="38" spans="1:11" ht="15" customHeight="1" x14ac:dyDescent="0.25">
      <c r="A38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2024-05-13T19:02:47Z</cp:lastPrinted>
  <dcterms:created xsi:type="dcterms:W3CDTF">2017-06-16T18:01:39Z</dcterms:created>
  <dcterms:modified xsi:type="dcterms:W3CDTF">2025-01-16T13:36:02Z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