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able Games Acct\"/>
    </mc:Choice>
  </mc:AlternateContent>
  <xr:revisionPtr revIDLastSave="0" documentId="13_ncr:1_{7C8ABF0F-9151-4CBD-9E58-13104212F4E0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ummary" sheetId="5" r:id="rId1"/>
    <sheet name="Mountaineer" sheetId="4" r:id="rId2"/>
    <sheet name="Wheeling" sheetId="3" r:id="rId3"/>
    <sheet name="Mardi Gras" sheetId="2" r:id="rId4"/>
    <sheet name="Charles Town" sheetId="1" r:id="rId5"/>
  </sheets>
  <definedNames>
    <definedName name="_xlnm.Print_Area" localSheetId="4">'Charles Town'!$A$1:$O$35</definedName>
    <definedName name="_xlnm.Print_Area" localSheetId="3">'Mardi Gras'!$A$1:$O$44</definedName>
    <definedName name="_xlnm.Print_Area" localSheetId="1">Mountaineer!$A$1:$O$29</definedName>
    <definedName name="_xlnm.Print_Area" localSheetId="0">Summary!$A$1:$O$20</definedName>
    <definedName name="_xlnm.Print_Area" localSheetId="2">Wheeling!$A$1:$O$44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4" i="4" l="1"/>
  <c r="I14" i="4"/>
  <c r="H14" i="4"/>
  <c r="D14" i="4"/>
  <c r="C14" i="4"/>
  <c r="O14" i="3"/>
  <c r="N14" i="3"/>
  <c r="L14" i="3"/>
  <c r="I14" i="3"/>
  <c r="H14" i="3"/>
  <c r="E14" i="3"/>
  <c r="D14" i="3"/>
  <c r="C14" i="3"/>
  <c r="O14" i="2"/>
  <c r="L14" i="2"/>
  <c r="H14" i="2"/>
  <c r="E14" i="2"/>
  <c r="C14" i="2"/>
  <c r="O14" i="1"/>
  <c r="M14" i="1"/>
  <c r="L14" i="1"/>
  <c r="I14" i="1"/>
  <c r="G14" i="1"/>
  <c r="G15" i="5" s="1"/>
  <c r="D14" i="1"/>
  <c r="C14" i="1"/>
  <c r="G14" i="3"/>
  <c r="M14" i="2"/>
  <c r="J14" i="2"/>
  <c r="I14" i="2"/>
  <c r="D14" i="2"/>
  <c r="A14" i="3"/>
  <c r="A14" i="2"/>
  <c r="A14" i="1"/>
  <c r="K15" i="5"/>
  <c r="B15" i="5"/>
  <c r="A15" i="5"/>
  <c r="N14" i="4"/>
  <c r="M14" i="4"/>
  <c r="L14" i="4"/>
  <c r="J14" i="4"/>
  <c r="G14" i="4"/>
  <c r="F14" i="4"/>
  <c r="E14" i="4"/>
  <c r="M14" i="3"/>
  <c r="J14" i="3"/>
  <c r="F14" i="3"/>
  <c r="N14" i="2"/>
  <c r="G14" i="2"/>
  <c r="F14" i="2"/>
  <c r="N14" i="1"/>
  <c r="J14" i="1"/>
  <c r="H14" i="1"/>
  <c r="F14" i="1"/>
  <c r="E14" i="1"/>
  <c r="H15" i="5" l="1"/>
  <c r="I15" i="5"/>
  <c r="C15" i="5"/>
  <c r="O15" i="5"/>
  <c r="J15" i="5"/>
  <c r="M15" i="5"/>
  <c r="N15" i="5"/>
  <c r="D15" i="5"/>
  <c r="E15" i="5"/>
  <c r="F15" i="5"/>
  <c r="L15" i="5"/>
  <c r="O13" i="4" l="1"/>
  <c r="I13" i="4"/>
  <c r="H13" i="4"/>
  <c r="D13" i="4"/>
  <c r="C13" i="4"/>
  <c r="O13" i="3"/>
  <c r="L13" i="3"/>
  <c r="I13" i="3"/>
  <c r="G13" i="3"/>
  <c r="E13" i="3"/>
  <c r="D13" i="3"/>
  <c r="C13" i="3"/>
  <c r="M13" i="3"/>
  <c r="O13" i="2"/>
  <c r="M13" i="2"/>
  <c r="L13" i="2"/>
  <c r="J13" i="2"/>
  <c r="I13" i="2"/>
  <c r="D13" i="2"/>
  <c r="C13" i="2"/>
  <c r="O13" i="1"/>
  <c r="L13" i="1"/>
  <c r="C13" i="1"/>
  <c r="N13" i="4"/>
  <c r="N13" i="2"/>
  <c r="E13" i="2"/>
  <c r="N13" i="1"/>
  <c r="E13" i="1"/>
  <c r="A13" i="3"/>
  <c r="A13" i="2"/>
  <c r="A13" i="1"/>
  <c r="K14" i="5"/>
  <c r="A14" i="5"/>
  <c r="M13" i="4"/>
  <c r="L13" i="4"/>
  <c r="J13" i="4"/>
  <c r="G13" i="4"/>
  <c r="F13" i="4"/>
  <c r="E13" i="4"/>
  <c r="H13" i="2"/>
  <c r="G13" i="2"/>
  <c r="F13" i="2"/>
  <c r="M13" i="1"/>
  <c r="J13" i="1"/>
  <c r="I13" i="1"/>
  <c r="H13" i="1"/>
  <c r="G13" i="1"/>
  <c r="F13" i="1"/>
  <c r="D13" i="1"/>
  <c r="N12" i="4"/>
  <c r="N12" i="3"/>
  <c r="N12" i="2"/>
  <c r="N12" i="1"/>
  <c r="O12" i="4"/>
  <c r="I12" i="4"/>
  <c r="D12" i="4"/>
  <c r="C12" i="4"/>
  <c r="O12" i="3"/>
  <c r="L12" i="3"/>
  <c r="E12" i="3"/>
  <c r="C12" i="3"/>
  <c r="O12" i="2"/>
  <c r="M12" i="2"/>
  <c r="L12" i="2"/>
  <c r="E12" i="2"/>
  <c r="C12" i="2"/>
  <c r="O12" i="1"/>
  <c r="E12" i="1"/>
  <c r="C12" i="1"/>
  <c r="D14" i="5" l="1"/>
  <c r="C14" i="5"/>
  <c r="F13" i="3"/>
  <c r="F14" i="5" s="1"/>
  <c r="E14" i="5"/>
  <c r="G14" i="5"/>
  <c r="L14" i="5"/>
  <c r="H13" i="3"/>
  <c r="H14" i="5" s="1"/>
  <c r="B14" i="5"/>
  <c r="N13" i="3"/>
  <c r="N14" i="5" s="1"/>
  <c r="I14" i="5"/>
  <c r="O14" i="5"/>
  <c r="J13" i="3"/>
  <c r="J14" i="5" s="1"/>
  <c r="M14" i="5"/>
  <c r="A12" i="1"/>
  <c r="A12" i="2"/>
  <c r="A12" i="3"/>
  <c r="K13" i="5"/>
  <c r="B13" i="5"/>
  <c r="A13" i="5"/>
  <c r="O13" i="5"/>
  <c r="N13" i="5"/>
  <c r="L12" i="4"/>
  <c r="J12" i="4"/>
  <c r="C13" i="5"/>
  <c r="M12" i="4"/>
  <c r="H12" i="4"/>
  <c r="G12" i="4"/>
  <c r="F12" i="4"/>
  <c r="E12" i="4"/>
  <c r="E13" i="5" s="1"/>
  <c r="M12" i="3"/>
  <c r="I12" i="3"/>
  <c r="D12" i="3"/>
  <c r="J12" i="3"/>
  <c r="H12" i="3"/>
  <c r="G12" i="3"/>
  <c r="F12" i="3"/>
  <c r="I12" i="2"/>
  <c r="D12" i="2"/>
  <c r="J12" i="2"/>
  <c r="H12" i="2"/>
  <c r="G12" i="2"/>
  <c r="F12" i="2"/>
  <c r="L12" i="1"/>
  <c r="I12" i="1"/>
  <c r="H12" i="1"/>
  <c r="G12" i="1"/>
  <c r="D12" i="1"/>
  <c r="M12" i="1"/>
  <c r="J12" i="1"/>
  <c r="F12" i="1"/>
  <c r="O11" i="1"/>
  <c r="N11" i="1"/>
  <c r="L11" i="1"/>
  <c r="I11" i="1"/>
  <c r="H11" i="1"/>
  <c r="G11" i="1"/>
  <c r="D11" i="1"/>
  <c r="C11" i="1"/>
  <c r="O11" i="2"/>
  <c r="N11" i="2"/>
  <c r="L11" i="2"/>
  <c r="I11" i="2"/>
  <c r="E11" i="2"/>
  <c r="D11" i="2"/>
  <c r="O11" i="3"/>
  <c r="N11" i="3"/>
  <c r="M11" i="3"/>
  <c r="L11" i="3"/>
  <c r="I11" i="3"/>
  <c r="D11" i="3"/>
  <c r="C11" i="3"/>
  <c r="O11" i="4"/>
  <c r="N11" i="4"/>
  <c r="L11" i="4"/>
  <c r="J11" i="4"/>
  <c r="I11" i="4"/>
  <c r="D11" i="4"/>
  <c r="C11" i="4"/>
  <c r="M11" i="4"/>
  <c r="H11" i="4"/>
  <c r="G11" i="4"/>
  <c r="H11" i="3"/>
  <c r="G11" i="3"/>
  <c r="E11" i="3"/>
  <c r="H11" i="2"/>
  <c r="K12" i="5"/>
  <c r="B12" i="5"/>
  <c r="A12" i="5"/>
  <c r="A11" i="3"/>
  <c r="A11" i="2"/>
  <c r="A11" i="1"/>
  <c r="F11" i="4"/>
  <c r="E11" i="4"/>
  <c r="J11" i="3"/>
  <c r="F11" i="3"/>
  <c r="G11" i="2"/>
  <c r="C11" i="2"/>
  <c r="M11" i="2"/>
  <c r="J11" i="2"/>
  <c r="F11" i="2"/>
  <c r="E11" i="1"/>
  <c r="M11" i="1"/>
  <c r="J11" i="1"/>
  <c r="F11" i="1"/>
  <c r="L10" i="1"/>
  <c r="G10" i="1"/>
  <c r="I10" i="4"/>
  <c r="O10" i="4"/>
  <c r="N10" i="4"/>
  <c r="L10" i="4"/>
  <c r="H10" i="4"/>
  <c r="G10" i="4"/>
  <c r="D10" i="4"/>
  <c r="O10" i="3"/>
  <c r="N10" i="3"/>
  <c r="L10" i="3"/>
  <c r="I10" i="3"/>
  <c r="H10" i="3"/>
  <c r="E10" i="3"/>
  <c r="D10" i="3"/>
  <c r="C10" i="3"/>
  <c r="O10" i="2"/>
  <c r="N10" i="2"/>
  <c r="L10" i="2"/>
  <c r="I10" i="2"/>
  <c r="H10" i="2"/>
  <c r="G10" i="2"/>
  <c r="D10" i="2"/>
  <c r="C10" i="2"/>
  <c r="O10" i="1"/>
  <c r="N10" i="1"/>
  <c r="I10" i="1"/>
  <c r="H10" i="1"/>
  <c r="E10" i="1"/>
  <c r="D10" i="1"/>
  <c r="K11" i="5"/>
  <c r="B11" i="5"/>
  <c r="A11" i="5"/>
  <c r="A10" i="1"/>
  <c r="A10" i="2"/>
  <c r="A10" i="3"/>
  <c r="C10" i="4"/>
  <c r="M10" i="4"/>
  <c r="J10" i="4"/>
  <c r="F10" i="4"/>
  <c r="E10" i="4"/>
  <c r="F10" i="3"/>
  <c r="M10" i="3"/>
  <c r="J10" i="3"/>
  <c r="G10" i="3"/>
  <c r="M10" i="2"/>
  <c r="J10" i="2"/>
  <c r="F10" i="2"/>
  <c r="E10" i="2"/>
  <c r="C10" i="1"/>
  <c r="M10" i="1"/>
  <c r="J10" i="1"/>
  <c r="F10" i="1"/>
  <c r="O9" i="4"/>
  <c r="N9" i="4"/>
  <c r="L9" i="4"/>
  <c r="C9" i="4"/>
  <c r="O9" i="3"/>
  <c r="N9" i="3"/>
  <c r="L9" i="3"/>
  <c r="I9" i="3"/>
  <c r="F9" i="3"/>
  <c r="E9" i="3"/>
  <c r="D9" i="3"/>
  <c r="C9" i="3"/>
  <c r="O9" i="2"/>
  <c r="N9" i="2"/>
  <c r="I9" i="2"/>
  <c r="G9" i="2"/>
  <c r="D9" i="2"/>
  <c r="C9" i="2"/>
  <c r="O9" i="1"/>
  <c r="N9" i="1"/>
  <c r="L9" i="1"/>
  <c r="I9" i="1"/>
  <c r="H9" i="1"/>
  <c r="G9" i="1"/>
  <c r="D9" i="1"/>
  <c r="C9" i="1"/>
  <c r="I13" i="5" l="1"/>
  <c r="J13" i="5"/>
  <c r="D13" i="5"/>
  <c r="F13" i="5"/>
  <c r="H13" i="5"/>
  <c r="L13" i="5"/>
  <c r="M13" i="5"/>
  <c r="G13" i="5"/>
  <c r="L11" i="5"/>
  <c r="O12" i="5"/>
  <c r="H12" i="5"/>
  <c r="J12" i="5"/>
  <c r="N12" i="5"/>
  <c r="D12" i="5"/>
  <c r="I12" i="5"/>
  <c r="M12" i="5"/>
  <c r="E12" i="5"/>
  <c r="L12" i="5"/>
  <c r="C12" i="5"/>
  <c r="F12" i="5"/>
  <c r="G12" i="5"/>
  <c r="D11" i="5"/>
  <c r="F11" i="5"/>
  <c r="N11" i="5"/>
  <c r="O11" i="5"/>
  <c r="J11" i="5"/>
  <c r="M11" i="5"/>
  <c r="C11" i="5"/>
  <c r="E11" i="5"/>
  <c r="H11" i="5"/>
  <c r="G11" i="5"/>
  <c r="I11" i="5"/>
  <c r="A10" i="5"/>
  <c r="A9" i="3"/>
  <c r="A9" i="2"/>
  <c r="A9" i="1"/>
  <c r="K16" i="1"/>
  <c r="B16" i="1"/>
  <c r="O16" i="1"/>
  <c r="N16" i="1"/>
  <c r="M9" i="1"/>
  <c r="M16" i="1" s="1"/>
  <c r="L16" i="1"/>
  <c r="J9" i="1"/>
  <c r="J16" i="1" s="1"/>
  <c r="I16" i="1"/>
  <c r="H16" i="1"/>
  <c r="G16" i="1"/>
  <c r="F9" i="1"/>
  <c r="F16" i="1" s="1"/>
  <c r="E9" i="1"/>
  <c r="E16" i="1" s="1"/>
  <c r="D16" i="1"/>
  <c r="C16" i="1"/>
  <c r="K16" i="2"/>
  <c r="B16" i="2"/>
  <c r="O16" i="2"/>
  <c r="N16" i="2"/>
  <c r="M9" i="2"/>
  <c r="M16" i="2" s="1"/>
  <c r="L9" i="2"/>
  <c r="L16" i="2" s="1"/>
  <c r="J9" i="2"/>
  <c r="J16" i="2" s="1"/>
  <c r="I16" i="2"/>
  <c r="H9" i="2"/>
  <c r="H16" i="2" s="1"/>
  <c r="G16" i="2"/>
  <c r="F9" i="2"/>
  <c r="F16" i="2" s="1"/>
  <c r="E9" i="2"/>
  <c r="E16" i="2" s="1"/>
  <c r="D16" i="2"/>
  <c r="C16" i="2"/>
  <c r="K16" i="3"/>
  <c r="B16" i="3"/>
  <c r="O16" i="3"/>
  <c r="N16" i="3"/>
  <c r="M9" i="3"/>
  <c r="M16" i="3" s="1"/>
  <c r="L16" i="3"/>
  <c r="J9" i="3"/>
  <c r="J16" i="3" s="1"/>
  <c r="I16" i="3"/>
  <c r="H9" i="3"/>
  <c r="H16" i="3" s="1"/>
  <c r="G9" i="3"/>
  <c r="G16" i="3" s="1"/>
  <c r="F16" i="3"/>
  <c r="E16" i="3"/>
  <c r="D16" i="3"/>
  <c r="C16" i="3"/>
  <c r="E9" i="4"/>
  <c r="M9" i="4" l="1"/>
  <c r="J9" i="4"/>
  <c r="I9" i="4"/>
  <c r="H9" i="4"/>
  <c r="G9" i="4"/>
  <c r="F9" i="4"/>
  <c r="D9" i="4"/>
  <c r="K16" i="4" l="1"/>
  <c r="O16" i="4" l="1"/>
  <c r="N16" i="4"/>
  <c r="L16" i="4" l="1"/>
  <c r="E16" i="4"/>
  <c r="C16" i="4"/>
  <c r="B16" i="4" l="1"/>
  <c r="M16" i="4"/>
  <c r="J16" i="4"/>
  <c r="I16" i="4"/>
  <c r="H16" i="4"/>
  <c r="G16" i="4"/>
  <c r="F16" i="4"/>
  <c r="D16" i="4"/>
  <c r="B10" i="5" l="1"/>
  <c r="K10" i="5"/>
  <c r="K17" i="5" s="1"/>
  <c r="O10" i="5" l="1"/>
  <c r="O17" i="5" s="1"/>
  <c r="N10" i="5"/>
  <c r="N17" i="5" s="1"/>
  <c r="L10" i="5"/>
  <c r="L17" i="5" s="1"/>
  <c r="C10" i="5"/>
  <c r="C17" i="5" s="1"/>
  <c r="G10" i="5" l="1"/>
  <c r="G17" i="5" s="1"/>
  <c r="E10" i="5"/>
  <c r="E17" i="5" s="1"/>
  <c r="D10" i="5"/>
  <c r="D17" i="5" s="1"/>
  <c r="J10" i="5"/>
  <c r="J17" i="5" s="1"/>
  <c r="F10" i="5"/>
  <c r="F17" i="5" s="1"/>
  <c r="M10" i="5"/>
  <c r="M17" i="5" s="1"/>
  <c r="H10" i="5"/>
  <c r="H17" i="5" s="1"/>
  <c r="I10" i="5"/>
  <c r="I17" i="5" s="1"/>
  <c r="B17" i="5" l="1"/>
</calcChain>
</file>

<file path=xl/sharedStrings.xml><?xml version="1.0" encoding="utf-8"?>
<sst xmlns="http://schemas.openxmlformats.org/spreadsheetml/2006/main" count="102" uniqueCount="35">
  <si>
    <t>HOLLYWOOD CASINO AT CHARLES TOWN RACES TABLE GAMES</t>
  </si>
  <si>
    <t>Total Adjusted
Gross Receipts</t>
  </si>
  <si>
    <t>Privilege Tax</t>
  </si>
  <si>
    <t>Administrative</t>
  </si>
  <si>
    <t>Excess Lottery
Fund</t>
  </si>
  <si>
    <t>Thoroughbred Development Fund</t>
  </si>
  <si>
    <t>Racetrack County</t>
  </si>
  <si>
    <t>Racetrack Municipality</t>
  </si>
  <si>
    <t>Racetracks Within Municipalities</t>
  </si>
  <si>
    <t>Interest **</t>
  </si>
  <si>
    <t>Excess Lottery Fund</t>
  </si>
  <si>
    <t>Pension Fund</t>
  </si>
  <si>
    <t>Non-Racetrack Counties *</t>
  </si>
  <si>
    <t>Non-Racetrack Municipalities *</t>
  </si>
  <si>
    <t>*  To get an even distribution amount there will be cents carried forward each month.</t>
  </si>
  <si>
    <t>**  Interest is only used in the calculation of Excess Lottery Fund, Pension Fund, and Non-Racetrack Counties and Municipalities.</t>
  </si>
  <si>
    <t>MARDI GRAS CASINO TABLE GAMES</t>
  </si>
  <si>
    <t>WHEELING ISLAND CASINO TABLE GAMES</t>
  </si>
  <si>
    <t>MOUNTAINEER CASINO TABLE GAMES</t>
  </si>
  <si>
    <t>Thoroughbred Purse Fund</t>
  </si>
  <si>
    <t>Thoroughbred / Greyhound Purse Fund</t>
  </si>
  <si>
    <t>Thoroughbred / Greyhound Development Fund</t>
  </si>
  <si>
    <t>WEST VIRGINIA LOTTERY</t>
  </si>
  <si>
    <t>TABLE GAMES DISTRIBUTION SUMMARY</t>
  </si>
  <si>
    <t>Non-Racetrack Counties ( 51) *</t>
  </si>
  <si>
    <t>Non-Racetrack Municipalities (202/200) *</t>
  </si>
  <si>
    <t>FISCAL YEAR 2025</t>
  </si>
  <si>
    <t>July 2024</t>
  </si>
  <si>
    <t>FY 2024</t>
  </si>
  <si>
    <t>August 2024</t>
  </si>
  <si>
    <t>September 2024</t>
  </si>
  <si>
    <t>October 2024</t>
  </si>
  <si>
    <t>November 2024</t>
  </si>
  <si>
    <t>FOR THE MONTH ENDING DECEMBER 31, 2024</t>
  </si>
  <si>
    <t>December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</si>
</sst>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7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12" fillId="0" borderId="0" applyFont="0" applyFill="0" applyBorder="0" applyAlignment="0" applyProtection="0"/>
  </cellStyleXfs>
  <cellXfs count="26">
    <xf numFmtId="0" fontId="0" fillId="0" borderId="0" xfId="0"/>
    <xf numFmtId="0" fontId="14" fillId="0" borderId="0" xfId="0" applyFont="1"/>
    <xf numFmtId="0" fontId="14" fillId="0" borderId="0" xfId="0" applyFont="1" applyAlignment="1">
      <alignment horizontal="center"/>
    </xf>
    <xf numFmtId="0" fontId="14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/>
    </xf>
    <xf numFmtId="0" fontId="14" fillId="0" borderId="0" xfId="0" applyFont="1" applyAlignment="1">
      <alignment horizontal="center" wrapText="1"/>
    </xf>
    <xf numFmtId="44" fontId="14" fillId="0" borderId="0" xfId="1" applyFont="1"/>
    <xf numFmtId="44" fontId="14" fillId="0" borderId="2" xfId="0" applyNumberFormat="1" applyFont="1" applyBorder="1"/>
    <xf numFmtId="0" fontId="16" fillId="0" borderId="0" xfId="0" applyFont="1"/>
    <xf numFmtId="0" fontId="11" fillId="0" borderId="0" xfId="0" applyFont="1"/>
    <xf numFmtId="0" fontId="10" fillId="0" borderId="0" xfId="0" applyFont="1"/>
    <xf numFmtId="0" fontId="9" fillId="0" borderId="0" xfId="0" applyFont="1"/>
    <xf numFmtId="0" fontId="8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6" fillId="0" borderId="0" xfId="0" quotePrefix="1" applyFont="1"/>
    <xf numFmtId="0" fontId="6" fillId="0" borderId="0" xfId="0" applyFont="1"/>
    <xf numFmtId="0" fontId="5" fillId="0" borderId="0" xfId="0" quotePrefix="1" applyFont="1"/>
    <xf numFmtId="0" fontId="4" fillId="0" borderId="0" xfId="0" quotePrefix="1" applyFont="1"/>
    <xf numFmtId="0" fontId="3" fillId="0" borderId="0" xfId="0" quotePrefix="1" applyFont="1"/>
    <xf numFmtId="0" fontId="2" fillId="0" borderId="0" xfId="0" quotePrefix="1" applyFont="1"/>
    <xf numFmtId="0" fontId="1" fillId="0" borderId="0" xfId="0" quotePrefix="1" applyFont="1"/>
    <xf numFmtId="0" fontId="15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9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0"/>
  <sheetViews>
    <sheetView tabSelected="1" workbookViewId="0">
      <selection activeCell="O15" sqref="O15"/>
    </sheetView>
  </sheetViews>
  <sheetFormatPr defaultColWidth="9.140625" defaultRowHeight="15" customHeight="1" x14ac:dyDescent="0.25"/>
  <cols>
    <col min="1" max="1" width="15.7109375" style="1" customWidth="1"/>
    <col min="2" max="3" width="15.28515625" style="1" bestFit="1" customWidth="1"/>
    <col min="4" max="4" width="14.28515625" style="1" bestFit="1" customWidth="1"/>
    <col min="5" max="5" width="13.7109375" style="1" customWidth="1"/>
    <col min="6" max="6" width="14.28515625" style="1" bestFit="1" customWidth="1"/>
    <col min="7" max="7" width="15.140625" style="1" customWidth="1"/>
    <col min="8" max="9" width="14.28515625" style="1" bestFit="1" customWidth="1"/>
    <col min="10" max="10" width="13.7109375" style="1" bestFit="1" customWidth="1"/>
    <col min="11" max="11" width="13.85546875" style="1" customWidth="1"/>
    <col min="12" max="12" width="15.28515625" style="1" bestFit="1" customWidth="1"/>
    <col min="13" max="13" width="12.5703125" style="1" bestFit="1" customWidth="1"/>
    <col min="14" max="14" width="14.28515625" style="1" bestFit="1" customWidth="1"/>
    <col min="15" max="15" width="15.140625" style="1" customWidth="1"/>
    <col min="16" max="16384" width="9.140625" style="1"/>
  </cols>
  <sheetData>
    <row r="1" spans="1:15" ht="18.75" x14ac:dyDescent="0.3">
      <c r="A1" s="21" t="s">
        <v>22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</row>
    <row r="2" spans="1:15" ht="15" customHeight="1" x14ac:dyDescent="0.25">
      <c r="A2" s="22" t="s">
        <v>23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</row>
    <row r="3" spans="1:15" ht="15" customHeight="1" x14ac:dyDescent="0.25">
      <c r="A3" s="22" t="s">
        <v>33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</row>
    <row r="4" spans="1:15" ht="15" customHeight="1" x14ac:dyDescent="0.25">
      <c r="A4" s="22" t="s">
        <v>26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</row>
    <row r="5" spans="1:15" ht="15" customHeight="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6" spans="1:15" ht="15" customHeight="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8" spans="1:15" ht="60" customHeight="1" x14ac:dyDescent="0.25">
      <c r="B8" s="3" t="s">
        <v>1</v>
      </c>
      <c r="C8" s="4" t="s">
        <v>2</v>
      </c>
      <c r="D8" s="4" t="s">
        <v>3</v>
      </c>
      <c r="E8" s="3" t="s">
        <v>4</v>
      </c>
      <c r="F8" s="3" t="s">
        <v>20</v>
      </c>
      <c r="G8" s="3" t="s">
        <v>21</v>
      </c>
      <c r="H8" s="3" t="s">
        <v>6</v>
      </c>
      <c r="I8" s="3" t="s">
        <v>7</v>
      </c>
      <c r="J8" s="3" t="s">
        <v>8</v>
      </c>
      <c r="K8" s="3" t="s">
        <v>9</v>
      </c>
      <c r="L8" s="3" t="s">
        <v>10</v>
      </c>
      <c r="M8" s="3" t="s">
        <v>11</v>
      </c>
      <c r="N8" s="12" t="s">
        <v>24</v>
      </c>
      <c r="O8" s="13" t="s">
        <v>25</v>
      </c>
    </row>
    <row r="9" spans="1:15" x14ac:dyDescent="0.25">
      <c r="B9" s="5"/>
      <c r="C9" s="2"/>
      <c r="D9" s="2"/>
      <c r="E9" s="5"/>
      <c r="F9" s="5"/>
      <c r="G9" s="5"/>
      <c r="H9" s="5"/>
      <c r="I9" s="5"/>
      <c r="J9" s="5"/>
      <c r="K9" s="5"/>
      <c r="L9" s="5"/>
      <c r="M9" s="5"/>
      <c r="N9" s="5"/>
      <c r="O9" s="5"/>
    </row>
    <row r="10" spans="1:15" ht="15" customHeight="1" x14ac:dyDescent="0.25">
      <c r="A10" s="14" t="str">
        <f>Mountaineer!A9</f>
        <v>July 2024</v>
      </c>
      <c r="B10" s="6">
        <f>SUM('Mountaineer:Charles Town'!B9)</f>
        <v>6649583.9900000002</v>
      </c>
      <c r="C10" s="6">
        <f>SUM('Mountaineer:Charles Town'!C9)</f>
        <v>2327354.41</v>
      </c>
      <c r="D10" s="6">
        <f>SUM('Mountaineer:Charles Town'!D9)</f>
        <v>199487.52000000002</v>
      </c>
      <c r="E10" s="6">
        <f>SUM('Mountaineer:Charles Town'!E9)</f>
        <v>29923.14</v>
      </c>
      <c r="F10" s="6">
        <f>SUM('Mountaineer:Charles Town'!F9)</f>
        <v>149615.62</v>
      </c>
      <c r="G10" s="6">
        <f>SUM('Mountaineer:Charles Town'!G9)</f>
        <v>119692.53</v>
      </c>
      <c r="H10" s="6">
        <f>SUM('Mountaineer:Charles Town'!H9)</f>
        <v>132991.69999999998</v>
      </c>
      <c r="I10" s="6">
        <f>SUM('Mountaineer:Charles Town'!I9)</f>
        <v>199487.52000000002</v>
      </c>
      <c r="J10" s="6">
        <f>SUM('Mountaineer:Charles Town'!J9)</f>
        <v>33247.919999999998</v>
      </c>
      <c r="K10" s="6">
        <f>SUM('Mountaineer:Charles Town'!K9)</f>
        <v>24672.329999999998</v>
      </c>
      <c r="L10" s="6">
        <f>SUM('Mountaineer:Charles Town'!L9)</f>
        <v>1130561.3999999999</v>
      </c>
      <c r="M10" s="6">
        <f>SUM('Mountaineer:Charles Town'!M9)</f>
        <v>59503.229999999996</v>
      </c>
      <c r="N10" s="6">
        <f>SUM('Mountaineer:Charles Town'!N9)</f>
        <v>148758.33000000002</v>
      </c>
      <c r="O10" s="6">
        <f>SUM('Mountaineer:Charles Town'!O9)</f>
        <v>148758</v>
      </c>
    </row>
    <row r="11" spans="1:15" ht="15" customHeight="1" x14ac:dyDescent="0.25">
      <c r="A11" s="14" t="str">
        <f>Mountaineer!A10</f>
        <v>August 2024</v>
      </c>
      <c r="B11" s="6">
        <f>SUM('Mountaineer:Charles Town'!B10)</f>
        <v>8391802.3000000007</v>
      </c>
      <c r="C11" s="6">
        <f>SUM('Mountaineer:Charles Town'!C10)</f>
        <v>2937130.81</v>
      </c>
      <c r="D11" s="6">
        <f>SUM('Mountaineer:Charles Town'!D10)</f>
        <v>251754.12</v>
      </c>
      <c r="E11" s="6">
        <f>SUM('Mountaineer:Charles Town'!E10)</f>
        <v>37763.089999999997</v>
      </c>
      <c r="F11" s="6">
        <f>SUM('Mountaineer:Charles Town'!F10)</f>
        <v>188815.55</v>
      </c>
      <c r="G11" s="6">
        <f>SUM('Mountaineer:Charles Town'!G10)</f>
        <v>151052.47999999998</v>
      </c>
      <c r="H11" s="6">
        <f>SUM('Mountaineer:Charles Town'!H10)</f>
        <v>167836.08</v>
      </c>
      <c r="I11" s="6">
        <f>SUM('Mountaineer:Charles Town'!I10)</f>
        <v>251754.12</v>
      </c>
      <c r="J11" s="6">
        <f>SUM('Mountaineer:Charles Town'!J10)</f>
        <v>41959.020000000004</v>
      </c>
      <c r="K11" s="6">
        <f>SUM('Mountaineer:Charles Town'!K10)</f>
        <v>29829.489999999998</v>
      </c>
      <c r="L11" s="6">
        <f>SUM('Mountaineer:Charles Town'!L10)</f>
        <v>1425779.6199999999</v>
      </c>
      <c r="M11" s="6">
        <f>SUM('Mountaineer:Charles Town'!M10)</f>
        <v>75041.040000000008</v>
      </c>
      <c r="N11" s="6">
        <f>SUM('Mountaineer:Charles Town'!N10)</f>
        <v>187602.47999999998</v>
      </c>
      <c r="O11" s="6">
        <f>SUM('Mountaineer:Charles Town'!O10)</f>
        <v>187602</v>
      </c>
    </row>
    <row r="12" spans="1:15" ht="15" customHeight="1" x14ac:dyDescent="0.25">
      <c r="A12" s="14" t="str">
        <f>Mountaineer!A11</f>
        <v>September 2024</v>
      </c>
      <c r="B12" s="6">
        <f>SUM('Mountaineer:Charles Town'!B11)</f>
        <v>7650338.71</v>
      </c>
      <c r="C12" s="6">
        <f>SUM('Mountaineer:Charles Town'!C11)</f>
        <v>2677618.56</v>
      </c>
      <c r="D12" s="6">
        <f>SUM('Mountaineer:Charles Town'!D11)</f>
        <v>229510.18000000002</v>
      </c>
      <c r="E12" s="6">
        <f>SUM('Mountaineer:Charles Town'!E11)</f>
        <v>34426.509999999995</v>
      </c>
      <c r="F12" s="6">
        <f>SUM('Mountaineer:Charles Town'!F11)</f>
        <v>172132.62</v>
      </c>
      <c r="G12" s="6">
        <f>SUM('Mountaineer:Charles Town'!G11)</f>
        <v>137706.09</v>
      </c>
      <c r="H12" s="6">
        <f>SUM('Mountaineer:Charles Town'!H11)</f>
        <v>153006.77000000002</v>
      </c>
      <c r="I12" s="6">
        <f>SUM('Mountaineer:Charles Town'!I11)</f>
        <v>229510.18000000002</v>
      </c>
      <c r="J12" s="6">
        <f>SUM('Mountaineer:Charles Town'!J11)</f>
        <v>38251.68</v>
      </c>
      <c r="K12" s="6">
        <f>SUM('Mountaineer:Charles Town'!K11)</f>
        <v>19820.149999999998</v>
      </c>
      <c r="L12" s="6">
        <f>SUM('Mountaineer:Charles Town'!L11)</f>
        <v>1294199.94</v>
      </c>
      <c r="M12" s="6">
        <f>SUM('Mountaineer:Charles Town'!M11)</f>
        <v>68115.78</v>
      </c>
      <c r="N12" s="6">
        <f>SUM('Mountaineer:Charles Town'!N11)</f>
        <v>170289.50999999998</v>
      </c>
      <c r="O12" s="6">
        <f>SUM('Mountaineer:Charles Town'!O11)</f>
        <v>170290</v>
      </c>
    </row>
    <row r="13" spans="1:15" ht="15" customHeight="1" x14ac:dyDescent="0.25">
      <c r="A13" s="14" t="str">
        <f>Mountaineer!A12</f>
        <v>October 2024</v>
      </c>
      <c r="B13" s="6">
        <f>SUM('Mountaineer:Charles Town'!B12)</f>
        <v>6996327.3200000003</v>
      </c>
      <c r="C13" s="6">
        <f>SUM('Mountaineer:Charles Town'!C12)</f>
        <v>2448714.59</v>
      </c>
      <c r="D13" s="6">
        <f>SUM('Mountaineer:Charles Town'!D12)</f>
        <v>209889.82</v>
      </c>
      <c r="E13" s="6">
        <f>SUM('Mountaineer:Charles Town'!E12)</f>
        <v>31483.47</v>
      </c>
      <c r="F13" s="6">
        <f>SUM('Mountaineer:Charles Town'!F12)</f>
        <v>157417.37</v>
      </c>
      <c r="G13" s="6">
        <f>SUM('Mountaineer:Charles Town'!G12)</f>
        <v>125933.89000000001</v>
      </c>
      <c r="H13" s="6">
        <f>SUM('Mountaineer:Charles Town'!H12)</f>
        <v>139926.54999999999</v>
      </c>
      <c r="I13" s="6">
        <f>SUM('Mountaineer:Charles Town'!I12)</f>
        <v>209889.82</v>
      </c>
      <c r="J13" s="6">
        <f>SUM('Mountaineer:Charles Town'!J12)</f>
        <v>34981.64</v>
      </c>
      <c r="K13" s="6">
        <f>SUM('Mountaineer:Charles Town'!K12)</f>
        <v>18904.66</v>
      </c>
      <c r="L13" s="6">
        <f>SUM('Mountaineer:Charles Town'!L12)</f>
        <v>1184153.46</v>
      </c>
      <c r="M13" s="6">
        <f>SUM('Mountaineer:Charles Town'!M12)</f>
        <v>62323.87</v>
      </c>
      <c r="N13" s="6">
        <f>SUM('Mountaineer:Charles Town'!N12)</f>
        <v>155809.59</v>
      </c>
      <c r="O13" s="6">
        <f>SUM('Mountaineer:Charles Town'!O12)</f>
        <v>155810</v>
      </c>
    </row>
    <row r="14" spans="1:15" ht="15" customHeight="1" x14ac:dyDescent="0.25">
      <c r="A14" s="14" t="str">
        <f>Mountaineer!A13</f>
        <v>November 2024</v>
      </c>
      <c r="B14" s="6">
        <f>SUM('Mountaineer:Charles Town'!B13)</f>
        <v>8213912.6200000001</v>
      </c>
      <c r="C14" s="6">
        <f>SUM('Mountaineer:Charles Town'!C13)</f>
        <v>2874869.4</v>
      </c>
      <c r="D14" s="6">
        <f>SUM('Mountaineer:Charles Town'!D13)</f>
        <v>246417.34</v>
      </c>
      <c r="E14" s="6">
        <f>SUM('Mountaineer:Charles Town'!E13)</f>
        <v>36962.61</v>
      </c>
      <c r="F14" s="6">
        <f>SUM('Mountaineer:Charles Town'!F13)</f>
        <v>184813.03</v>
      </c>
      <c r="G14" s="6">
        <f>SUM('Mountaineer:Charles Town'!G13)</f>
        <v>147850.41999999998</v>
      </c>
      <c r="H14" s="6">
        <f>SUM('Mountaineer:Charles Town'!H13)</f>
        <v>164278.24</v>
      </c>
      <c r="I14" s="6">
        <f>SUM('Mountaineer:Charles Town'!I13)</f>
        <v>246417.34</v>
      </c>
      <c r="J14" s="6">
        <f>SUM('Mountaineer:Charles Town'!J13)</f>
        <v>41069.56</v>
      </c>
      <c r="K14" s="6">
        <f>SUM('Mountaineer:Charles Town'!K13)</f>
        <v>20121.38</v>
      </c>
      <c r="L14" s="6">
        <f>SUM('Mountaineer:Charles Town'!L13)</f>
        <v>1388658.4900000002</v>
      </c>
      <c r="M14" s="6">
        <f>SUM('Mountaineer:Charles Town'!M13)</f>
        <v>73087.290000000008</v>
      </c>
      <c r="N14" s="6">
        <f>SUM('Mountaineer:Charles Town'!N13)</f>
        <v>182718.21</v>
      </c>
      <c r="O14" s="6">
        <f>SUM('Mountaineer:Charles Town'!O13)</f>
        <v>182718</v>
      </c>
    </row>
    <row r="15" spans="1:15" ht="15" customHeight="1" x14ac:dyDescent="0.25">
      <c r="A15" s="14" t="str">
        <f>Mountaineer!A14</f>
        <v>December 2024</v>
      </c>
      <c r="B15" s="6">
        <f>SUM('Mountaineer:Charles Town'!B14)</f>
        <v>8133814.25</v>
      </c>
      <c r="C15" s="6">
        <f>SUM('Mountaineer:Charles Town'!C14)</f>
        <v>2846835.0300000003</v>
      </c>
      <c r="D15" s="6">
        <f>SUM('Mountaineer:Charles Town'!D14)</f>
        <v>244014.46000000002</v>
      </c>
      <c r="E15" s="6">
        <f>SUM('Mountaineer:Charles Town'!E14)</f>
        <v>36602.18</v>
      </c>
      <c r="F15" s="6">
        <f>SUM('Mountaineer:Charles Town'!F14)</f>
        <v>183010.81</v>
      </c>
      <c r="G15" s="6">
        <f>SUM('Mountaineer:Charles Town'!G14)</f>
        <v>146408.66999999998</v>
      </c>
      <c r="H15" s="6">
        <f>SUM('Mountaineer:Charles Town'!H14)</f>
        <v>162676.29999999999</v>
      </c>
      <c r="I15" s="6">
        <f>SUM('Mountaineer:Charles Town'!I14)</f>
        <v>244014.46000000002</v>
      </c>
      <c r="J15" s="6">
        <f>SUM('Mountaineer:Charles Town'!J14)</f>
        <v>40669.08</v>
      </c>
      <c r="K15" s="6">
        <f>SUM('Mountaineer:Charles Town'!K14)</f>
        <v>19882.810000000001</v>
      </c>
      <c r="L15" s="6">
        <f>SUM('Mountaineer:Charles Town'!L14)</f>
        <v>1375084.6199999999</v>
      </c>
      <c r="M15" s="6">
        <f>SUM('Mountaineer:Charles Town'!M14)</f>
        <v>72372.88</v>
      </c>
      <c r="N15" s="6">
        <f>SUM('Mountaineer:Charles Town'!N14)</f>
        <v>180932.19</v>
      </c>
      <c r="O15" s="6">
        <f>SUM('Mountaineer:Charles Town'!O14)</f>
        <v>180932</v>
      </c>
    </row>
    <row r="16" spans="1:15" ht="13.5" customHeight="1" x14ac:dyDescent="0.25"/>
    <row r="17" spans="1:15" ht="15" customHeight="1" thickBot="1" x14ac:dyDescent="0.3">
      <c r="B17" s="7">
        <f t="shared" ref="B17:O17" si="0">SUM(B10:B16)</f>
        <v>46035779.189999998</v>
      </c>
      <c r="C17" s="7">
        <f t="shared" si="0"/>
        <v>16112522.800000001</v>
      </c>
      <c r="D17" s="7">
        <f t="shared" si="0"/>
        <v>1381073.4400000002</v>
      </c>
      <c r="E17" s="7">
        <f t="shared" si="0"/>
        <v>207161</v>
      </c>
      <c r="F17" s="7">
        <f t="shared" si="0"/>
        <v>1035805</v>
      </c>
      <c r="G17" s="7">
        <f t="shared" si="0"/>
        <v>828644.07999999984</v>
      </c>
      <c r="H17" s="7">
        <f t="shared" si="0"/>
        <v>920715.6399999999</v>
      </c>
      <c r="I17" s="7">
        <f t="shared" si="0"/>
        <v>1381073.4400000002</v>
      </c>
      <c r="J17" s="7">
        <f t="shared" si="0"/>
        <v>230178.90000000002</v>
      </c>
      <c r="K17" s="7">
        <f t="shared" si="0"/>
        <v>133230.82</v>
      </c>
      <c r="L17" s="7">
        <f t="shared" si="0"/>
        <v>7798437.5300000003</v>
      </c>
      <c r="M17" s="7">
        <f t="shared" si="0"/>
        <v>410444.09000000008</v>
      </c>
      <c r="N17" s="7">
        <f t="shared" si="0"/>
        <v>1026110.3099999998</v>
      </c>
      <c r="O17" s="7">
        <f t="shared" si="0"/>
        <v>1026110</v>
      </c>
    </row>
    <row r="18" spans="1:15" ht="15" customHeight="1" thickTop="1" x14ac:dyDescent="0.25"/>
    <row r="19" spans="1:15" ht="15" customHeight="1" x14ac:dyDescent="0.25">
      <c r="A19" s="8" t="s">
        <v>14</v>
      </c>
    </row>
    <row r="20" spans="1:15" ht="15" customHeight="1" x14ac:dyDescent="0.25">
      <c r="A20" s="8" t="s">
        <v>15</v>
      </c>
    </row>
  </sheetData>
  <mergeCells count="4">
    <mergeCell ref="A1:O1"/>
    <mergeCell ref="A2:O2"/>
    <mergeCell ref="A3:O3"/>
    <mergeCell ref="A4:O4"/>
  </mergeCells>
  <pageMargins left="0.25" right="0.25" top="0.5" bottom="0.5" header="0" footer="0"/>
  <pageSetup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19"/>
  <sheetViews>
    <sheetView workbookViewId="0">
      <selection activeCell="O15" sqref="O15"/>
    </sheetView>
  </sheetViews>
  <sheetFormatPr defaultColWidth="9.140625" defaultRowHeight="15" customHeight="1" x14ac:dyDescent="0.25"/>
  <cols>
    <col min="1" max="1" width="15.7109375" style="1" customWidth="1"/>
    <col min="2" max="2" width="16.140625" style="1" bestFit="1" customWidth="1"/>
    <col min="3" max="3" width="14.7109375" style="1" customWidth="1"/>
    <col min="4" max="9" width="13.7109375" style="1" customWidth="1"/>
    <col min="10" max="10" width="13.5703125" style="1" customWidth="1"/>
    <col min="11" max="11" width="11.7109375" style="1" customWidth="1"/>
    <col min="12" max="12" width="14.7109375" style="1" customWidth="1"/>
    <col min="13" max="13" width="13.28515625" style="1" bestFit="1" customWidth="1"/>
    <col min="14" max="14" width="13.7109375" style="1" customWidth="1"/>
    <col min="15" max="15" width="14.42578125" style="1" customWidth="1"/>
    <col min="16" max="16384" width="9.140625" style="1"/>
  </cols>
  <sheetData>
    <row r="1" spans="1:15" ht="15" customHeight="1" x14ac:dyDescent="0.25">
      <c r="A1" s="23" t="s">
        <v>18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</row>
    <row r="2" spans="1:15" ht="15" customHeight="1" x14ac:dyDescent="0.25">
      <c r="A2" s="10"/>
    </row>
    <row r="3" spans="1:15" ht="15" customHeight="1" x14ac:dyDescent="0.25">
      <c r="A3" s="9"/>
    </row>
    <row r="4" spans="1:15" ht="45" customHeight="1" x14ac:dyDescent="0.25">
      <c r="B4" s="3" t="s">
        <v>1</v>
      </c>
      <c r="C4" s="4" t="s">
        <v>2</v>
      </c>
      <c r="D4" s="4" t="s">
        <v>3</v>
      </c>
      <c r="E4" s="3" t="s">
        <v>4</v>
      </c>
      <c r="F4" s="3" t="s">
        <v>19</v>
      </c>
      <c r="G4" s="3" t="s">
        <v>5</v>
      </c>
      <c r="H4" s="3" t="s">
        <v>6</v>
      </c>
      <c r="I4" s="3" t="s">
        <v>7</v>
      </c>
      <c r="J4" s="3" t="s">
        <v>8</v>
      </c>
      <c r="K4" s="3" t="s">
        <v>9</v>
      </c>
      <c r="L4" s="3" t="s">
        <v>10</v>
      </c>
      <c r="M4" s="3" t="s">
        <v>11</v>
      </c>
      <c r="N4" s="3" t="s">
        <v>12</v>
      </c>
      <c r="O4" s="3" t="s">
        <v>13</v>
      </c>
    </row>
    <row r="5" spans="1:15" ht="15" customHeight="1" x14ac:dyDescent="0.25">
      <c r="A5" s="15" t="s">
        <v>28</v>
      </c>
      <c r="B5" s="6">
        <v>10138697.75</v>
      </c>
      <c r="C5" s="6">
        <v>3548544.2800000003</v>
      </c>
      <c r="D5" s="6">
        <v>304160.86000000004</v>
      </c>
      <c r="E5" s="6">
        <v>45624.159999999996</v>
      </c>
      <c r="F5" s="6">
        <v>228120.70999999996</v>
      </c>
      <c r="G5" s="6">
        <v>182496.54</v>
      </c>
      <c r="H5" s="6">
        <v>202773.96</v>
      </c>
      <c r="I5" s="6">
        <v>304160.86000000004</v>
      </c>
      <c r="J5" s="6">
        <v>50693.47</v>
      </c>
      <c r="K5" s="6">
        <v>75403.149999999994</v>
      </c>
      <c r="L5" s="6">
        <v>1752496.8099999998</v>
      </c>
      <c r="M5" s="6">
        <v>92236.680000000008</v>
      </c>
      <c r="N5" s="6">
        <v>230591.59</v>
      </c>
      <c r="O5" s="6">
        <v>230591.91999999998</v>
      </c>
    </row>
    <row r="7" spans="1:15" ht="15" customHeight="1" x14ac:dyDescent="0.25">
      <c r="A7" s="24" t="s">
        <v>26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</row>
    <row r="9" spans="1:15" ht="14.25" customHeight="1" x14ac:dyDescent="0.25">
      <c r="A9" s="14" t="s">
        <v>27</v>
      </c>
      <c r="B9" s="6">
        <v>819116</v>
      </c>
      <c r="C9" s="6">
        <f>ROUND($B9*0.35,2)+0.01</f>
        <v>286690.61</v>
      </c>
      <c r="D9" s="6">
        <f>ROUND($B9*0.03,2)</f>
        <v>24573.48</v>
      </c>
      <c r="E9" s="6">
        <f t="shared" ref="E9:E14" si="0">ROUND($B9*0.0045,2)</f>
        <v>3686.02</v>
      </c>
      <c r="F9" s="6">
        <f t="shared" ref="F9:F14" si="1">ROUND(($B9*0.025)*0.9,2)</f>
        <v>18430.11</v>
      </c>
      <c r="G9" s="6">
        <f t="shared" ref="G9" si="2">ROUND(($B9*0.02)*0.9,2)</f>
        <v>14744.09</v>
      </c>
      <c r="H9" s="6">
        <f t="shared" ref="H9" si="3">ROUND($B9*0.02,2)</f>
        <v>16382.32</v>
      </c>
      <c r="I9" s="6">
        <f>ROUND($B9*0.03,2)</f>
        <v>24573.48</v>
      </c>
      <c r="J9" s="6">
        <f t="shared" ref="J9:J10" si="4">ROUND($B9*0.005,2)</f>
        <v>4095.58</v>
      </c>
      <c r="K9" s="6">
        <v>6168.08</v>
      </c>
      <c r="L9" s="6">
        <f>ROUND((($B9*0.22)+$K9)*0.76,2)+0.01</f>
        <v>141643.95000000001</v>
      </c>
      <c r="M9" s="6">
        <f t="shared" ref="M9:M10" si="5">ROUND((($B9*0.22)+$K9)*0.04,2)</f>
        <v>7454.94</v>
      </c>
      <c r="N9" s="6">
        <f>ROUND((($B9*0.22)+$K9)*0.1,2)+0.06</f>
        <v>18637.420000000002</v>
      </c>
      <c r="O9" s="6">
        <f>ROUND((($B9*0.22)+$K9)*0.1,2)-0.02</f>
        <v>18637.34</v>
      </c>
    </row>
    <row r="10" spans="1:15" ht="14.25" customHeight="1" x14ac:dyDescent="0.25">
      <c r="A10" s="16" t="s">
        <v>29</v>
      </c>
      <c r="B10" s="6">
        <v>996969.5</v>
      </c>
      <c r="C10" s="6">
        <f>ROUND($B10*0.35,2)</f>
        <v>348939.33</v>
      </c>
      <c r="D10" s="6">
        <f>ROUND($B10*0.03,2)+0.01</f>
        <v>29909.1</v>
      </c>
      <c r="E10" s="6">
        <f t="shared" si="0"/>
        <v>4486.3599999999997</v>
      </c>
      <c r="F10" s="6">
        <f t="shared" si="1"/>
        <v>22431.81</v>
      </c>
      <c r="G10" s="6">
        <f>ROUND(($B10*0.02)*0.9,2)+0.01</f>
        <v>17945.46</v>
      </c>
      <c r="H10" s="6">
        <f>ROUND($B10*0.02,2)+0.01</f>
        <v>19939.399999999998</v>
      </c>
      <c r="I10" s="6">
        <f>ROUND($B10*0.03,2)+0.01</f>
        <v>29909.1</v>
      </c>
      <c r="J10" s="6">
        <f t="shared" si="4"/>
        <v>4984.8500000000004</v>
      </c>
      <c r="K10" s="6">
        <v>7457.38</v>
      </c>
      <c r="L10" s="6">
        <f>ROUND((($B10*0.22)+$K10)*0.76,2)-0.03</f>
        <v>172360.88</v>
      </c>
      <c r="M10" s="6">
        <f t="shared" si="5"/>
        <v>9071.6299999999992</v>
      </c>
      <c r="N10" s="6">
        <f>ROUND((($B10*0.22)+$K10)*0.1,2)-0.04</f>
        <v>22679.03</v>
      </c>
      <c r="O10" s="6">
        <f>ROUND((($B10*0.22)+$K10)*0.1,2)-0.15</f>
        <v>22678.92</v>
      </c>
    </row>
    <row r="11" spans="1:15" ht="14.25" customHeight="1" x14ac:dyDescent="0.25">
      <c r="A11" s="17" t="s">
        <v>30</v>
      </c>
      <c r="B11" s="6">
        <v>806913.75</v>
      </c>
      <c r="C11" s="6">
        <f>ROUND($B11*0.35,2)+0.01</f>
        <v>282419.82</v>
      </c>
      <c r="D11" s="6">
        <f>ROUND($B11*0.03,2)+0.01</f>
        <v>24207.42</v>
      </c>
      <c r="E11" s="6">
        <f t="shared" si="0"/>
        <v>3631.11</v>
      </c>
      <c r="F11" s="6">
        <f t="shared" si="1"/>
        <v>18155.560000000001</v>
      </c>
      <c r="G11" s="6">
        <f>ROUND(($B11*0.02)*0.9,2)</f>
        <v>14524.45</v>
      </c>
      <c r="H11" s="6">
        <f>ROUND($B11*0.02,2)</f>
        <v>16138.28</v>
      </c>
      <c r="I11" s="6">
        <f>ROUND($B11*0.03,2)+0.01</f>
        <v>24207.42</v>
      </c>
      <c r="J11" s="6">
        <f>ROUND($B11*0.005,2)-0.01</f>
        <v>4034.56</v>
      </c>
      <c r="K11" s="6">
        <v>4955.04</v>
      </c>
      <c r="L11" s="6">
        <f>ROUND((($B11*0.22)+$K11)*0.76,2)-0.01</f>
        <v>138681.79999999999</v>
      </c>
      <c r="M11" s="6">
        <f>ROUND((($B11*0.22)+$K11)*0.04,2)</f>
        <v>7299.04</v>
      </c>
      <c r="N11" s="6">
        <f>ROUND((($B11*0.22)+$K11)*0.1,2)+0.01</f>
        <v>18247.62</v>
      </c>
      <c r="O11" s="6">
        <f>ROUND((($B11*0.22)+$K11)*0.1,2)+0.13</f>
        <v>18247.740000000002</v>
      </c>
    </row>
    <row r="12" spans="1:15" ht="14.25" customHeight="1" x14ac:dyDescent="0.25">
      <c r="A12" s="18" t="s">
        <v>31</v>
      </c>
      <c r="B12" s="6">
        <v>914003.5</v>
      </c>
      <c r="C12" s="6">
        <f>ROUND($B12*0.35,2)+0.01</f>
        <v>319901.24</v>
      </c>
      <c r="D12" s="6">
        <f>ROUND($B12*0.03,2)-0.01</f>
        <v>27420.100000000002</v>
      </c>
      <c r="E12" s="6">
        <f t="shared" si="0"/>
        <v>4113.0200000000004</v>
      </c>
      <c r="F12" s="6">
        <f t="shared" si="1"/>
        <v>20565.080000000002</v>
      </c>
      <c r="G12" s="6">
        <f>ROUND(($B12*0.02)*0.9,2)</f>
        <v>16452.060000000001</v>
      </c>
      <c r="H12" s="6">
        <f>ROUND($B12*0.02,2)</f>
        <v>18280.07</v>
      </c>
      <c r="I12" s="6">
        <f>ROUND($B12*0.03,2)-0.01</f>
        <v>27420.100000000002</v>
      </c>
      <c r="J12" s="6">
        <f>ROUND($B12*0.005,2)</f>
        <v>4570.0200000000004</v>
      </c>
      <c r="K12" s="6">
        <v>4726.16</v>
      </c>
      <c r="L12" s="6">
        <f>ROUND((($B12*0.22)+$K12)*0.76,2)</f>
        <v>156413.26999999999</v>
      </c>
      <c r="M12" s="6">
        <f>ROUND((($B12*0.22)+$K12)*0.04,2)</f>
        <v>8232.2800000000007</v>
      </c>
      <c r="N12" s="6">
        <f>ROUND((($B12*0.22)+$K12)*0.1,2)-0.01</f>
        <v>20580.68</v>
      </c>
      <c r="O12" s="6">
        <f>ROUND((($B12*0.22)+$K12)*0.1,2)+0.08</f>
        <v>20580.77</v>
      </c>
    </row>
    <row r="13" spans="1:15" ht="14.25" customHeight="1" x14ac:dyDescent="0.25">
      <c r="A13" s="19" t="s">
        <v>32</v>
      </c>
      <c r="B13" s="6">
        <v>766702.25</v>
      </c>
      <c r="C13" s="6">
        <f>ROUND($B13*0.35,2)-0.02</f>
        <v>268345.76999999996</v>
      </c>
      <c r="D13" s="6">
        <f>ROUND($B13*0.03,2)-0.01</f>
        <v>23001.06</v>
      </c>
      <c r="E13" s="6">
        <f t="shared" si="0"/>
        <v>3450.16</v>
      </c>
      <c r="F13" s="6">
        <f t="shared" si="1"/>
        <v>17250.8</v>
      </c>
      <c r="G13" s="6">
        <f>ROUND(($B13*0.02)*0.9,2)</f>
        <v>13800.64</v>
      </c>
      <c r="H13" s="6">
        <f>ROUND($B13*0.02,2)-0.01</f>
        <v>15334.039999999999</v>
      </c>
      <c r="I13" s="6">
        <f>ROUND($B13*0.03,2)-0.01</f>
        <v>23001.06</v>
      </c>
      <c r="J13" s="6">
        <f>ROUND($B13*0.005,2)</f>
        <v>3833.51</v>
      </c>
      <c r="K13" s="6">
        <v>5030.3500000000004</v>
      </c>
      <c r="L13" s="6">
        <f>ROUND((($B13*0.22)+$K13)*0.76,2)</f>
        <v>132015.67999999999</v>
      </c>
      <c r="M13" s="6">
        <f>ROUND((($B13*0.22)+$K13)*0.04,2)</f>
        <v>6948.19</v>
      </c>
      <c r="N13" s="6">
        <f>ROUND((($B13*0.22)+$K13)*0.1,2)</f>
        <v>17370.48</v>
      </c>
      <c r="O13" s="6">
        <f>ROUND((($B13*0.22)+$K13)*0.1,2)-0.05</f>
        <v>17370.43</v>
      </c>
    </row>
    <row r="14" spans="1:15" ht="14.25" customHeight="1" x14ac:dyDescent="0.25">
      <c r="A14" s="20" t="s">
        <v>34</v>
      </c>
      <c r="B14" s="6">
        <v>899291.75</v>
      </c>
      <c r="C14" s="6">
        <f>ROUND($B14*0.35,2)+0.01</f>
        <v>314752.12</v>
      </c>
      <c r="D14" s="6">
        <f>ROUND($B14*0.03,2)+0.01</f>
        <v>26978.76</v>
      </c>
      <c r="E14" s="6">
        <f t="shared" si="0"/>
        <v>4046.81</v>
      </c>
      <c r="F14" s="6">
        <f t="shared" si="1"/>
        <v>20234.060000000001</v>
      </c>
      <c r="G14" s="6">
        <f>ROUND(($B14*0.02)*0.9,2)</f>
        <v>16187.25</v>
      </c>
      <c r="H14" s="6">
        <f>ROUND($B14*0.02,2)-0.01</f>
        <v>17985.830000000002</v>
      </c>
      <c r="I14" s="6">
        <f>ROUND($B14*0.03,2)+0.01</f>
        <v>26978.76</v>
      </c>
      <c r="J14" s="6">
        <f>ROUND($B14*0.005,2)</f>
        <v>4496.46</v>
      </c>
      <c r="K14" s="6">
        <v>4970.7</v>
      </c>
      <c r="L14" s="6">
        <f>ROUND((($B14*0.22)+$K14)*0.76,2)</f>
        <v>154139.31</v>
      </c>
      <c r="M14" s="6">
        <f>ROUND((($B14*0.22)+$K14)*0.04,2)</f>
        <v>8112.6</v>
      </c>
      <c r="N14" s="6">
        <f>ROUND((($B14*0.22)+$K14)*0.1,2)</f>
        <v>20281.490000000002</v>
      </c>
      <c r="O14" s="6">
        <f>ROUND((($B14*0.22)+$K14)*0.1,2)-0.04</f>
        <v>20281.45</v>
      </c>
    </row>
    <row r="16" spans="1:15" ht="15" customHeight="1" thickBot="1" x14ac:dyDescent="0.3">
      <c r="B16" s="7">
        <f t="shared" ref="B16:O16" si="6">SUM(B9:B15)</f>
        <v>5202996.75</v>
      </c>
      <c r="C16" s="7">
        <f t="shared" si="6"/>
        <v>1821048.8900000001</v>
      </c>
      <c r="D16" s="7">
        <f t="shared" si="6"/>
        <v>156089.92000000001</v>
      </c>
      <c r="E16" s="7">
        <f t="shared" si="6"/>
        <v>23413.48</v>
      </c>
      <c r="F16" s="7">
        <f t="shared" si="6"/>
        <v>117067.42</v>
      </c>
      <c r="G16" s="7">
        <f t="shared" si="6"/>
        <v>93653.95</v>
      </c>
      <c r="H16" s="7">
        <f t="shared" si="6"/>
        <v>104059.94</v>
      </c>
      <c r="I16" s="7">
        <f t="shared" si="6"/>
        <v>156089.92000000001</v>
      </c>
      <c r="J16" s="7">
        <f t="shared" si="6"/>
        <v>26014.980000000003</v>
      </c>
      <c r="K16" s="7">
        <f t="shared" si="6"/>
        <v>33307.71</v>
      </c>
      <c r="L16" s="7">
        <f t="shared" si="6"/>
        <v>895254.89000000013</v>
      </c>
      <c r="M16" s="7">
        <f t="shared" si="6"/>
        <v>47118.68</v>
      </c>
      <c r="N16" s="7">
        <f t="shared" si="6"/>
        <v>117796.72</v>
      </c>
      <c r="O16" s="7">
        <f t="shared" si="6"/>
        <v>117796.65000000001</v>
      </c>
    </row>
    <row r="17" spans="1:1" ht="15" customHeight="1" thickTop="1" x14ac:dyDescent="0.25"/>
    <row r="18" spans="1:1" ht="15" customHeight="1" x14ac:dyDescent="0.25">
      <c r="A18" s="8" t="s">
        <v>14</v>
      </c>
    </row>
    <row r="19" spans="1:1" ht="15" customHeight="1" x14ac:dyDescent="0.25">
      <c r="A19" s="8" t="s">
        <v>15</v>
      </c>
    </row>
  </sheetData>
  <mergeCells count="2">
    <mergeCell ref="A1:O1"/>
    <mergeCell ref="A7:O7"/>
  </mergeCells>
  <pageMargins left="0.25" right="0.25" top="0.5" bottom="0.5" header="0" footer="0"/>
  <pageSetup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O19"/>
  <sheetViews>
    <sheetView workbookViewId="0">
      <selection activeCell="O15" sqref="O15"/>
    </sheetView>
  </sheetViews>
  <sheetFormatPr defaultColWidth="9.140625" defaultRowHeight="15" customHeight="1" x14ac:dyDescent="0.25"/>
  <cols>
    <col min="1" max="1" width="15.7109375" style="1" customWidth="1"/>
    <col min="2" max="3" width="14.7109375" style="1" customWidth="1"/>
    <col min="4" max="10" width="13.7109375" style="1" customWidth="1"/>
    <col min="11" max="11" width="12.28515625" style="1" customWidth="1"/>
    <col min="12" max="12" width="14.7109375" style="1" customWidth="1"/>
    <col min="13" max="13" width="11.7109375" style="1" customWidth="1"/>
    <col min="14" max="14" width="13.7109375" style="1" customWidth="1"/>
    <col min="15" max="15" width="14.85546875" style="1" customWidth="1"/>
    <col min="16" max="16384" width="9.140625" style="1"/>
  </cols>
  <sheetData>
    <row r="1" spans="1:15" ht="15" customHeight="1" x14ac:dyDescent="0.25">
      <c r="A1" s="23" t="s">
        <v>17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</row>
    <row r="2" spans="1:15" ht="15" customHeight="1" x14ac:dyDescent="0.25">
      <c r="A2" s="10"/>
    </row>
    <row r="4" spans="1:15" ht="45" x14ac:dyDescent="0.25">
      <c r="B4" s="3" t="s">
        <v>1</v>
      </c>
      <c r="C4" s="4" t="s">
        <v>2</v>
      </c>
      <c r="D4" s="4" t="s">
        <v>3</v>
      </c>
      <c r="E4" s="3" t="s">
        <v>4</v>
      </c>
      <c r="F4" s="3" t="s">
        <v>19</v>
      </c>
      <c r="G4" s="3" t="s">
        <v>5</v>
      </c>
      <c r="H4" s="3" t="s">
        <v>6</v>
      </c>
      <c r="I4" s="3" t="s">
        <v>7</v>
      </c>
      <c r="J4" s="3" t="s">
        <v>8</v>
      </c>
      <c r="K4" s="3" t="s">
        <v>9</v>
      </c>
      <c r="L4" s="3" t="s">
        <v>10</v>
      </c>
      <c r="M4" s="3" t="s">
        <v>11</v>
      </c>
      <c r="N4" s="3" t="s">
        <v>12</v>
      </c>
      <c r="O4" s="3" t="s">
        <v>13</v>
      </c>
    </row>
    <row r="5" spans="1:15" ht="15" customHeight="1" x14ac:dyDescent="0.25">
      <c r="A5" s="15" t="s">
        <v>28</v>
      </c>
      <c r="B5" s="6">
        <v>6432181.04</v>
      </c>
      <c r="C5" s="6">
        <v>2251263.4</v>
      </c>
      <c r="D5" s="6">
        <v>192965.41999999998</v>
      </c>
      <c r="E5" s="6">
        <v>28944.81</v>
      </c>
      <c r="F5" s="6">
        <v>144724.07999999999</v>
      </c>
      <c r="G5" s="6">
        <v>115779.24</v>
      </c>
      <c r="H5" s="6">
        <v>128643.59999999998</v>
      </c>
      <c r="I5" s="6">
        <v>192965.41999999998</v>
      </c>
      <c r="J5" s="6">
        <v>32160.929999999997</v>
      </c>
      <c r="K5" s="6">
        <v>75403.139999999985</v>
      </c>
      <c r="L5" s="6">
        <v>1132767.0799999998</v>
      </c>
      <c r="M5" s="6">
        <v>59619.340000000004</v>
      </c>
      <c r="N5" s="6">
        <v>149048.21000000002</v>
      </c>
      <c r="O5" s="6">
        <v>149048.53999999998</v>
      </c>
    </row>
    <row r="7" spans="1:15" ht="15" customHeight="1" x14ac:dyDescent="0.25">
      <c r="A7" s="24" t="s">
        <v>26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</row>
    <row r="9" spans="1:15" ht="14.25" customHeight="1" x14ac:dyDescent="0.25">
      <c r="A9" s="14" t="str">
        <f>Mountaineer!A9</f>
        <v>July 2024</v>
      </c>
      <c r="B9" s="6">
        <v>380474.8600000001</v>
      </c>
      <c r="C9" s="6">
        <f>ROUND($B9*0.35,2)+0.02</f>
        <v>133166.22</v>
      </c>
      <c r="D9" s="6">
        <f>ROUND($B9*0.03,2)-0.01</f>
        <v>11414.24</v>
      </c>
      <c r="E9" s="6">
        <f>ROUND($B9*0.0045,2)+0.01</f>
        <v>1712.15</v>
      </c>
      <c r="F9" s="6">
        <f>ROUND(($B9*0.025)*0.9,2)-0.01</f>
        <v>8560.67</v>
      </c>
      <c r="G9" s="6">
        <f t="shared" ref="G9:G10" si="0">ROUND(($B9*0.02)*0.9,2)</f>
        <v>6848.55</v>
      </c>
      <c r="H9" s="6">
        <f t="shared" ref="H9" si="1">ROUND($B9*0.02,2)</f>
        <v>7609.5</v>
      </c>
      <c r="I9" s="6">
        <f>ROUND($B9*0.03,2)-0.01</f>
        <v>11414.24</v>
      </c>
      <c r="J9" s="6">
        <f t="shared" ref="J9:J14" si="2">ROUND($B9*0.005,2)</f>
        <v>1902.37</v>
      </c>
      <c r="K9" s="6">
        <v>6168.08</v>
      </c>
      <c r="L9" s="6">
        <f>ROUND((($B9*0.22)+$K9)*0.76,2)+0.02</f>
        <v>68303.16</v>
      </c>
      <c r="M9" s="6">
        <f t="shared" ref="M9:M10" si="3">ROUND((($B9*0.22)+$K9)*0.04,2)</f>
        <v>3594.9</v>
      </c>
      <c r="N9" s="6">
        <f>ROUND((($B9*0.22)+$K9)*0.1,2)+0.07</f>
        <v>8987.32</v>
      </c>
      <c r="O9" s="6">
        <f>ROUND((($B9*0.22)+$K9)*0.1,2)-0.01</f>
        <v>8987.24</v>
      </c>
    </row>
    <row r="10" spans="1:15" ht="14.25" customHeight="1" x14ac:dyDescent="0.25">
      <c r="A10" s="14" t="str">
        <f>Mountaineer!A10</f>
        <v>August 2024</v>
      </c>
      <c r="B10" s="6">
        <v>638766.35000000009</v>
      </c>
      <c r="C10" s="6">
        <f>ROUND($B10*0.35,2)-0.02</f>
        <v>223568.2</v>
      </c>
      <c r="D10" s="6">
        <f>ROUND($B10*0.03,2)-0.01</f>
        <v>19162.980000000003</v>
      </c>
      <c r="E10" s="6">
        <f>ROUND($B10*0.0045,2)-0.01</f>
        <v>2874.4399999999996</v>
      </c>
      <c r="F10" s="6">
        <f>ROUND(($B10*0.025)*0.9,2)</f>
        <v>14372.24</v>
      </c>
      <c r="G10" s="6">
        <f t="shared" si="0"/>
        <v>11497.79</v>
      </c>
      <c r="H10" s="6">
        <f>ROUND($B10*0.02,2)-0.01</f>
        <v>12775.32</v>
      </c>
      <c r="I10" s="6">
        <f>ROUND($B10*0.03,2)-0.01</f>
        <v>19162.980000000003</v>
      </c>
      <c r="J10" s="6">
        <f t="shared" si="2"/>
        <v>3193.83</v>
      </c>
      <c r="K10" s="6">
        <v>7457.37</v>
      </c>
      <c r="L10" s="6">
        <f>ROUND((($B10*0.22)+$K10)*0.76,2)+0.02</f>
        <v>112469.35</v>
      </c>
      <c r="M10" s="6">
        <f t="shared" si="3"/>
        <v>5919.44</v>
      </c>
      <c r="N10" s="6">
        <f>ROUND((($B10*0.22)+$K10)*0.1,2)-0.03</f>
        <v>14798.57</v>
      </c>
      <c r="O10" s="6">
        <f>ROUND((($B10*0.22)+$K10)*0.1,2)-0.14</f>
        <v>14798.460000000001</v>
      </c>
    </row>
    <row r="11" spans="1:15" ht="14.25" customHeight="1" x14ac:dyDescent="0.25">
      <c r="A11" s="14" t="str">
        <f>Mountaineer!A11</f>
        <v>September 2024</v>
      </c>
      <c r="B11" s="6">
        <v>468212.96</v>
      </c>
      <c r="C11" s="6">
        <f>ROUND($B11*0.35,2)-0.01</f>
        <v>163874.53</v>
      </c>
      <c r="D11" s="6">
        <f>ROUND($B11*0.03,2)+0.01</f>
        <v>14046.4</v>
      </c>
      <c r="E11" s="6">
        <f>ROUND($B11*0.0045,2)</f>
        <v>2106.96</v>
      </c>
      <c r="F11" s="6">
        <f>ROUND(($B11*0.025)*0.9,2)</f>
        <v>10534.79</v>
      </c>
      <c r="G11" s="6">
        <f>ROUND(($B11*0.02)*0.9,2)</f>
        <v>8427.83</v>
      </c>
      <c r="H11" s="6">
        <f>ROUND($B11*0.02,2)</f>
        <v>9364.26</v>
      </c>
      <c r="I11" s="6">
        <f>ROUND($B11*0.03,2)+0.01</f>
        <v>14046.4</v>
      </c>
      <c r="J11" s="6">
        <f t="shared" si="2"/>
        <v>2341.06</v>
      </c>
      <c r="K11" s="6">
        <v>4955.04</v>
      </c>
      <c r="L11" s="6">
        <f>ROUND((($B11*0.22)+$K11)*0.76,2)-0.02</f>
        <v>82051.01999999999</v>
      </c>
      <c r="M11" s="6">
        <f>ROUND((($B11*0.22)+$K11)*0.04,2)-0.01</f>
        <v>4318.4699999999993</v>
      </c>
      <c r="N11" s="6">
        <f>ROUND((($B11*0.22)+$K11)*0.1,2)+0.01</f>
        <v>10796.2</v>
      </c>
      <c r="O11" s="6">
        <f>ROUND((($B11*0.22)+$K11)*0.1,2)+0.13</f>
        <v>10796.32</v>
      </c>
    </row>
    <row r="12" spans="1:15" ht="14.25" customHeight="1" x14ac:dyDescent="0.25">
      <c r="A12" s="14" t="str">
        <f>Mountaineer!A12</f>
        <v>October 2024</v>
      </c>
      <c r="B12" s="6">
        <v>571303.31999999983</v>
      </c>
      <c r="C12" s="6">
        <f>ROUND($B12*0.35,2)+0.01</f>
        <v>199956.17</v>
      </c>
      <c r="D12" s="6">
        <f>ROUND($B12*0.03,2)</f>
        <v>17139.099999999999</v>
      </c>
      <c r="E12" s="6">
        <f>ROUND($B12*0.0045,2)+0.01</f>
        <v>2570.8700000000003</v>
      </c>
      <c r="F12" s="6">
        <f>ROUND(($B12*0.025)*0.9,2)</f>
        <v>12854.32</v>
      </c>
      <c r="G12" s="6">
        <f>ROUND(($B12*0.02)*0.9,2)</f>
        <v>10283.459999999999</v>
      </c>
      <c r="H12" s="6">
        <f>ROUND($B12*0.02,2)</f>
        <v>11426.07</v>
      </c>
      <c r="I12" s="6">
        <f>ROUND($B12*0.03,2)</f>
        <v>17139.099999999999</v>
      </c>
      <c r="J12" s="6">
        <f t="shared" si="2"/>
        <v>2856.52</v>
      </c>
      <c r="K12" s="6">
        <v>4726.16</v>
      </c>
      <c r="L12" s="6">
        <f>ROUND((($B12*0.22)+$K12)*0.76,2)-0.01</f>
        <v>99113.790000000008</v>
      </c>
      <c r="M12" s="6">
        <f>ROUND((($B12*0.22)+$K12)*0.04,2)</f>
        <v>5216.5200000000004</v>
      </c>
      <c r="N12" s="6">
        <f>ROUND((($B12*0.22)+$K12)*0.1,2)-0.02</f>
        <v>13041.27</v>
      </c>
      <c r="O12" s="6">
        <f>ROUND((($B12*0.22)+$K12)*0.1,2)+0.07</f>
        <v>13041.36</v>
      </c>
    </row>
    <row r="13" spans="1:15" ht="14.25" customHeight="1" x14ac:dyDescent="0.25">
      <c r="A13" s="14" t="str">
        <f>Mountaineer!A13</f>
        <v>November 2024</v>
      </c>
      <c r="B13" s="6">
        <v>788063.14000000013</v>
      </c>
      <c r="C13" s="6">
        <f>ROUND($B13*0.35,2)-0.01</f>
        <v>275822.08999999997</v>
      </c>
      <c r="D13" s="6">
        <f>ROUND($B13*0.03,2)-0.01</f>
        <v>23641.88</v>
      </c>
      <c r="E13" s="6">
        <f>ROUND($B13*0.0045,2)+0.01</f>
        <v>3546.2900000000004</v>
      </c>
      <c r="F13" s="6">
        <f>ROUND(($B13*0.025)*0.9,2)</f>
        <v>17731.419999999998</v>
      </c>
      <c r="G13" s="6">
        <f>ROUND(($B13*0.02)*0.9,2)-0.01</f>
        <v>14185.13</v>
      </c>
      <c r="H13" s="6">
        <f>ROUND($B13*0.02,2)</f>
        <v>15761.26</v>
      </c>
      <c r="I13" s="6">
        <f>ROUND($B13*0.03,2)-0.01</f>
        <v>23641.88</v>
      </c>
      <c r="J13" s="6">
        <f t="shared" si="2"/>
        <v>3940.32</v>
      </c>
      <c r="K13" s="6">
        <v>5030.3500000000004</v>
      </c>
      <c r="L13" s="6">
        <f>ROUND((($B13*0.22)+$K13)*0.76,2)+0.01</f>
        <v>135587.23000000001</v>
      </c>
      <c r="M13" s="6">
        <f>ROUND((($B13*0.22)+$K13)*0.04,2)</f>
        <v>7136.17</v>
      </c>
      <c r="N13" s="6">
        <f>ROUND((($B13*0.22)+$K13)*0.1,2)</f>
        <v>17840.419999999998</v>
      </c>
      <c r="O13" s="6">
        <f>ROUND((($B13*0.22)+$K13)*0.1,2)-0.04</f>
        <v>17840.379999999997</v>
      </c>
    </row>
    <row r="14" spans="1:15" ht="14.25" customHeight="1" x14ac:dyDescent="0.25">
      <c r="A14" s="14" t="str">
        <f>Mountaineer!A14</f>
        <v>December 2024</v>
      </c>
      <c r="B14" s="6">
        <v>617787.56000000006</v>
      </c>
      <c r="C14" s="6">
        <f>ROUND($B14*0.35,2)+0.01</f>
        <v>216225.66</v>
      </c>
      <c r="D14" s="6">
        <f>ROUND($B14*0.03,2)+0.01</f>
        <v>18533.64</v>
      </c>
      <c r="E14" s="6">
        <f>ROUND($B14*0.0045,2)+0.02</f>
        <v>2780.06</v>
      </c>
      <c r="F14" s="6">
        <f>ROUND(($B14*0.025)*0.9,2)</f>
        <v>13900.22</v>
      </c>
      <c r="G14" s="6">
        <f>ROUND(($B14*0.02)*0.9,2)</f>
        <v>11120.18</v>
      </c>
      <c r="H14" s="6">
        <f>ROUND($B14*0.02,2)+0.01</f>
        <v>12355.76</v>
      </c>
      <c r="I14" s="6">
        <f>ROUND($B14*0.03,2)+0.01</f>
        <v>18533.64</v>
      </c>
      <c r="J14" s="6">
        <f t="shared" si="2"/>
        <v>3088.94</v>
      </c>
      <c r="K14" s="6">
        <v>4970.71</v>
      </c>
      <c r="L14" s="6">
        <f>ROUND((($B14*0.22)+$K14)*0.76,2)-0.03</f>
        <v>107071.79000000001</v>
      </c>
      <c r="M14" s="6">
        <f>ROUND((($B14*0.22)+$K14)*0.04,2)</f>
        <v>5635.36</v>
      </c>
      <c r="N14" s="6">
        <f>ROUND((($B14*0.22)+$K14)*0.1,2)-0.01</f>
        <v>14088.39</v>
      </c>
      <c r="O14" s="6">
        <f>ROUND((($B14*0.22)+$K14)*0.1,2)-0.06</f>
        <v>14088.34</v>
      </c>
    </row>
    <row r="16" spans="1:15" ht="15" customHeight="1" thickBot="1" x14ac:dyDescent="0.3">
      <c r="B16" s="7">
        <f t="shared" ref="B16:O16" si="4">SUM(B9:B15)</f>
        <v>3464608.19</v>
      </c>
      <c r="C16" s="7">
        <f t="shared" si="4"/>
        <v>1212612.8700000001</v>
      </c>
      <c r="D16" s="7">
        <f t="shared" si="4"/>
        <v>103938.24000000001</v>
      </c>
      <c r="E16" s="7">
        <f t="shared" si="4"/>
        <v>15590.77</v>
      </c>
      <c r="F16" s="7">
        <f t="shared" si="4"/>
        <v>77953.659999999989</v>
      </c>
      <c r="G16" s="7">
        <f t="shared" si="4"/>
        <v>62362.939999999995</v>
      </c>
      <c r="H16" s="7">
        <f t="shared" si="4"/>
        <v>69292.17</v>
      </c>
      <c r="I16" s="7">
        <f t="shared" si="4"/>
        <v>103938.24000000001</v>
      </c>
      <c r="J16" s="7">
        <f t="shared" si="4"/>
        <v>17323.04</v>
      </c>
      <c r="K16" s="7">
        <f t="shared" si="4"/>
        <v>33307.71</v>
      </c>
      <c r="L16" s="7">
        <f t="shared" si="4"/>
        <v>604596.34000000008</v>
      </c>
      <c r="M16" s="7">
        <f t="shared" si="4"/>
        <v>31820.86</v>
      </c>
      <c r="N16" s="7">
        <f t="shared" si="4"/>
        <v>79552.17</v>
      </c>
      <c r="O16" s="7">
        <f t="shared" si="4"/>
        <v>79552.100000000006</v>
      </c>
    </row>
    <row r="17" spans="1:1" ht="15" customHeight="1" thickTop="1" x14ac:dyDescent="0.25"/>
    <row r="18" spans="1:1" ht="15" customHeight="1" x14ac:dyDescent="0.25">
      <c r="A18" s="8" t="s">
        <v>14</v>
      </c>
    </row>
    <row r="19" spans="1:1" ht="15" customHeight="1" x14ac:dyDescent="0.25">
      <c r="A19" s="8" t="s">
        <v>15</v>
      </c>
    </row>
  </sheetData>
  <mergeCells count="2">
    <mergeCell ref="A1:O1"/>
    <mergeCell ref="A7:O7"/>
  </mergeCells>
  <pageMargins left="0.25" right="0.25" top="0.5" bottom="0.5" header="0" footer="0"/>
  <pageSetup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O19"/>
  <sheetViews>
    <sheetView workbookViewId="0">
      <selection activeCell="O15" sqref="O15"/>
    </sheetView>
  </sheetViews>
  <sheetFormatPr defaultColWidth="9.140625" defaultRowHeight="15" customHeight="1" x14ac:dyDescent="0.25"/>
  <cols>
    <col min="1" max="1" width="15.7109375" style="1" customWidth="1"/>
    <col min="2" max="2" width="16.140625" style="1" bestFit="1" customWidth="1"/>
    <col min="3" max="3" width="14.7109375" style="1" customWidth="1"/>
    <col min="4" max="9" width="13.7109375" style="1" customWidth="1"/>
    <col min="10" max="10" width="14" style="1" customWidth="1"/>
    <col min="11" max="11" width="11.7109375" style="1" customWidth="1"/>
    <col min="12" max="12" width="14.7109375" style="1" customWidth="1"/>
    <col min="13" max="13" width="13.28515625" style="1" bestFit="1" customWidth="1"/>
    <col min="14" max="14" width="13.7109375" style="1" customWidth="1"/>
    <col min="15" max="15" width="14.7109375" style="1" customWidth="1"/>
    <col min="16" max="16384" width="9.140625" style="1"/>
  </cols>
  <sheetData>
    <row r="1" spans="1:15" ht="15" customHeight="1" x14ac:dyDescent="0.25">
      <c r="A1" s="23" t="s">
        <v>16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</row>
    <row r="2" spans="1:15" ht="15" customHeight="1" x14ac:dyDescent="0.25">
      <c r="A2" s="11"/>
    </row>
    <row r="4" spans="1:15" ht="45" x14ac:dyDescent="0.25">
      <c r="B4" s="3" t="s">
        <v>1</v>
      </c>
      <c r="C4" s="4" t="s">
        <v>2</v>
      </c>
      <c r="D4" s="4" t="s">
        <v>3</v>
      </c>
      <c r="E4" s="3" t="s">
        <v>4</v>
      </c>
      <c r="F4" s="3" t="s">
        <v>19</v>
      </c>
      <c r="G4" s="3" t="s">
        <v>5</v>
      </c>
      <c r="H4" s="3" t="s">
        <v>6</v>
      </c>
      <c r="I4" s="3" t="s">
        <v>7</v>
      </c>
      <c r="J4" s="3" t="s">
        <v>8</v>
      </c>
      <c r="K4" s="3" t="s">
        <v>9</v>
      </c>
      <c r="L4" s="3" t="s">
        <v>10</v>
      </c>
      <c r="M4" s="3" t="s">
        <v>11</v>
      </c>
      <c r="N4" s="3" t="s">
        <v>12</v>
      </c>
      <c r="O4" s="3" t="s">
        <v>13</v>
      </c>
    </row>
    <row r="5" spans="1:15" ht="15" customHeight="1" x14ac:dyDescent="0.25">
      <c r="A5" s="15" t="s">
        <v>28</v>
      </c>
      <c r="B5" s="6">
        <v>15694924.16</v>
      </c>
      <c r="C5" s="6">
        <v>5493223.4800000004</v>
      </c>
      <c r="D5" s="6">
        <v>470847.76000000013</v>
      </c>
      <c r="E5" s="6">
        <v>70627.19</v>
      </c>
      <c r="F5" s="6">
        <v>353135.76000000013</v>
      </c>
      <c r="G5" s="6">
        <v>282508.64</v>
      </c>
      <c r="H5" s="6">
        <v>313898.50999999995</v>
      </c>
      <c r="I5" s="6">
        <v>470847.76000000013</v>
      </c>
      <c r="J5" s="6">
        <v>78474.63</v>
      </c>
      <c r="K5" s="6">
        <v>75403.14</v>
      </c>
      <c r="L5" s="6">
        <v>2681497.6400000006</v>
      </c>
      <c r="M5" s="6">
        <v>141131.45000000001</v>
      </c>
      <c r="N5" s="6">
        <v>352828.53</v>
      </c>
      <c r="O5" s="6">
        <v>352828.88</v>
      </c>
    </row>
    <row r="7" spans="1:15" ht="15" customHeight="1" x14ac:dyDescent="0.25">
      <c r="A7" s="24" t="s">
        <v>26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</row>
    <row r="9" spans="1:15" ht="14.25" customHeight="1" x14ac:dyDescent="0.25">
      <c r="A9" s="14" t="str">
        <f>Mountaineer!A9</f>
        <v>July 2024</v>
      </c>
      <c r="B9" s="6">
        <v>1186695.75</v>
      </c>
      <c r="C9" s="6">
        <f>ROUND($B9*0.35,2)-0.02</f>
        <v>415343.49</v>
      </c>
      <c r="D9" s="6">
        <f>ROUND($B9*0.03,2)-0.01</f>
        <v>35600.86</v>
      </c>
      <c r="E9" s="6">
        <f>ROUND($B9*0.0045,2)</f>
        <v>5340.13</v>
      </c>
      <c r="F9" s="6">
        <f t="shared" ref="F9:F14" si="0">ROUND(($B9*0.025)*0.9,2)</f>
        <v>26700.65</v>
      </c>
      <c r="G9" s="6">
        <f>ROUND(($B9*0.02)*0.9,2)+0.01</f>
        <v>21360.53</v>
      </c>
      <c r="H9" s="6">
        <f t="shared" ref="H9" si="1">ROUND($B9*0.02,2)</f>
        <v>23733.919999999998</v>
      </c>
      <c r="I9" s="6">
        <f>ROUND($B9*0.03,2)-0.01</f>
        <v>35600.86</v>
      </c>
      <c r="J9" s="6">
        <f t="shared" ref="J9:J12" si="2">ROUND($B9*0.005,2)</f>
        <v>5933.48</v>
      </c>
      <c r="K9" s="6">
        <v>6168.08</v>
      </c>
      <c r="L9" s="6">
        <f>ROUND((($B9*0.22)+$K9)*0.76,2)</f>
        <v>203103.27</v>
      </c>
      <c r="M9" s="6">
        <f t="shared" ref="M9:M11" si="3">ROUND((($B9*0.22)+$K9)*0.04,2)</f>
        <v>10689.65</v>
      </c>
      <c r="N9" s="6">
        <f>ROUND((($B9*0.22)+$K9)*0.1,2)+0.07</f>
        <v>26724.18</v>
      </c>
      <c r="O9" s="6">
        <f>ROUND((($B9*0.22)+$K9)*0.1,2)-0.03</f>
        <v>26724.080000000002</v>
      </c>
    </row>
    <row r="10" spans="1:15" ht="14.25" customHeight="1" x14ac:dyDescent="0.25">
      <c r="A10" s="14" t="str">
        <f>Mountaineer!A10</f>
        <v>August 2024</v>
      </c>
      <c r="B10" s="6">
        <v>1361845.2</v>
      </c>
      <c r="C10" s="6">
        <f>ROUND($B10*0.35,2)+0.02</f>
        <v>476645.84</v>
      </c>
      <c r="D10" s="6">
        <f>ROUND($B10*0.03,2)+0.02</f>
        <v>40855.379999999997</v>
      </c>
      <c r="E10" s="6">
        <f>ROUND($B10*0.0045,2)</f>
        <v>6128.3</v>
      </c>
      <c r="F10" s="6">
        <f t="shared" si="0"/>
        <v>30641.52</v>
      </c>
      <c r="G10" s="6">
        <f>ROUND(($B10*0.02)*0.9,2)+0.02</f>
        <v>24513.23</v>
      </c>
      <c r="H10" s="6">
        <f>ROUND($B10*0.02,2)+0.02</f>
        <v>27236.920000000002</v>
      </c>
      <c r="I10" s="6">
        <f>ROUND($B10*0.03,2)+0.02</f>
        <v>40855.379999999997</v>
      </c>
      <c r="J10" s="6">
        <f t="shared" si="2"/>
        <v>6809.23</v>
      </c>
      <c r="K10" s="6">
        <v>7457.37</v>
      </c>
      <c r="L10" s="6">
        <f>ROUND((($B10*0.22)+$K10)*0.76,2)-0.06</f>
        <v>233368.06</v>
      </c>
      <c r="M10" s="6">
        <f t="shared" si="3"/>
        <v>12282.53</v>
      </c>
      <c r="N10" s="6">
        <f>ROUND((($B10*0.22)+$K10)*0.1,2)-0.03</f>
        <v>30706.300000000003</v>
      </c>
      <c r="O10" s="6">
        <f>ROUND((($B10*0.22)+$K10)*0.1,2)-0.15</f>
        <v>30706.18</v>
      </c>
    </row>
    <row r="11" spans="1:15" ht="14.25" customHeight="1" x14ac:dyDescent="0.25">
      <c r="A11" s="14" t="str">
        <f>Mountaineer!A11</f>
        <v>September 2024</v>
      </c>
      <c r="B11" s="6">
        <v>1432807.5</v>
      </c>
      <c r="C11" s="6">
        <f>ROUND($B11*0.35,2)</f>
        <v>501482.63</v>
      </c>
      <c r="D11" s="6">
        <f>ROUND($B11*0.03,2)+0.01</f>
        <v>42984.240000000005</v>
      </c>
      <c r="E11" s="6">
        <f>ROUND($B11*0.0045,2)-0.01</f>
        <v>6447.62</v>
      </c>
      <c r="F11" s="6">
        <f t="shared" si="0"/>
        <v>32238.17</v>
      </c>
      <c r="G11" s="6">
        <f>ROUND(($B11*0.02)*0.9,2)</f>
        <v>25790.54</v>
      </c>
      <c r="H11" s="6">
        <f>ROUND($B11*0.02,2)</f>
        <v>28656.15</v>
      </c>
      <c r="I11" s="6">
        <f>ROUND($B11*0.03,2)+0.01</f>
        <v>42984.240000000005</v>
      </c>
      <c r="J11" s="6">
        <f t="shared" si="2"/>
        <v>7164.04</v>
      </c>
      <c r="K11" s="6">
        <v>4955.04</v>
      </c>
      <c r="L11" s="6">
        <f>ROUND((($B11*0.22)+$K11)*0.76,2)-0.02</f>
        <v>243331.22</v>
      </c>
      <c r="M11" s="6">
        <f t="shared" si="3"/>
        <v>12806.91</v>
      </c>
      <c r="N11" s="6">
        <f>ROUND((($B11*0.22)+$K11)*0.1,2)+0.01</f>
        <v>32017.279999999999</v>
      </c>
      <c r="O11" s="6">
        <f>ROUND((($B11*0.22)+$K11)*0.1,2)+0.13</f>
        <v>32017.4</v>
      </c>
    </row>
    <row r="12" spans="1:15" ht="14.25" customHeight="1" x14ac:dyDescent="0.25">
      <c r="A12" s="14" t="str">
        <f>Mountaineer!A12</f>
        <v>October 2024</v>
      </c>
      <c r="B12" s="6">
        <v>1138530.5</v>
      </c>
      <c r="C12" s="6">
        <f>ROUND($B12*0.35,2)-0.01</f>
        <v>398485.67</v>
      </c>
      <c r="D12" s="6">
        <f>ROUND($B12*0.03,2)</f>
        <v>34155.919999999998</v>
      </c>
      <c r="E12" s="6">
        <f>ROUND($B12*0.0045,2)-0.01</f>
        <v>5123.38</v>
      </c>
      <c r="F12" s="6">
        <f t="shared" si="0"/>
        <v>25616.94</v>
      </c>
      <c r="G12" s="6">
        <f>ROUND(($B12*0.02)*0.9,2)</f>
        <v>20493.55</v>
      </c>
      <c r="H12" s="6">
        <f>ROUND($B12*0.02,2)</f>
        <v>22770.61</v>
      </c>
      <c r="I12" s="6">
        <f>ROUND($B12*0.03,2)</f>
        <v>34155.919999999998</v>
      </c>
      <c r="J12" s="6">
        <f t="shared" si="2"/>
        <v>5692.65</v>
      </c>
      <c r="K12" s="6">
        <v>4726.17</v>
      </c>
      <c r="L12" s="6">
        <f>ROUND((($B12*0.22)+$K12)*0.76,2)-0.01</f>
        <v>193954.18</v>
      </c>
      <c r="M12" s="6">
        <f>ROUND((($B12*0.22)+$K12)*0.04,2)-0.01</f>
        <v>10208.11</v>
      </c>
      <c r="N12" s="6">
        <f>ROUND((($B12*0.22)+$K12)*0.1,2)-0.03</f>
        <v>25520.260000000002</v>
      </c>
      <c r="O12" s="6">
        <f>ROUND((($B12*0.22)+$K12)*0.1,2)+0.09</f>
        <v>25520.38</v>
      </c>
    </row>
    <row r="13" spans="1:15" ht="14.25" customHeight="1" x14ac:dyDescent="0.25">
      <c r="A13" s="14" t="str">
        <f>Mountaineer!A13</f>
        <v>November 2024</v>
      </c>
      <c r="B13" s="6">
        <v>1676575.1</v>
      </c>
      <c r="C13" s="6">
        <f>ROUND($B13*0.35,2)+0.01</f>
        <v>586801.30000000005</v>
      </c>
      <c r="D13" s="6">
        <f>ROUND($B13*0.03,2)-0.01</f>
        <v>50297.24</v>
      </c>
      <c r="E13" s="6">
        <f>ROUND($B13*0.0045,2)</f>
        <v>7544.59</v>
      </c>
      <c r="F13" s="6">
        <f t="shared" si="0"/>
        <v>37722.94</v>
      </c>
      <c r="G13" s="6">
        <f>ROUND(($B13*0.02)*0.9,2)</f>
        <v>30178.35</v>
      </c>
      <c r="H13" s="6">
        <f>ROUND($B13*0.02,2)</f>
        <v>33531.5</v>
      </c>
      <c r="I13" s="6">
        <f>ROUND($B13*0.03,2)-0.01</f>
        <v>50297.24</v>
      </c>
      <c r="J13" s="6">
        <f>ROUND($B13*0.005,2)-0.01</f>
        <v>8382.869999999999</v>
      </c>
      <c r="K13" s="6">
        <v>5030.34</v>
      </c>
      <c r="L13" s="6">
        <f>ROUND((($B13*0.22)+$K13)*0.76,2)+0.03</f>
        <v>284146.45</v>
      </c>
      <c r="M13" s="6">
        <f>ROUND((($B13*0.22)+$K13)*0.04,2)+0.01</f>
        <v>14955.08</v>
      </c>
      <c r="N13" s="6">
        <f>ROUND((($B13*0.22)+$K13)*0.1,2)</f>
        <v>37387.69</v>
      </c>
      <c r="O13" s="6">
        <f>ROUND((($B13*0.22)+$K13)*0.1,2)-0.06</f>
        <v>37387.630000000005</v>
      </c>
    </row>
    <row r="14" spans="1:15" ht="14.25" customHeight="1" x14ac:dyDescent="0.25">
      <c r="A14" s="14" t="str">
        <f>Mountaineer!A14</f>
        <v>December 2024</v>
      </c>
      <c r="B14" s="6">
        <v>1339143.1900000002</v>
      </c>
      <c r="C14" s="6">
        <f>ROUND($B14*0.35,2)+0.01</f>
        <v>468700.13</v>
      </c>
      <c r="D14" s="6">
        <f>ROUND($B14*0.03,2)</f>
        <v>40174.300000000003</v>
      </c>
      <c r="E14" s="6">
        <f>ROUND($B14*0.0045,2)+0.01</f>
        <v>6026.1500000000005</v>
      </c>
      <c r="F14" s="6">
        <f t="shared" si="0"/>
        <v>30130.720000000001</v>
      </c>
      <c r="G14" s="6">
        <f>ROUND(($B14*0.02)*0.9,2)</f>
        <v>24104.58</v>
      </c>
      <c r="H14" s="6">
        <f>ROUND($B14*0.02,2)+0.01</f>
        <v>26782.87</v>
      </c>
      <c r="I14" s="6">
        <f>ROUND($B14*0.03,2)</f>
        <v>40174.300000000003</v>
      </c>
      <c r="J14" s="6">
        <f>ROUND($B14*0.005,2)</f>
        <v>6695.72</v>
      </c>
      <c r="K14" s="6">
        <v>4970.7</v>
      </c>
      <c r="L14" s="6">
        <f>ROUND((($B14*0.22)+$K14)*0.76,2)-0.01</f>
        <v>227682.46</v>
      </c>
      <c r="M14" s="6">
        <f>ROUND((($B14*0.22)+$K14)*0.04,2)</f>
        <v>11983.29</v>
      </c>
      <c r="N14" s="6">
        <f>ROUND((($B14*0.22)+$K14)*0.1,2)</f>
        <v>29958.22</v>
      </c>
      <c r="O14" s="6">
        <f>ROUND((($B14*0.22)+$K14)*0.1,2)-0.05</f>
        <v>29958.170000000002</v>
      </c>
    </row>
    <row r="16" spans="1:15" ht="15" customHeight="1" thickBot="1" x14ac:dyDescent="0.3">
      <c r="B16" s="7">
        <f t="shared" ref="B16:O16" si="4">SUM(B9:B15)</f>
        <v>8135597.2400000012</v>
      </c>
      <c r="C16" s="7">
        <f t="shared" si="4"/>
        <v>2847459.0599999996</v>
      </c>
      <c r="D16" s="7">
        <f t="shared" si="4"/>
        <v>244067.94</v>
      </c>
      <c r="E16" s="7">
        <f t="shared" si="4"/>
        <v>36610.17</v>
      </c>
      <c r="F16" s="7">
        <f t="shared" si="4"/>
        <v>183050.94</v>
      </c>
      <c r="G16" s="7">
        <f t="shared" si="4"/>
        <v>146440.77999999997</v>
      </c>
      <c r="H16" s="7">
        <f t="shared" si="4"/>
        <v>162711.96999999997</v>
      </c>
      <c r="I16" s="7">
        <f t="shared" si="4"/>
        <v>244067.94</v>
      </c>
      <c r="J16" s="7">
        <f t="shared" si="4"/>
        <v>40677.990000000005</v>
      </c>
      <c r="K16" s="7">
        <f t="shared" si="4"/>
        <v>33307.700000000004</v>
      </c>
      <c r="L16" s="7">
        <f t="shared" si="4"/>
        <v>1385585.64</v>
      </c>
      <c r="M16" s="7">
        <f t="shared" si="4"/>
        <v>72925.570000000007</v>
      </c>
      <c r="N16" s="7">
        <f t="shared" si="4"/>
        <v>182313.93000000002</v>
      </c>
      <c r="O16" s="7">
        <f t="shared" si="4"/>
        <v>182313.84000000003</v>
      </c>
    </row>
    <row r="17" spans="1:1" ht="15" customHeight="1" thickTop="1" x14ac:dyDescent="0.25"/>
    <row r="18" spans="1:1" ht="15" customHeight="1" x14ac:dyDescent="0.25">
      <c r="A18" s="8" t="s">
        <v>14</v>
      </c>
    </row>
    <row r="19" spans="1:1" ht="15" customHeight="1" x14ac:dyDescent="0.25">
      <c r="A19" s="8" t="s">
        <v>15</v>
      </c>
    </row>
  </sheetData>
  <mergeCells count="2">
    <mergeCell ref="A1:O1"/>
    <mergeCell ref="A7:O7"/>
  </mergeCells>
  <pageMargins left="0.25" right="0.25" top="0.5" bottom="0.5" header="0" footer="0"/>
  <pageSetup scale="6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O19"/>
  <sheetViews>
    <sheetView workbookViewId="0">
      <selection activeCell="O15" sqref="O15"/>
    </sheetView>
  </sheetViews>
  <sheetFormatPr defaultColWidth="9.140625" defaultRowHeight="15" customHeight="1" x14ac:dyDescent="0.25"/>
  <cols>
    <col min="1" max="1" width="15.7109375" style="1" customWidth="1"/>
    <col min="2" max="3" width="16.140625" style="1" bestFit="1" customWidth="1"/>
    <col min="4" max="4" width="15" style="1" bestFit="1" customWidth="1"/>
    <col min="5" max="5" width="13.7109375" style="1" customWidth="1"/>
    <col min="6" max="9" width="15" style="1" bestFit="1" customWidth="1"/>
    <col min="10" max="10" width="13.28515625" style="1" bestFit="1" customWidth="1"/>
    <col min="11" max="11" width="11.85546875" style="1" customWidth="1"/>
    <col min="12" max="12" width="16.140625" style="1" bestFit="1" customWidth="1"/>
    <col min="13" max="13" width="13.28515625" style="1" bestFit="1" customWidth="1"/>
    <col min="14" max="15" width="15" style="1" bestFit="1" customWidth="1"/>
    <col min="16" max="16384" width="9.140625" style="1"/>
  </cols>
  <sheetData>
    <row r="1" spans="1:15" ht="15" customHeight="1" x14ac:dyDescent="0.2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</row>
    <row r="2" spans="1:15" ht="15" customHeight="1" x14ac:dyDescent="0.25">
      <c r="A2" s="11"/>
    </row>
    <row r="4" spans="1:15" ht="45" customHeight="1" x14ac:dyDescent="0.25">
      <c r="B4" s="3" t="s">
        <v>1</v>
      </c>
      <c r="C4" s="4" t="s">
        <v>2</v>
      </c>
      <c r="D4" s="4" t="s">
        <v>3</v>
      </c>
      <c r="E4" s="3" t="s">
        <v>4</v>
      </c>
      <c r="F4" s="3" t="s">
        <v>19</v>
      </c>
      <c r="G4" s="3" t="s">
        <v>5</v>
      </c>
      <c r="H4" s="3" t="s">
        <v>6</v>
      </c>
      <c r="I4" s="3" t="s">
        <v>7</v>
      </c>
      <c r="J4" s="3" t="s">
        <v>8</v>
      </c>
      <c r="K4" s="3" t="s">
        <v>9</v>
      </c>
      <c r="L4" s="3" t="s">
        <v>10</v>
      </c>
      <c r="M4" s="3" t="s">
        <v>11</v>
      </c>
      <c r="N4" s="3" t="s">
        <v>12</v>
      </c>
      <c r="O4" s="3" t="s">
        <v>13</v>
      </c>
    </row>
    <row r="5" spans="1:15" ht="15" customHeight="1" x14ac:dyDescent="0.25">
      <c r="A5" s="15" t="s">
        <v>28</v>
      </c>
      <c r="B5" s="6">
        <v>61377894.230000004</v>
      </c>
      <c r="C5" s="6">
        <v>21482263.070000004</v>
      </c>
      <c r="D5" s="6">
        <v>1841336.82</v>
      </c>
      <c r="E5" s="6">
        <v>276200.50999999995</v>
      </c>
      <c r="F5" s="6">
        <v>1381002.61</v>
      </c>
      <c r="G5" s="6">
        <v>1104802.1199999999</v>
      </c>
      <c r="H5" s="6">
        <v>1227557.8800000001</v>
      </c>
      <c r="I5" s="6">
        <v>1841336.82</v>
      </c>
      <c r="J5" s="6">
        <v>306889.47000000009</v>
      </c>
      <c r="K5" s="6">
        <v>75403.13</v>
      </c>
      <c r="L5" s="6">
        <v>10319690.391000001</v>
      </c>
      <c r="M5" s="6">
        <v>543141.6</v>
      </c>
      <c r="N5" s="6">
        <v>1357853.88</v>
      </c>
      <c r="O5" s="6">
        <v>1357854.2199999997</v>
      </c>
    </row>
    <row r="7" spans="1:15" ht="15" customHeight="1" x14ac:dyDescent="0.25">
      <c r="A7" s="24" t="s">
        <v>26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</row>
    <row r="9" spans="1:15" ht="14.25" customHeight="1" x14ac:dyDescent="0.25">
      <c r="A9" s="14" t="str">
        <f>Mountaineer!A9</f>
        <v>July 2024</v>
      </c>
      <c r="B9" s="6">
        <v>4263297.38</v>
      </c>
      <c r="C9" s="6">
        <f>ROUND($B9*0.35,2)+0.01</f>
        <v>1492154.09</v>
      </c>
      <c r="D9" s="6">
        <f>ROUND($B9*0.03,2)+0.02</f>
        <v>127898.94</v>
      </c>
      <c r="E9" s="6">
        <f>ROUND($B9*0.0045,2)</f>
        <v>19184.84</v>
      </c>
      <c r="F9" s="6">
        <f t="shared" ref="F9:F14" si="0">ROUND(($B9*0.025)*0.9,2)</f>
        <v>95924.19</v>
      </c>
      <c r="G9" s="6">
        <f>ROUND(($B9*0.02)*0.9,2)+0.01</f>
        <v>76739.360000000001</v>
      </c>
      <c r="H9" s="6">
        <f>ROUND($B9*0.02,2)+0.01</f>
        <v>85265.959999999992</v>
      </c>
      <c r="I9" s="6">
        <f>ROUND($B9*0.03,2)+0.02</f>
        <v>127898.94</v>
      </c>
      <c r="J9" s="6">
        <f t="shared" ref="J9:J14" si="1">ROUND($B9*0.005,2)</f>
        <v>21316.49</v>
      </c>
      <c r="K9" s="6">
        <v>6168.09</v>
      </c>
      <c r="L9" s="6">
        <f>ROUND((($B9*0.22)+$K9)*0.76,2)-0.05</f>
        <v>717511.0199999999</v>
      </c>
      <c r="M9" s="6">
        <f t="shared" ref="M9:M14" si="2">ROUND((($B9*0.22)+$K9)*0.04,2)</f>
        <v>37763.74</v>
      </c>
      <c r="N9" s="6">
        <f>ROUND((($B9*0.22)+$K9)*0.1,2)+0.06</f>
        <v>94409.41</v>
      </c>
      <c r="O9" s="6">
        <f>ROUND((($B9*0.22)+$K9)*0.1,2)-0.01</f>
        <v>94409.340000000011</v>
      </c>
    </row>
    <row r="10" spans="1:15" ht="14.25" customHeight="1" x14ac:dyDescent="0.25">
      <c r="A10" s="14" t="str">
        <f>Mountaineer!A10</f>
        <v>August 2024</v>
      </c>
      <c r="B10" s="6">
        <v>5394221.25</v>
      </c>
      <c r="C10" s="6">
        <f>ROUND($B10*0.35,2)</f>
        <v>1887977.44</v>
      </c>
      <c r="D10" s="6">
        <f>ROUND($B10*0.03,2)+0.02</f>
        <v>161826.66</v>
      </c>
      <c r="E10" s="6">
        <f>ROUND($B10*0.0045,2)-0.01</f>
        <v>24273.99</v>
      </c>
      <c r="F10" s="6">
        <f t="shared" si="0"/>
        <v>121369.98</v>
      </c>
      <c r="G10" s="6">
        <f>ROUND(($B10*0.02)*0.9,2)+0.02</f>
        <v>97096</v>
      </c>
      <c r="H10" s="6">
        <f>ROUND($B10*0.02,2)+0.01</f>
        <v>107884.43999999999</v>
      </c>
      <c r="I10" s="6">
        <f>ROUND($B10*0.03,2)+0.02</f>
        <v>161826.66</v>
      </c>
      <c r="J10" s="6">
        <f t="shared" si="1"/>
        <v>26971.11</v>
      </c>
      <c r="K10" s="6">
        <v>7457.37</v>
      </c>
      <c r="L10" s="6">
        <f>ROUND((($B10*0.22)+$K10)*0.76,2)-0.06</f>
        <v>907581.33</v>
      </c>
      <c r="M10" s="6">
        <f t="shared" si="2"/>
        <v>47767.44</v>
      </c>
      <c r="N10" s="6">
        <f>ROUND((($B10*0.22)+$K10)*0.1,2)-0.02</f>
        <v>119418.58</v>
      </c>
      <c r="O10" s="6">
        <f>ROUND((($B10*0.22)+$K10)*0.1,2)-0.16</f>
        <v>119418.44</v>
      </c>
    </row>
    <row r="11" spans="1:15" ht="14.25" customHeight="1" x14ac:dyDescent="0.25">
      <c r="A11" s="14" t="str">
        <f>Mountaineer!A11</f>
        <v>September 2024</v>
      </c>
      <c r="B11" s="6">
        <v>4942404.5</v>
      </c>
      <c r="C11" s="6">
        <f>ROUND($B11*0.35,2)</f>
        <v>1729841.58</v>
      </c>
      <c r="D11" s="6">
        <f>ROUND($B11*0.03,2)-0.02</f>
        <v>148272.12000000002</v>
      </c>
      <c r="E11" s="6">
        <f>ROUND($B11*0.0045,2)</f>
        <v>22240.82</v>
      </c>
      <c r="F11" s="6">
        <f t="shared" si="0"/>
        <v>111204.1</v>
      </c>
      <c r="G11" s="6">
        <f>ROUND(($B11*0.02)*0.9,2)-0.01</f>
        <v>88963.27</v>
      </c>
      <c r="H11" s="6">
        <f>ROUND($B11*0.02,2)-0.01</f>
        <v>98848.08</v>
      </c>
      <c r="I11" s="6">
        <f>ROUND($B11*0.03,2)-0.02</f>
        <v>148272.12000000002</v>
      </c>
      <c r="J11" s="6">
        <f t="shared" si="1"/>
        <v>24712.02</v>
      </c>
      <c r="K11" s="6">
        <v>4955.03</v>
      </c>
      <c r="L11" s="6">
        <f>ROUND((($B11*0.22)+$K11)*0.76,2)+0.04</f>
        <v>830135.9</v>
      </c>
      <c r="M11" s="6">
        <f t="shared" si="2"/>
        <v>43691.360000000001</v>
      </c>
      <c r="N11" s="6">
        <f>ROUND((($B11*0.22)+$K11)*0.1,2)+0.01</f>
        <v>109228.40999999999</v>
      </c>
      <c r="O11" s="6">
        <f>ROUND((($B11*0.22)+$K11)*0.1,2)+0.14</f>
        <v>109228.54</v>
      </c>
    </row>
    <row r="12" spans="1:15" ht="14.25" customHeight="1" x14ac:dyDescent="0.25">
      <c r="A12" s="14" t="str">
        <f>Mountaineer!A12</f>
        <v>October 2024</v>
      </c>
      <c r="B12" s="6">
        <v>4372490</v>
      </c>
      <c r="C12" s="6">
        <f>ROUND($B12*0.35,2)+0.01</f>
        <v>1530371.51</v>
      </c>
      <c r="D12" s="6">
        <f>ROUND($B12*0.03,2)</f>
        <v>131174.70000000001</v>
      </c>
      <c r="E12" s="6">
        <f>ROUND($B12*0.0045,2)-0.01</f>
        <v>19676.2</v>
      </c>
      <c r="F12" s="6">
        <f t="shared" si="0"/>
        <v>98381.03</v>
      </c>
      <c r="G12" s="6">
        <f>ROUND(($B12*0.02)*0.9,2)</f>
        <v>78704.820000000007</v>
      </c>
      <c r="H12" s="6">
        <f>ROUND($B12*0.02,2)</f>
        <v>87449.8</v>
      </c>
      <c r="I12" s="6">
        <f>ROUND($B12*0.03,2)</f>
        <v>131174.70000000001</v>
      </c>
      <c r="J12" s="6">
        <f t="shared" si="1"/>
        <v>21862.45</v>
      </c>
      <c r="K12" s="6">
        <v>4726.17</v>
      </c>
      <c r="L12" s="6">
        <f>ROUND((($B12*0.22)+$K12)*0.76,2)</f>
        <v>734672.22</v>
      </c>
      <c r="M12" s="6">
        <f t="shared" si="2"/>
        <v>38666.959999999999</v>
      </c>
      <c r="N12" s="6">
        <f>ROUND((($B12*0.22)+$K12)*0.1,2)-0.02</f>
        <v>96667.37999999999</v>
      </c>
      <c r="O12" s="6">
        <f>ROUND((($B12*0.22)+$K12)*0.1,2)+0.09</f>
        <v>96667.489999999991</v>
      </c>
    </row>
    <row r="13" spans="1:15" ht="14.25" customHeight="1" x14ac:dyDescent="0.25">
      <c r="A13" s="14" t="str">
        <f>Mountaineer!A13</f>
        <v>November 2024</v>
      </c>
      <c r="B13" s="6">
        <v>4982572.13</v>
      </c>
      <c r="C13" s="6">
        <f>ROUND($B13*0.35,2)-0.01</f>
        <v>1743900.24</v>
      </c>
      <c r="D13" s="6">
        <f>ROUND($B13*0.03,2)</f>
        <v>149477.16</v>
      </c>
      <c r="E13" s="6">
        <f>ROUND($B13*0.0045,2)</f>
        <v>22421.57</v>
      </c>
      <c r="F13" s="6">
        <f t="shared" si="0"/>
        <v>112107.87</v>
      </c>
      <c r="G13" s="6">
        <f>ROUND(($B13*0.02)*0.9,2)</f>
        <v>89686.3</v>
      </c>
      <c r="H13" s="6">
        <f>ROUND($B13*0.02,2)</f>
        <v>99651.44</v>
      </c>
      <c r="I13" s="6">
        <f>ROUND($B13*0.03,2)</f>
        <v>149477.16</v>
      </c>
      <c r="J13" s="6">
        <f t="shared" si="1"/>
        <v>24912.86</v>
      </c>
      <c r="K13" s="6">
        <v>5030.34</v>
      </c>
      <c r="L13" s="6">
        <f>ROUND((($B13*0.22)+$K13)*0.76,2)+0.01</f>
        <v>836909.13</v>
      </c>
      <c r="M13" s="6">
        <f t="shared" si="2"/>
        <v>44047.85</v>
      </c>
      <c r="N13" s="6">
        <f>ROUND((($B13*0.22)+$K13)*0.1,2)</f>
        <v>110119.62</v>
      </c>
      <c r="O13" s="6">
        <f>ROUND((($B13*0.22)+$K13)*0.1,2)-0.06</f>
        <v>110119.56</v>
      </c>
    </row>
    <row r="14" spans="1:15" ht="14.25" customHeight="1" x14ac:dyDescent="0.25">
      <c r="A14" s="14" t="str">
        <f>Mountaineer!A14</f>
        <v>December 2024</v>
      </c>
      <c r="B14" s="6">
        <v>5277591.75</v>
      </c>
      <c r="C14" s="6">
        <f>ROUND($B14*0.35,2)+0.01</f>
        <v>1847157.12</v>
      </c>
      <c r="D14" s="6">
        <f>ROUND($B14*0.03,2)+0.01</f>
        <v>158327.76</v>
      </c>
      <c r="E14" s="6">
        <f>ROUND($B14*0.0045,2)</f>
        <v>23749.16</v>
      </c>
      <c r="F14" s="6">
        <f t="shared" si="0"/>
        <v>118745.81</v>
      </c>
      <c r="G14" s="6">
        <f>ROUND(($B14*0.02)*0.9,2)+0.01</f>
        <v>94996.659999999989</v>
      </c>
      <c r="H14" s="6">
        <f>ROUND($B14*0.02,2)</f>
        <v>105551.84</v>
      </c>
      <c r="I14" s="6">
        <f>ROUND($B14*0.03,2)+0.01</f>
        <v>158327.76</v>
      </c>
      <c r="J14" s="6">
        <f t="shared" si="1"/>
        <v>26387.96</v>
      </c>
      <c r="K14" s="6">
        <v>4970.7</v>
      </c>
      <c r="L14" s="6">
        <f>ROUND((($B14*0.22)+$K14)*0.76,2)-0.01</f>
        <v>886191.05999999994</v>
      </c>
      <c r="M14" s="6">
        <f>ROUND((($B14*0.22)+$K14)*0.04,2)-0.01</f>
        <v>46641.63</v>
      </c>
      <c r="N14" s="6">
        <f>ROUND((($B14*0.22)+$K14)*0.1,2)</f>
        <v>116604.09</v>
      </c>
      <c r="O14" s="6">
        <f>ROUND((($B14*0.22)+$K14)*0.1,2)-0.05</f>
        <v>116604.04</v>
      </c>
    </row>
    <row r="16" spans="1:15" ht="15" customHeight="1" thickBot="1" x14ac:dyDescent="0.3">
      <c r="B16" s="7">
        <f t="shared" ref="B16:O16" si="3">SUM(B9:B15)</f>
        <v>29232577.009999998</v>
      </c>
      <c r="C16" s="7">
        <f t="shared" si="3"/>
        <v>10231401.98</v>
      </c>
      <c r="D16" s="7">
        <f t="shared" si="3"/>
        <v>876977.34</v>
      </c>
      <c r="E16" s="7">
        <f t="shared" si="3"/>
        <v>131546.57999999999</v>
      </c>
      <c r="F16" s="7">
        <f t="shared" si="3"/>
        <v>657732.98</v>
      </c>
      <c r="G16" s="7">
        <f t="shared" si="3"/>
        <v>526186.41</v>
      </c>
      <c r="H16" s="7">
        <f t="shared" si="3"/>
        <v>584651.55999999994</v>
      </c>
      <c r="I16" s="7">
        <f t="shared" si="3"/>
        <v>876977.34</v>
      </c>
      <c r="J16" s="7">
        <f t="shared" si="3"/>
        <v>146162.89000000001</v>
      </c>
      <c r="K16" s="7">
        <f t="shared" si="3"/>
        <v>33307.699999999997</v>
      </c>
      <c r="L16" s="7">
        <f t="shared" si="3"/>
        <v>4913000.6599999992</v>
      </c>
      <c r="M16" s="7">
        <f t="shared" si="3"/>
        <v>258578.98</v>
      </c>
      <c r="N16" s="7">
        <f t="shared" si="3"/>
        <v>646447.48999999987</v>
      </c>
      <c r="O16" s="7">
        <f t="shared" si="3"/>
        <v>646447.41</v>
      </c>
    </row>
    <row r="17" spans="1:1" ht="15" customHeight="1" thickTop="1" x14ac:dyDescent="0.25"/>
    <row r="18" spans="1:1" ht="14.25" customHeight="1" x14ac:dyDescent="0.25">
      <c r="A18" s="8" t="s">
        <v>14</v>
      </c>
    </row>
    <row r="19" spans="1:1" ht="15" customHeight="1" x14ac:dyDescent="0.25">
      <c r="A19" s="8" t="s">
        <v>15</v>
      </c>
    </row>
  </sheetData>
  <mergeCells count="2">
    <mergeCell ref="A1:O1"/>
    <mergeCell ref="A7:O7"/>
  </mergeCells>
  <pageMargins left="0.25" right="0.25" top="0.5" bottom="0.5" header="0" footer="0"/>
  <pageSetup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Summary</vt:lpstr>
      <vt:lpstr>Mountaineer</vt:lpstr>
      <vt:lpstr>Wheeling</vt:lpstr>
      <vt:lpstr>Mardi Gras</vt:lpstr>
      <vt:lpstr>Charles Town</vt:lpstr>
      <vt:lpstr>'Charles Town'!Print_Area</vt:lpstr>
      <vt:lpstr>'Mardi Gras'!Print_Area</vt:lpstr>
      <vt:lpstr>Mountaineer!Print_Area</vt:lpstr>
      <vt:lpstr>Summary!Print_Area</vt:lpstr>
      <vt:lpstr>Wheeling!Print_Area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Emma Fowler</cp:lastModifiedBy>
  <cp:lastPrinted>2022-05-24T13:43:06Z</cp:lastPrinted>
  <dcterms:created xsi:type="dcterms:W3CDTF">2017-06-26T17:33:37Z</dcterms:created>
  <dcterms:modified xsi:type="dcterms:W3CDTF">2025-01-14T14:32:33Z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2024-08-29T18:02:05Z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61d58641-215a-4603-94a3-75b61e62e7f0</vt:lpwstr>
  </property>
  <property fmtid="{D5CDD505-2E9C-101B-9397-08002B2CF9AE}" pid="8" name="MSIP_Label_defa4170-0d19-0005-0004-bc88714345d2_ContentBits">
    <vt:lpwstr>0</vt:lpwstr>
  </property>
</Properties>
</file>